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询价\2021\"/>
    </mc:Choice>
  </mc:AlternateContent>
  <bookViews>
    <workbookView xWindow="11445" yWindow="60" windowWidth="11490" windowHeight="11025"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三种方法结果表" sheetId="68" r:id="rId17"/>
    <sheet name="结果表" sheetId="9" r:id="rId18"/>
    <sheet name="剩余法-待开发" sheetId="12" state="hidden" r:id="rId19"/>
    <sheet name="剩余法-现房" sheetId="43" state="hidden" r:id="rId20"/>
    <sheet name="不动产收益法" sheetId="15" state="hidden" r:id="rId21"/>
    <sheet name="比较法-住宅、综合" sheetId="39" r:id="rId22"/>
    <sheet name="市场法案例" sheetId="70" r:id="rId23"/>
    <sheet name="比较法-工业" sheetId="40" state="hidden" r:id="rId24"/>
    <sheet name="基准地价" sheetId="46" r:id="rId25"/>
    <sheet name="修正" sheetId="49" r:id="rId26"/>
    <sheet name="区片价" sheetId="48" state="hidden" r:id="rId27"/>
    <sheet name="容积率修正" sheetId="45" r:id="rId28"/>
    <sheet name="因素修正幅度" sheetId="56" state="hidden" r:id="rId29"/>
    <sheet name="地价" sheetId="59" r:id="rId30"/>
    <sheet name="基准地价（汇总）" sheetId="67" state="hidden" r:id="rId31"/>
    <sheet name="收益还原法" sheetId="44" state="hidden" r:id="rId32"/>
    <sheet name="酒店收入计算" sheetId="57" state="hidden" r:id="rId33"/>
    <sheet name="成本逼近法" sheetId="11" r:id="rId34"/>
    <sheet name="成本案例" sheetId="69" r:id="rId35"/>
    <sheet name="不动产比较法-住宅" sheetId="21" state="hidden" r:id="rId36"/>
    <sheet name="不动产比较法-商业" sheetId="33" state="hidden" r:id="rId37"/>
    <sheet name="不动产比较法-办公" sheetId="34"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3"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21">'比较法-住宅、综合'!$A$1:$K$67,'比较法-住宅、综合'!$A$71:$N$134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20">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'剩余法-现房'!$A$1:$K$32</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N7" i="70" l="1"/>
  <c r="C21" i="46"/>
  <c r="M3" i="70" l="1"/>
  <c r="O3" i="70" l="1"/>
  <c r="O4" i="70"/>
  <c r="O2" i="70"/>
  <c r="F2" i="68"/>
  <c r="D8" i="11" l="1"/>
  <c r="E8" i="11"/>
  <c r="H4" i="69"/>
  <c r="H3" i="69"/>
  <c r="D4" i="68" l="1"/>
  <c r="D29" i="46"/>
  <c r="I13" i="3" l="1"/>
  <c r="F19" i="6"/>
  <c r="AH5" i="59" l="1"/>
  <c r="AG5" i="59"/>
  <c r="AE5" i="59"/>
  <c r="AF5" i="59" s="1"/>
  <c r="AD5" i="59"/>
  <c r="Q5" i="59"/>
  <c r="P5" i="59"/>
  <c r="O5" i="59"/>
  <c r="N5" i="59"/>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F25" i="12" l="1"/>
  <c r="C25" i="12" s="1"/>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c r="AD12" i="59"/>
  <c r="Q13" i="59"/>
  <c r="Q14" i="59"/>
  <c r="P13" i="59"/>
  <c r="P14" i="59"/>
  <c r="O13" i="59"/>
  <c r="O14" i="59"/>
  <c r="N13" i="59"/>
  <c r="N14" i="59"/>
  <c r="AH13" i="59"/>
  <c r="AG13" i="59"/>
  <c r="AE13" i="59"/>
  <c r="AF13" i="59"/>
  <c r="AD13" i="59"/>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c r="AD17" i="59"/>
  <c r="Q18" i="59"/>
  <c r="P18" i="59"/>
  <c r="O18" i="59"/>
  <c r="N18" i="59"/>
  <c r="M19" i="46"/>
  <c r="J50" i="15"/>
  <c r="J51" i="15"/>
  <c r="D20" i="59"/>
  <c r="AH18" i="59"/>
  <c r="AG18" i="59"/>
  <c r="AE18" i="59"/>
  <c r="AF18" i="59" s="1"/>
  <c r="AD18" i="59"/>
  <c r="AE19" i="59"/>
  <c r="AF19" i="59"/>
  <c r="AG19" i="59"/>
  <c r="AH19" i="59"/>
  <c r="AD19" i="59"/>
  <c r="Q19" i="59"/>
  <c r="P19" i="59"/>
  <c r="O19" i="59"/>
  <c r="N19" i="59"/>
  <c r="N20" i="59"/>
  <c r="Q20" i="59"/>
  <c r="P20" i="59"/>
  <c r="O20" i="59"/>
  <c r="K59" i="15"/>
  <c r="P62" i="15" s="1"/>
  <c r="P75" i="15"/>
  <c r="Q74" i="44"/>
  <c r="Q61" i="44"/>
  <c r="Q60" i="44"/>
  <c r="Q53" i="44"/>
  <c r="J51" i="44"/>
  <c r="J52" i="44"/>
  <c r="M48" i="44"/>
  <c r="A16" i="55"/>
  <c r="B67" i="63" s="1"/>
  <c r="A15" i="55"/>
  <c r="B66" i="63" s="1"/>
  <c r="A14" i="55"/>
  <c r="A11" i="55"/>
  <c r="A10" i="55"/>
  <c r="B61" i="63" s="1"/>
  <c r="A9" i="55"/>
  <c r="B60" i="63" s="1"/>
  <c r="A8" i="55"/>
  <c r="B59" i="63" s="1"/>
  <c r="A6" i="54"/>
  <c r="A8" i="54"/>
  <c r="A7" i="54"/>
  <c r="A27" i="51"/>
  <c r="B20" i="63" s="1"/>
  <c r="Q21" i="59"/>
  <c r="O21" i="59"/>
  <c r="N22" i="59"/>
  <c r="O22" i="59"/>
  <c r="P22" i="59"/>
  <c r="Q22" i="59"/>
  <c r="N21" i="59"/>
  <c r="P21" i="59"/>
  <c r="K75" i="9"/>
  <c r="K6" i="4"/>
  <c r="O76" i="9" s="1"/>
  <c r="L76" i="9"/>
  <c r="B22" i="31"/>
  <c r="E15" i="66"/>
  <c r="F15" i="66"/>
  <c r="E16" i="66"/>
  <c r="F16" i="66"/>
  <c r="E17" i="66"/>
  <c r="F17" i="66"/>
  <c r="E18" i="66"/>
  <c r="F18" i="66"/>
  <c r="E19" i="66"/>
  <c r="F19" i="66"/>
  <c r="E20" i="66"/>
  <c r="F20" i="66"/>
  <c r="E21" i="66"/>
  <c r="F21" i="66"/>
  <c r="E22" i="66"/>
  <c r="F22" i="66"/>
  <c r="E23" i="66"/>
  <c r="F23" i="66"/>
  <c r="B3" i="66"/>
  <c r="B19" i="59"/>
  <c r="B18" i="59" s="1"/>
  <c r="B17" i="59" s="1"/>
  <c r="E19" i="59"/>
  <c r="E18" i="59"/>
  <c r="E17" i="59" s="1"/>
  <c r="E16" i="59" s="1"/>
  <c r="E15" i="59" s="1"/>
  <c r="E14" i="59" s="1"/>
  <c r="E13" i="59" s="1"/>
  <c r="E12" i="59" s="1"/>
  <c r="U19" i="59"/>
  <c r="S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H34" i="59"/>
  <c r="AG34" i="59"/>
  <c r="AE34" i="59"/>
  <c r="AF34" i="59"/>
  <c r="AD34" i="59"/>
  <c r="AD35" i="59"/>
  <c r="AE35" i="59"/>
  <c r="AF35" i="59"/>
  <c r="AG35" i="59"/>
  <c r="AH35" i="59"/>
  <c r="S2" i="31"/>
  <c r="M2" i="31"/>
  <c r="N2" i="31"/>
  <c r="O2" i="31"/>
  <c r="P2" i="31"/>
  <c r="Q2" i="31"/>
  <c r="R2" i="31"/>
  <c r="C19" i="59"/>
  <c r="C18" i="59"/>
  <c r="C3" i="65"/>
  <c r="C1" i="65"/>
  <c r="N1" i="65" s="1"/>
  <c r="T19" i="59"/>
  <c r="D19" i="59"/>
  <c r="B76" i="63"/>
  <c r="M5" i="54"/>
  <c r="A23" i="51"/>
  <c r="B17" i="63" s="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64" s="1"/>
  <c r="C56" i="10"/>
  <c r="A26" i="51" s="1"/>
  <c r="B19" i="63" s="1"/>
  <c r="C55" i="10"/>
  <c r="C54" i="10"/>
  <c r="B49" i="63"/>
  <c r="B44" i="63"/>
  <c r="B40" i="63"/>
  <c r="B30" i="63"/>
  <c r="B27" i="63"/>
  <c r="B25" i="63"/>
  <c r="A11" i="51"/>
  <c r="A26" i="64"/>
  <c r="K39" i="9"/>
  <c r="K40" i="9"/>
  <c r="B58" i="63"/>
  <c r="B53" i="63"/>
  <c r="B51" i="63"/>
  <c r="A46" i="9"/>
  <c r="K41" i="9"/>
  <c r="B8" i="63"/>
  <c r="A21" i="55"/>
  <c r="B71" i="63" s="1"/>
  <c r="A20" i="55"/>
  <c r="B69" i="63" s="1"/>
  <c r="B26" i="63"/>
  <c r="B28" i="63"/>
  <c r="B29" i="63"/>
  <c r="B31" i="63"/>
  <c r="B33" i="63"/>
  <c r="B35" i="63"/>
  <c r="B36" i="63"/>
  <c r="B37" i="63"/>
  <c r="B63" i="63"/>
  <c r="B64" i="63"/>
  <c r="B68" i="63"/>
  <c r="D51" i="10"/>
  <c r="B10" i="63"/>
  <c r="B51" i="10"/>
  <c r="A15" i="51"/>
  <c r="B12" i="63" s="1"/>
  <c r="A14" i="51"/>
  <c r="B11" i="63" s="1"/>
  <c r="A4" i="55"/>
  <c r="B57" i="63" s="1"/>
  <c r="B41" i="63"/>
  <c r="G5" i="54"/>
  <c r="B34" i="63"/>
  <c r="E5" i="54"/>
  <c r="B32" i="63"/>
  <c r="R2" i="54"/>
  <c r="B24" i="63" s="1"/>
  <c r="B49" i="50"/>
  <c r="B5" i="63" s="1"/>
  <c r="B40" i="50"/>
  <c r="B3" i="63" s="1"/>
  <c r="I19" i="46"/>
  <c r="Q23" i="59"/>
  <c r="P23" i="59"/>
  <c r="O23" i="59"/>
  <c r="N23" i="59"/>
  <c r="D84" i="59"/>
  <c r="F83" i="59"/>
  <c r="F82" i="59" s="1"/>
  <c r="F81" i="59" s="1"/>
  <c r="E83" i="59"/>
  <c r="E82" i="59"/>
  <c r="E81" i="59" s="1"/>
  <c r="C83" i="59"/>
  <c r="D83" i="59" s="1"/>
  <c r="B83" i="59"/>
  <c r="B82" i="59" s="1"/>
  <c r="B81" i="59" s="1"/>
  <c r="D80" i="59"/>
  <c r="F79" i="59"/>
  <c r="F78" i="59" s="1"/>
  <c r="F77" i="59" s="1"/>
  <c r="E79" i="59"/>
  <c r="E78" i="59"/>
  <c r="E77" i="59" s="1"/>
  <c r="C79" i="59"/>
  <c r="D79" i="59" s="1"/>
  <c r="B79" i="59"/>
  <c r="B78" i="59" s="1"/>
  <c r="B77" i="59" s="1"/>
  <c r="D76" i="59"/>
  <c r="Q75" i="59"/>
  <c r="P75" i="59"/>
  <c r="O75" i="59"/>
  <c r="N75" i="59"/>
  <c r="F75" i="59"/>
  <c r="V75" i="59" s="1"/>
  <c r="E75" i="59"/>
  <c r="U75" i="59" s="1"/>
  <c r="C75" i="59"/>
  <c r="T75" i="59" s="1"/>
  <c r="B75" i="59"/>
  <c r="S75" i="59" s="1"/>
  <c r="Q74" i="59"/>
  <c r="P74" i="59"/>
  <c r="O74" i="59"/>
  <c r="N74" i="59"/>
  <c r="F74" i="59"/>
  <c r="F73" i="59" s="1"/>
  <c r="B74" i="59"/>
  <c r="B73" i="59" s="1"/>
  <c r="Q73" i="59"/>
  <c r="P73" i="59"/>
  <c r="O73" i="59"/>
  <c r="N73" i="59"/>
  <c r="Q72" i="59"/>
  <c r="P72" i="59"/>
  <c r="O72" i="59"/>
  <c r="N72" i="59"/>
  <c r="D72" i="59"/>
  <c r="Q71" i="59"/>
  <c r="P71" i="59"/>
  <c r="O71" i="59"/>
  <c r="N71" i="59"/>
  <c r="F71" i="59"/>
  <c r="V71" i="59"/>
  <c r="E71" i="59"/>
  <c r="U71" i="59"/>
  <c r="C71" i="59"/>
  <c r="T71" i="59" s="1"/>
  <c r="B71" i="59"/>
  <c r="S71" i="59" s="1"/>
  <c r="Q70" i="59"/>
  <c r="P70" i="59"/>
  <c r="O70" i="59"/>
  <c r="N70" i="59"/>
  <c r="F70" i="59"/>
  <c r="F69" i="59" s="1"/>
  <c r="B70" i="59"/>
  <c r="B69" i="59" s="1"/>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s="1"/>
  <c r="B66" i="59"/>
  <c r="B65" i="59" s="1"/>
  <c r="Q65" i="59"/>
  <c r="P65" i="59"/>
  <c r="O65" i="59"/>
  <c r="N65" i="59"/>
  <c r="Q64" i="59"/>
  <c r="P64" i="59"/>
  <c r="O64" i="59"/>
  <c r="N64" i="59"/>
  <c r="D64" i="59"/>
  <c r="F63" i="59"/>
  <c r="V63" i="59"/>
  <c r="E63" i="59"/>
  <c r="E62" i="59"/>
  <c r="P62" i="59" s="1"/>
  <c r="C63" i="59"/>
  <c r="O63" i="59" s="1"/>
  <c r="B63" i="59"/>
  <c r="N63" i="59"/>
  <c r="F62" i="59"/>
  <c r="F61" i="59"/>
  <c r="Q61" i="59" s="1"/>
  <c r="B62" i="59"/>
  <c r="N62" i="59" s="1"/>
  <c r="D60" i="59"/>
  <c r="Q59" i="59"/>
  <c r="P59" i="59"/>
  <c r="O59" i="59"/>
  <c r="N59" i="59"/>
  <c r="Q58" i="59"/>
  <c r="P58" i="59"/>
  <c r="O58" i="59"/>
  <c r="N58" i="59"/>
  <c r="Q57" i="59"/>
  <c r="P57" i="59"/>
  <c r="O57" i="59"/>
  <c r="N57" i="59"/>
  <c r="Q56" i="59"/>
  <c r="F57" i="59"/>
  <c r="P56" i="59"/>
  <c r="E57" i="59"/>
  <c r="E58" i="59" s="1"/>
  <c r="E59" i="59" s="1"/>
  <c r="U59" i="59" s="1"/>
  <c r="O56" i="59"/>
  <c r="C57" i="59" s="1"/>
  <c r="N56" i="59"/>
  <c r="B57" i="59" s="1"/>
  <c r="B58" i="59" s="1"/>
  <c r="B59" i="59" s="1"/>
  <c r="S59" i="59" s="1"/>
  <c r="D56" i="59"/>
  <c r="Q55" i="59"/>
  <c r="P55" i="59"/>
  <c r="O55" i="59"/>
  <c r="N55" i="59"/>
  <c r="Q54" i="59"/>
  <c r="P54" i="59"/>
  <c r="O54" i="59"/>
  <c r="N54" i="59"/>
  <c r="Q53" i="59"/>
  <c r="P53" i="59"/>
  <c r="O53" i="59"/>
  <c r="N53" i="59"/>
  <c r="Q52" i="59"/>
  <c r="F53" i="59" s="1"/>
  <c r="F54" i="59" s="1"/>
  <c r="F55" i="59" s="1"/>
  <c r="V55" i="59" s="1"/>
  <c r="P52" i="59"/>
  <c r="E53" i="59" s="1"/>
  <c r="E54" i="59" s="1"/>
  <c r="E55" i="59" s="1"/>
  <c r="U55" i="59" s="1"/>
  <c r="O52" i="59"/>
  <c r="C53" i="59"/>
  <c r="D53" i="59" s="1"/>
  <c r="N52" i="59"/>
  <c r="B53" i="59"/>
  <c r="B54" i="59" s="1"/>
  <c r="B55" i="59" s="1"/>
  <c r="S55" i="59" s="1"/>
  <c r="D52" i="59"/>
  <c r="Q51" i="59"/>
  <c r="P51" i="59"/>
  <c r="O51" i="59"/>
  <c r="N51" i="59"/>
  <c r="Q50" i="59"/>
  <c r="P50" i="59"/>
  <c r="O50" i="59"/>
  <c r="N50" i="59"/>
  <c r="Q49" i="59"/>
  <c r="P49" i="59"/>
  <c r="O49" i="59"/>
  <c r="N49" i="59"/>
  <c r="Q48" i="59"/>
  <c r="F49" i="59"/>
  <c r="P48" i="59"/>
  <c r="E49" i="59"/>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F47" i="59" s="1"/>
  <c r="V47" i="59" s="1"/>
  <c r="P44" i="59"/>
  <c r="E45" i="59"/>
  <c r="E46" i="59" s="1"/>
  <c r="E47" i="59" s="1"/>
  <c r="U47" i="59" s="1"/>
  <c r="O44" i="59"/>
  <c r="C45" i="59"/>
  <c r="D45" i="59" s="1"/>
  <c r="N44" i="59"/>
  <c r="B45" i="59"/>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c r="C42" i="59" s="1"/>
  <c r="D42" i="59" s="1"/>
  <c r="N40" i="59"/>
  <c r="B41" i="59"/>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s="1"/>
  <c r="N36" i="59"/>
  <c r="B37" i="59" s="1"/>
  <c r="B38" i="59" s="1"/>
  <c r="B39" i="59" s="1"/>
  <c r="S39" i="59" s="1"/>
  <c r="D36" i="59"/>
  <c r="Q35" i="59"/>
  <c r="P35" i="59"/>
  <c r="O35" i="59"/>
  <c r="N35" i="59"/>
  <c r="Q34" i="59"/>
  <c r="AB34" i="59" s="1"/>
  <c r="P34" i="59"/>
  <c r="AA34" i="59" s="1"/>
  <c r="O34" i="59"/>
  <c r="Y34" i="59" s="1"/>
  <c r="Z34" i="59" s="1"/>
  <c r="N34" i="59"/>
  <c r="X34" i="59" s="1"/>
  <c r="Q33" i="59"/>
  <c r="AB33" i="59" s="1"/>
  <c r="P33" i="59"/>
  <c r="AA33" i="59" s="1"/>
  <c r="O33" i="59"/>
  <c r="Y33" i="59" s="1"/>
  <c r="Z33" i="59" s="1"/>
  <c r="N33" i="59"/>
  <c r="X33" i="59" s="1"/>
  <c r="Q32" i="59"/>
  <c r="AB32" i="59" s="1"/>
  <c r="P32" i="59"/>
  <c r="AA32" i="59" s="1"/>
  <c r="O32" i="59"/>
  <c r="C33" i="59"/>
  <c r="C34" i="59" s="1"/>
  <c r="N32" i="59"/>
  <c r="X32" i="59" s="1"/>
  <c r="B33" i="59"/>
  <c r="B34" i="59" s="1"/>
  <c r="B35" i="59" s="1"/>
  <c r="S35" i="59" s="1"/>
  <c r="D32" i="59"/>
  <c r="Q31" i="59"/>
  <c r="P31" i="59"/>
  <c r="AA31" i="59" s="1"/>
  <c r="O31" i="59"/>
  <c r="N31" i="59"/>
  <c r="X31" i="59" s="1"/>
  <c r="Q30" i="59"/>
  <c r="P30" i="59"/>
  <c r="AA30" i="59" s="1"/>
  <c r="O30" i="59"/>
  <c r="N30" i="59"/>
  <c r="X30" i="59" s="1"/>
  <c r="Q29" i="59"/>
  <c r="P29" i="59"/>
  <c r="AA29" i="59" s="1"/>
  <c r="O29" i="59"/>
  <c r="N29" i="59"/>
  <c r="X29" i="59" s="1"/>
  <c r="Q28" i="59"/>
  <c r="F29" i="59"/>
  <c r="P28" i="59"/>
  <c r="E29" i="59"/>
  <c r="E30" i="59" s="1"/>
  <c r="E31" i="59" s="1"/>
  <c r="U31" i="59" s="1"/>
  <c r="O28" i="59"/>
  <c r="Y28" i="59" s="1"/>
  <c r="Z28" i="59" s="1"/>
  <c r="N28" i="59"/>
  <c r="X28" i="59" s="1"/>
  <c r="D28" i="59"/>
  <c r="Q27" i="59"/>
  <c r="AB27" i="59" s="1"/>
  <c r="P27" i="59"/>
  <c r="O27" i="59"/>
  <c r="Y27" i="59" s="1"/>
  <c r="Z27" i="59" s="1"/>
  <c r="N27" i="59"/>
  <c r="Q26" i="59"/>
  <c r="AB26" i="59" s="1"/>
  <c r="P26" i="59"/>
  <c r="O26" i="59"/>
  <c r="Y26" i="59" s="1"/>
  <c r="Z26" i="59" s="1"/>
  <c r="N26" i="59"/>
  <c r="Q25" i="59"/>
  <c r="AB25" i="59" s="1"/>
  <c r="P25" i="59"/>
  <c r="O25" i="59"/>
  <c r="Y25" i="59" s="1"/>
  <c r="Z25" i="59" s="1"/>
  <c r="N25" i="59"/>
  <c r="Q24" i="59"/>
  <c r="AB24" i="59" s="1"/>
  <c r="P24" i="59"/>
  <c r="AA24" i="59" s="1"/>
  <c r="O24" i="59"/>
  <c r="C25" i="59"/>
  <c r="C26" i="59" s="1"/>
  <c r="N24" i="59"/>
  <c r="B25" i="59"/>
  <c r="B26" i="59" s="1"/>
  <c r="B27" i="59" s="1"/>
  <c r="S27" i="59" s="1"/>
  <c r="D24" i="59"/>
  <c r="X3" i="59"/>
  <c r="AB3" i="59"/>
  <c r="E25" i="59"/>
  <c r="E26" i="59" s="1"/>
  <c r="E27" i="59" s="1"/>
  <c r="U27" i="59" s="1"/>
  <c r="B46" i="59"/>
  <c r="B47" i="59" s="1"/>
  <c r="S47" i="59" s="1"/>
  <c r="S63" i="59"/>
  <c r="F30" i="59"/>
  <c r="F31" i="59" s="1"/>
  <c r="V31" i="59" s="1"/>
  <c r="F38" i="59"/>
  <c r="F39" i="59" s="1"/>
  <c r="V39" i="59" s="1"/>
  <c r="F50" i="59"/>
  <c r="F51" i="59" s="1"/>
  <c r="V51" i="59" s="1"/>
  <c r="F58" i="59"/>
  <c r="F59" i="59" s="1"/>
  <c r="V59" i="59" s="1"/>
  <c r="D25" i="59"/>
  <c r="D33" i="59"/>
  <c r="C46" i="59"/>
  <c r="C47" i="59" s="1"/>
  <c r="C54" i="59"/>
  <c r="D54" i="59" s="1"/>
  <c r="E61" i="59"/>
  <c r="P60" i="59" s="1"/>
  <c r="B61" i="59"/>
  <c r="N60" i="59" s="1"/>
  <c r="Q62" i="59"/>
  <c r="T63" i="59"/>
  <c r="D63" i="59"/>
  <c r="P63" i="59"/>
  <c r="U63" i="59"/>
  <c r="Q63" i="59"/>
  <c r="C66" i="59"/>
  <c r="E66" i="59"/>
  <c r="E65" i="59" s="1"/>
  <c r="D67" i="59"/>
  <c r="C70" i="59"/>
  <c r="E70" i="59"/>
  <c r="E69" i="59" s="1"/>
  <c r="D71" i="59"/>
  <c r="C74" i="59"/>
  <c r="E74" i="59"/>
  <c r="E73" i="59" s="1"/>
  <c r="D75" i="59"/>
  <c r="C78" i="59"/>
  <c r="C82" i="59"/>
  <c r="D82" i="59" s="1"/>
  <c r="U16" i="4"/>
  <c r="S16" i="4"/>
  <c r="Q16" i="4"/>
  <c r="O16" i="4"/>
  <c r="N16" i="4" s="1"/>
  <c r="M16" i="4"/>
  <c r="K16" i="4"/>
  <c r="P61" i="59"/>
  <c r="C81" i="59"/>
  <c r="D81" i="59" s="1"/>
  <c r="D74" i="59"/>
  <c r="C73" i="59"/>
  <c r="D73" i="59"/>
  <c r="D66" i="59"/>
  <c r="C65" i="59"/>
  <c r="D65" i="59" s="1"/>
  <c r="D78" i="59"/>
  <c r="C77" i="59"/>
  <c r="D77" i="59" s="1"/>
  <c r="D70" i="59"/>
  <c r="C69" i="59"/>
  <c r="D69" i="59"/>
  <c r="N61" i="59"/>
  <c r="C55" i="59"/>
  <c r="T55" i="59" s="1"/>
  <c r="D46" i="59"/>
  <c r="L16" i="4"/>
  <c r="D55"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c r="F31" i="39"/>
  <c r="AA31" i="39"/>
  <c r="G20" i="20"/>
  <c r="B85" i="46"/>
  <c r="C22" i="20"/>
  <c r="B65" i="46"/>
  <c r="S18" i="36"/>
  <c r="S18" i="35"/>
  <c r="S21" i="34"/>
  <c r="S27" i="40"/>
  <c r="S31" i="39"/>
  <c r="C27" i="40"/>
  <c r="C31" i="39"/>
  <c r="B54" i="46"/>
  <c r="B74" i="46"/>
  <c r="E66" i="36"/>
  <c r="H18" i="35"/>
  <c r="J18" i="35"/>
  <c r="H21" i="37"/>
  <c r="J21" i="37"/>
  <c r="E84" i="34"/>
  <c r="F84" i="34"/>
  <c r="G84" i="34" s="1"/>
  <c r="J21" i="34"/>
  <c r="H21" i="34"/>
  <c r="F21" i="33"/>
  <c r="H21" i="33"/>
  <c r="J21" i="33"/>
  <c r="H21" i="21"/>
  <c r="J21" i="21"/>
  <c r="F96" i="40"/>
  <c r="H27" i="40"/>
  <c r="F105" i="39"/>
  <c r="H31" i="39"/>
  <c r="F23" i="15"/>
  <c r="D22" i="15" s="1"/>
  <c r="G17" i="11"/>
  <c r="D23" i="15"/>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c r="K62" i="46"/>
  <c r="J62" i="46"/>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A13" i="3" s="1"/>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G15" i="3" s="1"/>
  <c r="AC15" i="3"/>
  <c r="H16" i="3"/>
  <c r="AC16" i="3"/>
  <c r="AC5" i="3" s="1"/>
  <c r="H17" i="3"/>
  <c r="AC17" i="3"/>
  <c r="H18" i="3"/>
  <c r="AC18" i="3"/>
  <c r="G18" i="3" s="1"/>
  <c r="BB18" i="3"/>
  <c r="BC18" i="3"/>
  <c r="BD18" i="3"/>
  <c r="BE18" i="3"/>
  <c r="BE5" i="3" s="1"/>
  <c r="BF18" i="3"/>
  <c r="BG18" i="3"/>
  <c r="BH18" i="3"/>
  <c r="BI18" i="3"/>
  <c r="BJ18" i="3"/>
  <c r="BK18" i="3"/>
  <c r="BK5" i="3" s="1"/>
  <c r="BM18" i="3"/>
  <c r="BN18" i="3"/>
  <c r="BO18" i="3"/>
  <c r="BP18" i="3"/>
  <c r="BR18" i="3"/>
  <c r="BS18" i="3"/>
  <c r="BT18" i="3"/>
  <c r="H19" i="3"/>
  <c r="G19" i="3" s="1"/>
  <c r="AC19" i="3"/>
  <c r="BB19" i="3"/>
  <c r="BC19" i="3"/>
  <c r="BD19" i="3"/>
  <c r="BE19" i="3"/>
  <c r="BF19" i="3"/>
  <c r="BG19" i="3"/>
  <c r="BH19" i="3"/>
  <c r="BI19" i="3"/>
  <c r="BJ19" i="3"/>
  <c r="BK19" i="3"/>
  <c r="BM19" i="3"/>
  <c r="BN19" i="3"/>
  <c r="BL19" i="3" s="1"/>
  <c r="BO19" i="3"/>
  <c r="BP19" i="3"/>
  <c r="BQ19" i="3"/>
  <c r="BR19" i="3"/>
  <c r="BS19" i="3"/>
  <c r="BT19" i="3"/>
  <c r="H20" i="3"/>
  <c r="AC20" i="3"/>
  <c r="BB20" i="3"/>
  <c r="BC20" i="3"/>
  <c r="BD20" i="3"/>
  <c r="BE20" i="3"/>
  <c r="BF20" i="3"/>
  <c r="BG20" i="3"/>
  <c r="BH20" i="3"/>
  <c r="BI20" i="3"/>
  <c r="BJ20" i="3"/>
  <c r="BK20" i="3"/>
  <c r="BM20" i="3"/>
  <c r="BN20" i="3"/>
  <c r="BL20" i="3" s="1"/>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A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AZ519" i="3" s="1"/>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A522" i="3" s="1"/>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L530" i="3" s="1"/>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A533" i="3" s="1"/>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L544" i="3" s="1"/>
  <c r="BO544" i="3"/>
  <c r="BP544" i="3"/>
  <c r="BR544" i="3"/>
  <c r="BS544" i="3"/>
  <c r="BT544" i="3"/>
  <c r="H545" i="3"/>
  <c r="G545" i="3" s="1"/>
  <c r="AC545" i="3"/>
  <c r="BB545" i="3"/>
  <c r="BC545" i="3"/>
  <c r="BD545" i="3"/>
  <c r="BE545" i="3"/>
  <c r="BF545" i="3"/>
  <c r="BG545" i="3"/>
  <c r="BH545" i="3"/>
  <c r="BI545" i="3"/>
  <c r="BJ545" i="3"/>
  <c r="BK545" i="3"/>
  <c r="BM545" i="3"/>
  <c r="BL545" i="3" s="1"/>
  <c r="BN545" i="3"/>
  <c r="BO545" i="3"/>
  <c r="BP545" i="3"/>
  <c r="BQ545" i="3"/>
  <c r="BR545" i="3"/>
  <c r="BS545" i="3"/>
  <c r="BT545" i="3"/>
  <c r="H546" i="3"/>
  <c r="G546" i="3" s="1"/>
  <c r="AC546" i="3"/>
  <c r="BB546" i="3"/>
  <c r="BC546" i="3"/>
  <c r="BD546" i="3"/>
  <c r="BE546" i="3"/>
  <c r="BF546" i="3"/>
  <c r="BG546" i="3"/>
  <c r="BH546" i="3"/>
  <c r="BI546" i="3"/>
  <c r="BJ546" i="3"/>
  <c r="BK546" i="3"/>
  <c r="BM546" i="3"/>
  <c r="BL546" i="3" s="1"/>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A549" i="3" s="1"/>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s="1"/>
  <c r="F87" i="35"/>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D113" i="40"/>
  <c r="E113" i="40" s="1"/>
  <c r="F113" i="40"/>
  <c r="M109" i="40"/>
  <c r="L109" i="40"/>
  <c r="K109" i="40"/>
  <c r="J109" i="40"/>
  <c r="I109" i="40"/>
  <c r="H109" i="40"/>
  <c r="G109" i="40"/>
  <c r="F109" i="40"/>
  <c r="E109" i="40"/>
  <c r="D109" i="40"/>
  <c r="C109" i="40"/>
  <c r="B107" i="40"/>
  <c r="F35" i="40" s="1"/>
  <c r="B105" i="40"/>
  <c r="F34" i="40"/>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c r="I126" i="39" s="1"/>
  <c r="J126" i="39" s="1"/>
  <c r="K126" i="39" s="1"/>
  <c r="L126" i="39" s="1"/>
  <c r="M126" i="39" s="1"/>
  <c r="D122" i="39"/>
  <c r="E122" i="39" s="1"/>
  <c r="F122" i="39"/>
  <c r="G122" i="39" s="1"/>
  <c r="H122" i="39" s="1"/>
  <c r="I122" i="39" s="1"/>
  <c r="J122" i="39"/>
  <c r="K122" i="39" s="1"/>
  <c r="L122" i="39" s="1"/>
  <c r="M122" i="39" s="1"/>
  <c r="B116" i="39"/>
  <c r="D111" i="39"/>
  <c r="E111" i="39"/>
  <c r="F111" i="39" s="1"/>
  <c r="G111" i="39" s="1"/>
  <c r="H111" i="39" s="1"/>
  <c r="I111" i="39"/>
  <c r="J111" i="39" s="1"/>
  <c r="K111" i="39" s="1"/>
  <c r="L111" i="39" s="1"/>
  <c r="M111" i="39" s="1"/>
  <c r="D109" i="39"/>
  <c r="E109" i="39"/>
  <c r="F109" i="39" s="1"/>
  <c r="G109" i="39" s="1"/>
  <c r="H109" i="39" s="1"/>
  <c r="I109" i="39"/>
  <c r="J109" i="39" s="1"/>
  <c r="K109" i="39" s="1"/>
  <c r="L109" i="39" s="1"/>
  <c r="M109" i="39" s="1"/>
  <c r="D107" i="39"/>
  <c r="E107" i="39"/>
  <c r="F107" i="39" s="1"/>
  <c r="G107" i="39" s="1"/>
  <c r="H107" i="39" s="1"/>
  <c r="I107" i="39"/>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s="1"/>
  <c r="I124" i="39" s="1"/>
  <c r="J124" i="39" s="1"/>
  <c r="K124" i="39" s="1"/>
  <c r="L124" i="39" s="1"/>
  <c r="M124" i="39" s="1"/>
  <c r="B106" i="39"/>
  <c r="D99" i="39"/>
  <c r="E99" i="39" s="1"/>
  <c r="F99" i="39"/>
  <c r="G99" i="39" s="1"/>
  <c r="D97" i="39"/>
  <c r="D95" i="39"/>
  <c r="E95" i="39"/>
  <c r="F95" i="39" s="1"/>
  <c r="G95" i="39"/>
  <c r="D93" i="39"/>
  <c r="E93" i="39"/>
  <c r="F93" i="39" s="1"/>
  <c r="G93" i="39" s="1"/>
  <c r="D91" i="39"/>
  <c r="E91" i="39"/>
  <c r="F91" i="39" s="1"/>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s="1"/>
  <c r="U25" i="37"/>
  <c r="B110" i="37"/>
  <c r="J39" i="37"/>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F79" i="37" s="1"/>
  <c r="D75" i="37"/>
  <c r="E75" i="37"/>
  <c r="F75" i="37" s="1"/>
  <c r="G75" i="37" s="1"/>
  <c r="D73" i="37"/>
  <c r="E73" i="37" s="1"/>
  <c r="F73" i="37"/>
  <c r="G73" i="37" s="1"/>
  <c r="D71" i="37"/>
  <c r="E71" i="37" s="1"/>
  <c r="F71" i="37"/>
  <c r="G71" i="37" s="1"/>
  <c r="F15" i="37"/>
  <c r="AA15" i="37" s="1"/>
  <c r="B68" i="37"/>
  <c r="H14" i="37" s="1"/>
  <c r="B66" i="37"/>
  <c r="B64" i="37"/>
  <c r="D63" i="37"/>
  <c r="E63" i="37"/>
  <c r="F63" i="37" s="1"/>
  <c r="G63" i="37"/>
  <c r="H63" i="37" s="1"/>
  <c r="I63" i="37" s="1"/>
  <c r="J63" i="37" s="1"/>
  <c r="K63" i="37"/>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c r="M81" i="36" s="1"/>
  <c r="F79" i="36"/>
  <c r="E79" i="36"/>
  <c r="D79" i="36"/>
  <c r="C79" i="36"/>
  <c r="B93" i="36"/>
  <c r="B91" i="36"/>
  <c r="F32" i="36"/>
  <c r="S32" i="36" s="1"/>
  <c r="B95" i="36"/>
  <c r="D83" i="36"/>
  <c r="E83" i="36" s="1"/>
  <c r="F83" i="36"/>
  <c r="G83" i="36" s="1"/>
  <c r="H83" i="36" s="1"/>
  <c r="I83" i="36" s="1"/>
  <c r="J83" i="36" s="1"/>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E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B126" i="33"/>
  <c r="B98" i="33"/>
  <c r="F31" i="33" s="1"/>
  <c r="AA31" i="33"/>
  <c r="B96" i="33"/>
  <c r="B94" i="33"/>
  <c r="J29" i="33" s="1"/>
  <c r="B74" i="33"/>
  <c r="B72" i="33"/>
  <c r="F13" i="33" s="1"/>
  <c r="S13" i="33" s="1"/>
  <c r="B70" i="33"/>
  <c r="D96" i="35"/>
  <c r="E96" i="35" s="1"/>
  <c r="F96" i="35" s="1"/>
  <c r="G96" i="35" s="1"/>
  <c r="D94" i="35"/>
  <c r="D84" i="35"/>
  <c r="E84" i="35"/>
  <c r="F84" i="35" s="1"/>
  <c r="G84" i="35" s="1"/>
  <c r="H84" i="35" s="1"/>
  <c r="I84" i="35"/>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c r="F110" i="34"/>
  <c r="E110" i="34"/>
  <c r="D110" i="34"/>
  <c r="C110" i="34"/>
  <c r="D109" i="34"/>
  <c r="E109" i="34"/>
  <c r="F109" i="34" s="1"/>
  <c r="G109" i="34" s="1"/>
  <c r="H109" i="34" s="1"/>
  <c r="I109" i="34" s="1"/>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B89" i="34"/>
  <c r="J27" i="34"/>
  <c r="D88" i="34"/>
  <c r="E88" i="34"/>
  <c r="F88" i="34" s="1"/>
  <c r="G88" i="34"/>
  <c r="H88" i="34" s="1"/>
  <c r="I88" i="34" s="1"/>
  <c r="J88" i="34" s="1"/>
  <c r="K88" i="34"/>
  <c r="L88" i="34" s="1"/>
  <c r="M88" i="34" s="1"/>
  <c r="D86" i="34"/>
  <c r="E86" i="34"/>
  <c r="D82" i="34"/>
  <c r="E82" i="34"/>
  <c r="F82" i="34" s="1"/>
  <c r="G82" i="34"/>
  <c r="D80" i="34"/>
  <c r="D78" i="34"/>
  <c r="D70" i="34"/>
  <c r="E70" i="34"/>
  <c r="F70" i="34" s="1"/>
  <c r="G70" i="34" s="1"/>
  <c r="H70" i="34" s="1"/>
  <c r="I70" i="34"/>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s="1"/>
  <c r="F108" i="33"/>
  <c r="G108" i="33" s="1"/>
  <c r="H108" i="33" s="1"/>
  <c r="I108" i="33" s="1"/>
  <c r="J108" i="33"/>
  <c r="K108" i="33" s="1"/>
  <c r="L108" i="33" s="1"/>
  <c r="M108" i="33" s="1"/>
  <c r="D106" i="33"/>
  <c r="M102" i="33"/>
  <c r="L102" i="33"/>
  <c r="K102" i="33"/>
  <c r="J102" i="33"/>
  <c r="I102" i="33"/>
  <c r="H102" i="33"/>
  <c r="G102" i="33"/>
  <c r="F102" i="33"/>
  <c r="E102" i="33"/>
  <c r="D102" i="33"/>
  <c r="C102" i="33"/>
  <c r="D101" i="33"/>
  <c r="E101" i="33" s="1"/>
  <c r="F101" i="33" s="1"/>
  <c r="G101" i="33" s="1"/>
  <c r="H101" i="33"/>
  <c r="I101" i="33" s="1"/>
  <c r="J101" i="33" s="1"/>
  <c r="K101" i="33" s="1"/>
  <c r="L101" i="33" s="1"/>
  <c r="M101" i="33" s="1"/>
  <c r="B92" i="33"/>
  <c r="B90" i="33"/>
  <c r="H27" i="33"/>
  <c r="U27" i="33" s="1"/>
  <c r="D87" i="33"/>
  <c r="E87" i="33" s="1"/>
  <c r="D85" i="33"/>
  <c r="E85" i="33" s="1"/>
  <c r="D81" i="33"/>
  <c r="E81" i="33" s="1"/>
  <c r="F81" i="33" s="1"/>
  <c r="G81" i="33" s="1"/>
  <c r="D79" i="33"/>
  <c r="E79" i="33" s="1"/>
  <c r="F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c r="J110" i="21" s="1"/>
  <c r="K110" i="21" s="1"/>
  <c r="L110" i="21" s="1"/>
  <c r="M110" i="21" s="1"/>
  <c r="J36" i="21"/>
  <c r="W36" i="21"/>
  <c r="D108" i="21"/>
  <c r="E108" i="21"/>
  <c r="F108" i="21" s="1"/>
  <c r="G108" i="21" s="1"/>
  <c r="H108" i="21" s="1"/>
  <c r="I108" i="21"/>
  <c r="J108" i="21" s="1"/>
  <c r="K108" i="21" s="1"/>
  <c r="L108" i="21" s="1"/>
  <c r="M108" i="21" s="1"/>
  <c r="D106" i="21"/>
  <c r="E106" i="21"/>
  <c r="F106" i="21" s="1"/>
  <c r="G106" i="21" s="1"/>
  <c r="H106" i="21" s="1"/>
  <c r="I106" i="21"/>
  <c r="J106" i="21" s="1"/>
  <c r="K106" i="21" s="1"/>
  <c r="L106" i="21" s="1"/>
  <c r="M106" i="21" s="1"/>
  <c r="D101" i="21"/>
  <c r="E101" i="21"/>
  <c r="F101" i="21" s="1"/>
  <c r="G101" i="21" s="1"/>
  <c r="H101" i="21" s="1"/>
  <c r="I101" i="21"/>
  <c r="J101" i="21" s="1"/>
  <c r="K101" i="21" s="1"/>
  <c r="L101" i="21" s="1"/>
  <c r="M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D81" i="21"/>
  <c r="E81" i="21" s="1"/>
  <c r="F81" i="21"/>
  <c r="G81" i="21" s="1"/>
  <c r="D77" i="21"/>
  <c r="E77" i="21" s="1"/>
  <c r="B130" i="21"/>
  <c r="J46" i="21" s="1"/>
  <c r="B128" i="21"/>
  <c r="B126" i="21"/>
  <c r="B98" i="21"/>
  <c r="B96" i="21"/>
  <c r="B94" i="21"/>
  <c r="B92" i="21"/>
  <c r="B90" i="21"/>
  <c r="B74" i="21"/>
  <c r="B72" i="21"/>
  <c r="B70" i="21"/>
  <c r="F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Q38" i="21"/>
  <c r="Z38" i="21" s="1"/>
  <c r="J39" i="2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2" i="11"/>
  <c r="C9" i="12"/>
  <c r="C6" i="12" s="1"/>
  <c r="C24" i="12" s="1"/>
  <c r="BB12" i="3"/>
  <c r="F9" i="12"/>
  <c r="D9" i="12"/>
  <c r="E9" i="12"/>
  <c r="G9" i="12"/>
  <c r="K5" i="3"/>
  <c r="J5" i="3"/>
  <c r="BE10" i="3"/>
  <c r="BD13" i="3"/>
  <c r="BE13" i="3"/>
  <c r="BF13" i="3"/>
  <c r="BG13" i="3"/>
  <c r="BH13" i="3"/>
  <c r="BI13" i="3"/>
  <c r="BJ13" i="3"/>
  <c r="BJ5" i="3" s="1"/>
  <c r="BK13" i="3"/>
  <c r="BM13" i="3"/>
  <c r="BN13" i="3"/>
  <c r="BO13" i="3"/>
  <c r="BP13" i="3"/>
  <c r="BS13" i="3"/>
  <c r="BS5" i="3" s="1"/>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F36" i="21"/>
  <c r="S36" i="21" s="1"/>
  <c r="F39" i="21"/>
  <c r="J40" i="21"/>
  <c r="H35" i="21"/>
  <c r="AB35" i="21" s="1"/>
  <c r="J8" i="21"/>
  <c r="J9" i="21"/>
  <c r="AC9" i="21" s="1"/>
  <c r="H8" i="2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J26" i="21"/>
  <c r="W26" i="21" s="1"/>
  <c r="F26" i="21"/>
  <c r="AA26" i="21" s="1"/>
  <c r="AB41" i="21"/>
  <c r="S41" i="21"/>
  <c r="AA41" i="21"/>
  <c r="W41" i="21"/>
  <c r="S10" i="39"/>
  <c r="U30" i="37"/>
  <c r="E103" i="37"/>
  <c r="F103" i="37" s="1"/>
  <c r="F39" i="37"/>
  <c r="W39" i="37"/>
  <c r="F29" i="36"/>
  <c r="AA29" i="36"/>
  <c r="F16" i="36"/>
  <c r="AA16" i="36"/>
  <c r="U22" i="36"/>
  <c r="W23" i="36"/>
  <c r="W22" i="36"/>
  <c r="U26" i="36"/>
  <c r="J33" i="36"/>
  <c r="W33" i="36" s="1"/>
  <c r="AC27" i="35"/>
  <c r="U31" i="35"/>
  <c r="S34" i="35"/>
  <c r="W24" i="35"/>
  <c r="S31" i="35"/>
  <c r="W31" i="35"/>
  <c r="F36" i="34"/>
  <c r="W9" i="34"/>
  <c r="S34" i="34"/>
  <c r="W39" i="34"/>
  <c r="H39" i="33"/>
  <c r="AB39" i="33"/>
  <c r="F26" i="33"/>
  <c r="AA26" i="33"/>
  <c r="U33" i="33"/>
  <c r="W38" i="33"/>
  <c r="S40" i="33"/>
  <c r="S33" i="33"/>
  <c r="W33" i="33"/>
  <c r="U38" i="33"/>
  <c r="S8" i="21"/>
  <c r="H39" i="37"/>
  <c r="AB39" i="37" s="1"/>
  <c r="AB27" i="35"/>
  <c r="S10" i="40"/>
  <c r="W10" i="40"/>
  <c r="S11" i="40"/>
  <c r="U11" i="40"/>
  <c r="S36" i="40"/>
  <c r="U36" i="40"/>
  <c r="S40" i="39"/>
  <c r="S36" i="39"/>
  <c r="F11" i="21"/>
  <c r="S11" i="21"/>
  <c r="AB36" i="21"/>
  <c r="C29" i="39"/>
  <c r="C23" i="39"/>
  <c r="U36" i="39"/>
  <c r="S42" i="39"/>
  <c r="H32" i="33"/>
  <c r="AB32" i="33"/>
  <c r="H11" i="21"/>
  <c r="U11" i="21"/>
  <c r="J11" i="21"/>
  <c r="W11" i="21"/>
  <c r="F100" i="40"/>
  <c r="F86" i="40"/>
  <c r="G86" i="40" s="1"/>
  <c r="AA12" i="33"/>
  <c r="U9" i="21"/>
  <c r="J27" i="36"/>
  <c r="W27" i="36"/>
  <c r="J30" i="35"/>
  <c r="W30" i="35"/>
  <c r="F22" i="35"/>
  <c r="AA22" i="35"/>
  <c r="H10" i="35"/>
  <c r="U10" i="35"/>
  <c r="U29" i="36"/>
  <c r="E85" i="36"/>
  <c r="F85" i="36" s="1"/>
  <c r="G85" i="36" s="1"/>
  <c r="H85" i="36" s="1"/>
  <c r="I85" i="36" s="1"/>
  <c r="J85" i="36" s="1"/>
  <c r="K85" i="36" s="1"/>
  <c r="L85" i="36" s="1"/>
  <c r="M85" i="36" s="1"/>
  <c r="J29" i="36"/>
  <c r="AC29" i="36"/>
  <c r="F12" i="36"/>
  <c r="S12" i="36"/>
  <c r="S10" i="36"/>
  <c r="AB8" i="36"/>
  <c r="H16" i="35"/>
  <c r="U16" i="35"/>
  <c r="H33" i="35"/>
  <c r="AB33" i="35"/>
  <c r="W8" i="35"/>
  <c r="AC8" i="35"/>
  <c r="F35" i="37"/>
  <c r="E101" i="37"/>
  <c r="F101" i="37" s="1"/>
  <c r="G101" i="37" s="1"/>
  <c r="H101" i="37" s="1"/>
  <c r="I101" i="37"/>
  <c r="J101" i="37" s="1"/>
  <c r="K101" i="37" s="1"/>
  <c r="L101" i="37" s="1"/>
  <c r="M101" i="37" s="1"/>
  <c r="J34" i="37"/>
  <c r="W34" i="37"/>
  <c r="H43" i="34"/>
  <c r="U42" i="34"/>
  <c r="E114" i="34"/>
  <c r="H36" i="34"/>
  <c r="U36" i="34"/>
  <c r="F37" i="34"/>
  <c r="AA37" i="34"/>
  <c r="F33" i="34"/>
  <c r="S33" i="34"/>
  <c r="F19" i="34"/>
  <c r="AA19" i="34" s="1"/>
  <c r="J10" i="34"/>
  <c r="AC10" i="34" s="1"/>
  <c r="U9" i="34"/>
  <c r="W8" i="34"/>
  <c r="J28" i="34"/>
  <c r="S38" i="33"/>
  <c r="E113" i="33"/>
  <c r="F36" i="33"/>
  <c r="S36" i="33" s="1"/>
  <c r="F19" i="33"/>
  <c r="S19" i="33" s="1"/>
  <c r="J19" i="33"/>
  <c r="W40" i="33"/>
  <c r="G125" i="21"/>
  <c r="AB30" i="36"/>
  <c r="S22" i="35"/>
  <c r="H29" i="35"/>
  <c r="U34" i="37"/>
  <c r="S34" i="37"/>
  <c r="AA34" i="37"/>
  <c r="AC43" i="34"/>
  <c r="AB42" i="34"/>
  <c r="AB40" i="34"/>
  <c r="W36" i="34"/>
  <c r="J19" i="34"/>
  <c r="AC19" i="34"/>
  <c r="F113" i="33"/>
  <c r="G113" i="33"/>
  <c r="H113" i="33" s="1"/>
  <c r="I113" i="33"/>
  <c r="J113" i="33" s="1"/>
  <c r="K113" i="33" s="1"/>
  <c r="L113" i="33" s="1"/>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F14" i="21"/>
  <c r="H28" i="21"/>
  <c r="H44" i="21"/>
  <c r="H46" i="21"/>
  <c r="F46" i="21"/>
  <c r="H26" i="33"/>
  <c r="U26" i="33" s="1"/>
  <c r="H28" i="33"/>
  <c r="AB28" i="33" s="1"/>
  <c r="F28" i="33"/>
  <c r="AA28" i="33"/>
  <c r="J28" i="33"/>
  <c r="W28" i="33"/>
  <c r="F33" i="35"/>
  <c r="S33" i="35"/>
  <c r="J33" i="35"/>
  <c r="W33" i="35"/>
  <c r="F30" i="35"/>
  <c r="AA30" i="35"/>
  <c r="F89" i="35"/>
  <c r="G89" i="35" s="1"/>
  <c r="H89" i="35"/>
  <c r="I89" i="35" s="1"/>
  <c r="J89" i="35" s="1"/>
  <c r="K89" i="35" s="1"/>
  <c r="L89" i="35"/>
  <c r="M89" i="35" s="1"/>
  <c r="H10" i="36"/>
  <c r="AB10" i="36" s="1"/>
  <c r="F28" i="36"/>
  <c r="S28" i="36" s="1"/>
  <c r="F27" i="36"/>
  <c r="S27" i="36" s="1"/>
  <c r="H13" i="21"/>
  <c r="J13" i="21"/>
  <c r="AC13" i="21" s="1"/>
  <c r="F13" i="21"/>
  <c r="AA13" i="21" s="1"/>
  <c r="H27" i="21"/>
  <c r="AB27" i="21" s="1"/>
  <c r="J27" i="21"/>
  <c r="W27" i="21" s="1"/>
  <c r="F27" i="21"/>
  <c r="AA27" i="21" s="1"/>
  <c r="J29" i="21"/>
  <c r="H29" i="21"/>
  <c r="U29" i="21" s="1"/>
  <c r="F29" i="21"/>
  <c r="J31" i="21"/>
  <c r="AC31" i="21" s="1"/>
  <c r="H31" i="21"/>
  <c r="U31" i="21" s="1"/>
  <c r="F31" i="21"/>
  <c r="S31" i="21" s="1"/>
  <c r="J45" i="21"/>
  <c r="F45" i="21"/>
  <c r="H45" i="21"/>
  <c r="J27" i="33"/>
  <c r="AC27" i="33" s="1"/>
  <c r="F27" i="33"/>
  <c r="J31" i="33"/>
  <c r="AC31" i="33" s="1"/>
  <c r="H31" i="33"/>
  <c r="U31" i="33" s="1"/>
  <c r="S31" i="33"/>
  <c r="F11" i="35"/>
  <c r="S11" i="35"/>
  <c r="H28" i="36"/>
  <c r="U28" i="36"/>
  <c r="H32" i="36"/>
  <c r="AB32" i="36"/>
  <c r="J32" i="36"/>
  <c r="J11" i="36"/>
  <c r="W11" i="36" s="1"/>
  <c r="H13" i="36"/>
  <c r="AB13" i="36" s="1"/>
  <c r="J13" i="36"/>
  <c r="W13" i="36" s="1"/>
  <c r="F13" i="36"/>
  <c r="E89" i="37"/>
  <c r="F89" i="37" s="1"/>
  <c r="G89" i="37"/>
  <c r="H89" i="37" s="1"/>
  <c r="I89" i="37" s="1"/>
  <c r="J89" i="37" s="1"/>
  <c r="K89" i="37" s="1"/>
  <c r="L89" i="37" s="1"/>
  <c r="M89" i="37" s="1"/>
  <c r="J29" i="37"/>
  <c r="W29" i="37"/>
  <c r="F29" i="37"/>
  <c r="AA29" i="37"/>
  <c r="F105" i="37"/>
  <c r="AB36" i="37"/>
  <c r="F107" i="37"/>
  <c r="J37" i="37"/>
  <c r="AC37" i="37" s="1"/>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H46" i="33"/>
  <c r="AB46" i="33" s="1"/>
  <c r="H13" i="34"/>
  <c r="U13" i="34" s="1"/>
  <c r="J13" i="34"/>
  <c r="W13" i="34" s="1"/>
  <c r="F13" i="34"/>
  <c r="AA13" i="34" s="1"/>
  <c r="J29" i="34"/>
  <c r="AC29" i="34" s="1"/>
  <c r="F29" i="34"/>
  <c r="H29" i="34"/>
  <c r="U29" i="34" s="1"/>
  <c r="J31" i="34"/>
  <c r="H31" i="34"/>
  <c r="AB31" i="34" s="1"/>
  <c r="F31" i="34"/>
  <c r="H45" i="34"/>
  <c r="U45" i="34" s="1"/>
  <c r="J45" i="34"/>
  <c r="F45" i="34"/>
  <c r="AA45" i="34" s="1"/>
  <c r="H47" i="34"/>
  <c r="F47" i="34"/>
  <c r="AA47" i="34" s="1"/>
  <c r="J47" i="34"/>
  <c r="F13" i="35"/>
  <c r="S13" i="35" s="1"/>
  <c r="J13" i="35"/>
  <c r="AC13" i="35" s="1"/>
  <c r="H13" i="35"/>
  <c r="U13" i="35" s="1"/>
  <c r="J25" i="35"/>
  <c r="AC25" i="35" s="1"/>
  <c r="F25" i="35"/>
  <c r="AA25" i="35" s="1"/>
  <c r="H25" i="35"/>
  <c r="J35" i="35"/>
  <c r="F35" i="35"/>
  <c r="S35" i="35" s="1"/>
  <c r="H35" i="35"/>
  <c r="U35" i="35" s="1"/>
  <c r="J25" i="36"/>
  <c r="W25" i="36" s="1"/>
  <c r="F25" i="36"/>
  <c r="AA25" i="36" s="1"/>
  <c r="H25" i="36"/>
  <c r="H13" i="37"/>
  <c r="AB13" i="37" s="1"/>
  <c r="F13" i="37"/>
  <c r="J13" i="37"/>
  <c r="AC13" i="37" s="1"/>
  <c r="F28" i="37"/>
  <c r="J28" i="37"/>
  <c r="AC28" i="37" s="1"/>
  <c r="H28" i="37"/>
  <c r="U28" i="37" s="1"/>
  <c r="H38" i="37"/>
  <c r="AB38" i="37" s="1"/>
  <c r="J38" i="37"/>
  <c r="F38" i="37"/>
  <c r="S38" i="37" s="1"/>
  <c r="F14" i="37"/>
  <c r="AA14" i="37" s="1"/>
  <c r="F27" i="37"/>
  <c r="AA27" i="37" s="1"/>
  <c r="J14" i="37"/>
  <c r="J27" i="37"/>
  <c r="W27" i="37" s="1"/>
  <c r="AA38" i="37"/>
  <c r="AB13" i="35"/>
  <c r="U30" i="33"/>
  <c r="J36" i="37"/>
  <c r="AC36" i="37" s="1"/>
  <c r="G105" i="37"/>
  <c r="AB28" i="36"/>
  <c r="AB31" i="21"/>
  <c r="W42" i="21"/>
  <c r="U36" i="37"/>
  <c r="AC13" i="36"/>
  <c r="AB31" i="33"/>
  <c r="AB27" i="33"/>
  <c r="AC28" i="33"/>
  <c r="S19" i="21"/>
  <c r="G517" i="3"/>
  <c r="G513" i="3"/>
  <c r="G508" i="3"/>
  <c r="G499" i="3"/>
  <c r="G493" i="3"/>
  <c r="G485" i="3"/>
  <c r="G17" i="3"/>
  <c r="G565" i="3"/>
  <c r="G561" i="3"/>
  <c r="G539" i="3"/>
  <c r="BL561" i="3"/>
  <c r="BL511" i="3"/>
  <c r="BL501" i="3"/>
  <c r="BL491" i="3"/>
  <c r="AZ491" i="3" s="1"/>
  <c r="BL483" i="3"/>
  <c r="G16" i="3"/>
  <c r="BL563" i="3"/>
  <c r="BL559" i="3"/>
  <c r="BL551" i="3"/>
  <c r="BL525" i="3"/>
  <c r="G518" i="3"/>
  <c r="G514" i="3"/>
  <c r="BL485" i="3"/>
  <c r="BA565" i="3"/>
  <c r="BA561" i="3"/>
  <c r="AZ561" i="3" s="1"/>
  <c r="BA559" i="3"/>
  <c r="AZ559" i="3" s="1"/>
  <c r="BA551" i="3"/>
  <c r="AZ551" i="3"/>
  <c r="BA505" i="3"/>
  <c r="BA501" i="3"/>
  <c r="BA493" i="3"/>
  <c r="BA572" i="3"/>
  <c r="BA566" i="3"/>
  <c r="BA562" i="3"/>
  <c r="AZ562" i="3" s="1"/>
  <c r="BA560" i="3"/>
  <c r="BA558" i="3"/>
  <c r="BA540" i="3"/>
  <c r="BA536" i="3"/>
  <c r="BA532" i="3"/>
  <c r="BA524" i="3"/>
  <c r="BA516" i="3"/>
  <c r="BA512" i="3"/>
  <c r="BA508" i="3"/>
  <c r="BA502" i="3"/>
  <c r="BA498" i="3"/>
  <c r="BA492" i="3"/>
  <c r="BA484" i="3"/>
  <c r="G566" i="3"/>
  <c r="G562" i="3"/>
  <c r="G560" i="3"/>
  <c r="G558" i="3"/>
  <c r="AC542" i="3"/>
  <c r="BQ542" i="3"/>
  <c r="BQ568" i="3"/>
  <c r="BQ566" i="3"/>
  <c r="BL566" i="3" s="1"/>
  <c r="BQ564" i="3"/>
  <c r="BL564" i="3"/>
  <c r="BQ562" i="3"/>
  <c r="BL562" i="3"/>
  <c r="BQ560" i="3"/>
  <c r="BL560" i="3" s="1"/>
  <c r="AZ560" i="3" s="1"/>
  <c r="BQ558" i="3"/>
  <c r="BQ556" i="3"/>
  <c r="BQ554" i="3"/>
  <c r="BQ552" i="3"/>
  <c r="BL552" i="3" s="1"/>
  <c r="BQ550" i="3"/>
  <c r="BQ548" i="3"/>
  <c r="BQ546" i="3"/>
  <c r="BQ544" i="3"/>
  <c r="G544" i="3"/>
  <c r="G538" i="3"/>
  <c r="G534" i="3"/>
  <c r="G526" i="3"/>
  <c r="BQ540" i="3"/>
  <c r="BL540" i="3" s="1"/>
  <c r="AZ540" i="3" s="1"/>
  <c r="BQ538" i="3"/>
  <c r="BL538" i="3" s="1"/>
  <c r="BQ536" i="3"/>
  <c r="BQ534" i="3"/>
  <c r="BL534" i="3"/>
  <c r="BQ532" i="3"/>
  <c r="BL532" i="3"/>
  <c r="AZ532" i="3" s="1"/>
  <c r="BQ530" i="3"/>
  <c r="BQ528" i="3"/>
  <c r="BQ526" i="3"/>
  <c r="BL526" i="3"/>
  <c r="BQ524" i="3"/>
  <c r="BL524" i="3"/>
  <c r="AZ524" i="3" s="1"/>
  <c r="BQ522" i="3"/>
  <c r="BQ520" i="3"/>
  <c r="BQ518" i="3"/>
  <c r="BQ516" i="3"/>
  <c r="BL516" i="3"/>
  <c r="BQ514" i="3"/>
  <c r="BL514" i="3"/>
  <c r="BQ512" i="3"/>
  <c r="BQ510" i="3"/>
  <c r="BQ508" i="3"/>
  <c r="BL508" i="3" s="1"/>
  <c r="AC506" i="3"/>
  <c r="G506" i="3" s="1"/>
  <c r="BQ506" i="3"/>
  <c r="G502" i="3"/>
  <c r="G498" i="3"/>
  <c r="BQ504" i="3"/>
  <c r="BQ502" i="3"/>
  <c r="BL502" i="3" s="1"/>
  <c r="AZ502" i="3" s="1"/>
  <c r="BQ500" i="3"/>
  <c r="BL500" i="3" s="1"/>
  <c r="BQ498" i="3"/>
  <c r="BL498" i="3" s="1"/>
  <c r="AZ498" i="3" s="1"/>
  <c r="BQ496" i="3"/>
  <c r="AC494" i="3"/>
  <c r="G494" i="3" s="1"/>
  <c r="BQ494" i="3"/>
  <c r="BL493" i="3"/>
  <c r="G492" i="3"/>
  <c r="G488" i="3"/>
  <c r="G484" i="3"/>
  <c r="G20" i="3"/>
  <c r="BQ492" i="3"/>
  <c r="BL492" i="3"/>
  <c r="BQ490" i="3"/>
  <c r="BQ488" i="3"/>
  <c r="BQ486" i="3"/>
  <c r="BQ484" i="3"/>
  <c r="BL484" i="3"/>
  <c r="AZ484" i="3" s="1"/>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c r="H43" i="33"/>
  <c r="U43" i="33"/>
  <c r="H17" i="37"/>
  <c r="U17" i="37"/>
  <c r="F23" i="37"/>
  <c r="S23" i="37"/>
  <c r="AB27" i="37"/>
  <c r="F39" i="33"/>
  <c r="AA39" i="33"/>
  <c r="E123" i="33"/>
  <c r="F42" i="33"/>
  <c r="H28" i="34"/>
  <c r="AB28" i="34" s="1"/>
  <c r="F22" i="36"/>
  <c r="H35" i="34"/>
  <c r="U35" i="34" s="1"/>
  <c r="F41" i="34"/>
  <c r="H41" i="34"/>
  <c r="J41" i="34"/>
  <c r="F10" i="35"/>
  <c r="F24" i="35"/>
  <c r="H24" i="35"/>
  <c r="H23" i="37"/>
  <c r="AB23" i="37" s="1"/>
  <c r="J32" i="37"/>
  <c r="AC32" i="37" s="1"/>
  <c r="F36" i="37"/>
  <c r="S36" i="37" s="1"/>
  <c r="F37" i="37"/>
  <c r="AA37" i="37" s="1"/>
  <c r="U23" i="37"/>
  <c r="F123" i="33"/>
  <c r="G123" i="33" s="1"/>
  <c r="H123" i="33" s="1"/>
  <c r="I123" i="33" s="1"/>
  <c r="J123" i="33" s="1"/>
  <c r="K123" i="33" s="1"/>
  <c r="L123" i="33" s="1"/>
  <c r="M123" i="33" s="1"/>
  <c r="H42" i="33"/>
  <c r="J43" i="33"/>
  <c r="G79" i="37"/>
  <c r="J23" i="37"/>
  <c r="W23" i="37"/>
  <c r="F17" i="37"/>
  <c r="AA17" i="37"/>
  <c r="AB43" i="33"/>
  <c r="D3" i="21"/>
  <c r="AC33" i="36"/>
  <c r="AC12" i="35"/>
  <c r="W23" i="35"/>
  <c r="AC23" i="37"/>
  <c r="S27" i="37"/>
  <c r="U39" i="37"/>
  <c r="AC8" i="37"/>
  <c r="S25" i="37"/>
  <c r="AC36" i="34"/>
  <c r="AB8" i="34"/>
  <c r="AC37" i="33"/>
  <c r="AA13" i="33"/>
  <c r="U19" i="21"/>
  <c r="AC33" i="21"/>
  <c r="AA36" i="21"/>
  <c r="S39" i="33"/>
  <c r="F43" i="33"/>
  <c r="AA43" i="33" s="1"/>
  <c r="AA23" i="37"/>
  <c r="G107" i="37"/>
  <c r="H107" i="37"/>
  <c r="I107" i="37" s="1"/>
  <c r="J107" i="37"/>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F94" i="37"/>
  <c r="G94" i="37" s="1"/>
  <c r="H94" i="37"/>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AZ328" i="3" s="1"/>
  <c r="BA330" i="3"/>
  <c r="AZ330" i="3"/>
  <c r="BA331" i="3"/>
  <c r="BL331" i="3"/>
  <c r="AZ331" i="3" s="1"/>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AZ359" i="3" s="1"/>
  <c r="BL359" i="3"/>
  <c r="G360" i="3"/>
  <c r="G361" i="3"/>
  <c r="BL362" i="3"/>
  <c r="BA364" i="3"/>
  <c r="AZ364" i="3" s="1"/>
  <c r="BA365" i="3"/>
  <c r="BL365" i="3"/>
  <c r="G366" i="3"/>
  <c r="G369" i="3"/>
  <c r="BL370" i="3"/>
  <c r="AZ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9" i="48"/>
  <c r="C12" i="46"/>
  <c r="AB16" i="35"/>
  <c r="AB15" i="37"/>
  <c r="AA43" i="21"/>
  <c r="U43" i="21"/>
  <c r="AA13" i="40"/>
  <c r="E78" i="40"/>
  <c r="F78" i="40" s="1"/>
  <c r="G78" i="40"/>
  <c r="H78" i="40" s="1"/>
  <c r="I78" i="40" s="1"/>
  <c r="J78" i="40" s="1"/>
  <c r="K78" i="40" s="1"/>
  <c r="L78" i="40" s="1"/>
  <c r="M78" i="40" s="1"/>
  <c r="R16" i="4"/>
  <c r="P16" i="4"/>
  <c r="K17" i="4" s="1"/>
  <c r="D3" i="35"/>
  <c r="G4" i="4"/>
  <c r="S37" i="34"/>
  <c r="J16" i="35"/>
  <c r="W16" i="35" s="1"/>
  <c r="U42" i="21"/>
  <c r="AC26" i="36"/>
  <c r="W25" i="35"/>
  <c r="AZ354" i="3"/>
  <c r="H13" i="39"/>
  <c r="F13" i="39"/>
  <c r="AA13" i="39" s="1"/>
  <c r="J13" i="39"/>
  <c r="AC13" i="39"/>
  <c r="AA36" i="35"/>
  <c r="H11" i="37"/>
  <c r="AB11" i="37" s="1"/>
  <c r="W37" i="37"/>
  <c r="AA30" i="33"/>
  <c r="AA36" i="37"/>
  <c r="U32" i="33"/>
  <c r="AB17" i="37"/>
  <c r="AZ516" i="3"/>
  <c r="AC11" i="36"/>
  <c r="AC10" i="36"/>
  <c r="AB45" i="34"/>
  <c r="AB35" i="35"/>
  <c r="S25" i="35"/>
  <c r="W44" i="33"/>
  <c r="AC30" i="33"/>
  <c r="W30" i="33"/>
  <c r="AC29" i="37"/>
  <c r="W32" i="36"/>
  <c r="AC32" i="36"/>
  <c r="U28" i="33"/>
  <c r="J33" i="34"/>
  <c r="AB36" i="34"/>
  <c r="J40" i="34"/>
  <c r="W40" i="34"/>
  <c r="F16" i="35"/>
  <c r="AA16" i="35"/>
  <c r="W42" i="33"/>
  <c r="J35" i="34"/>
  <c r="W35" i="34"/>
  <c r="G107" i="34"/>
  <c r="H107" i="34" s="1"/>
  <c r="I107" i="34" s="1"/>
  <c r="J107" i="34" s="1"/>
  <c r="K107" i="34" s="1"/>
  <c r="L107" i="34" s="1"/>
  <c r="M107" i="34" s="1"/>
  <c r="S30" i="36"/>
  <c r="H16" i="36"/>
  <c r="G103" i="37"/>
  <c r="H103" i="37" s="1"/>
  <c r="I103" i="37" s="1"/>
  <c r="J103" i="37" s="1"/>
  <c r="K103" i="37" s="1"/>
  <c r="L103" i="37" s="1"/>
  <c r="M103" i="37" s="1"/>
  <c r="H35" i="37"/>
  <c r="AB35" i="37"/>
  <c r="S26" i="21"/>
  <c r="H32" i="21"/>
  <c r="U32" i="21"/>
  <c r="U26" i="21"/>
  <c r="AA33" i="21"/>
  <c r="S33" i="21"/>
  <c r="U39" i="21"/>
  <c r="W9" i="21"/>
  <c r="J32" i="21"/>
  <c r="AC32" i="21"/>
  <c r="F17" i="21"/>
  <c r="S17" i="21"/>
  <c r="H17" i="21"/>
  <c r="AB17" i="21"/>
  <c r="J17" i="21"/>
  <c r="AC17" i="21"/>
  <c r="H37" i="21"/>
  <c r="U37" i="21"/>
  <c r="F40" i="21"/>
  <c r="S40" i="21"/>
  <c r="H40" i="21"/>
  <c r="AB40" i="21"/>
  <c r="E119" i="21"/>
  <c r="F119" i="21"/>
  <c r="G119" i="21" s="1"/>
  <c r="H119" i="21"/>
  <c r="I119" i="21" s="1"/>
  <c r="J119" i="21" s="1"/>
  <c r="K119" i="21" s="1"/>
  <c r="L119" i="21" s="1"/>
  <c r="M119" i="21" s="1"/>
  <c r="AA8" i="33"/>
  <c r="S8" i="33"/>
  <c r="AC8" i="33"/>
  <c r="H66" i="33"/>
  <c r="F10" i="33"/>
  <c r="AA10" i="33" s="1"/>
  <c r="F11" i="33"/>
  <c r="J15" i="33"/>
  <c r="H19" i="33"/>
  <c r="AB19" i="33" s="1"/>
  <c r="F32" i="33"/>
  <c r="AA32" i="33" s="1"/>
  <c r="J32" i="33"/>
  <c r="AC32" i="33" s="1"/>
  <c r="F35" i="33"/>
  <c r="AA35" i="33" s="1"/>
  <c r="AB39" i="34"/>
  <c r="F11" i="34"/>
  <c r="S11" i="34"/>
  <c r="E80" i="34"/>
  <c r="F80" i="34"/>
  <c r="G80" i="34" s="1"/>
  <c r="H17" i="34"/>
  <c r="AB17" i="34"/>
  <c r="AC27" i="34"/>
  <c r="W27" i="34"/>
  <c r="S12" i="35"/>
  <c r="AB28" i="35"/>
  <c r="U28" i="35"/>
  <c r="J13" i="33"/>
  <c r="H29" i="33"/>
  <c r="AB29" i="33" s="1"/>
  <c r="J12" i="34"/>
  <c r="H12" i="34"/>
  <c r="F12" i="34"/>
  <c r="J14" i="34"/>
  <c r="W14" i="34" s="1"/>
  <c r="F14" i="34"/>
  <c r="S14" i="34" s="1"/>
  <c r="H14" i="34"/>
  <c r="H30" i="34"/>
  <c r="AB30" i="34" s="1"/>
  <c r="F30" i="34"/>
  <c r="J30" i="34"/>
  <c r="H32" i="34"/>
  <c r="AB32" i="34" s="1"/>
  <c r="F32" i="34"/>
  <c r="J32" i="34"/>
  <c r="W32" i="34" s="1"/>
  <c r="H46" i="34"/>
  <c r="AB46" i="34" s="1"/>
  <c r="F46" i="34"/>
  <c r="J46" i="34"/>
  <c r="AC46" i="34" s="1"/>
  <c r="H11" i="35"/>
  <c r="U11" i="35" s="1"/>
  <c r="J11" i="35"/>
  <c r="AC11" i="35"/>
  <c r="F96" i="37"/>
  <c r="H32" i="37"/>
  <c r="AB32" i="37" s="1"/>
  <c r="F19" i="39"/>
  <c r="H19" i="39"/>
  <c r="U19" i="39" s="1"/>
  <c r="J19" i="39"/>
  <c r="W19" i="39"/>
  <c r="F43" i="39"/>
  <c r="H43" i="39"/>
  <c r="U43" i="39" s="1"/>
  <c r="J43" i="39"/>
  <c r="AC43" i="39" s="1"/>
  <c r="F99" i="37"/>
  <c r="AC27" i="37"/>
  <c r="S45" i="34"/>
  <c r="U31" i="34"/>
  <c r="W27" i="33"/>
  <c r="S28" i="33"/>
  <c r="AA44" i="34"/>
  <c r="AB29" i="35"/>
  <c r="U29" i="35"/>
  <c r="AC19" i="33"/>
  <c r="W19" i="33"/>
  <c r="U43" i="34"/>
  <c r="AB43" i="34"/>
  <c r="AC34" i="37"/>
  <c r="S35" i="37"/>
  <c r="AA35" i="37"/>
  <c r="AB10" i="35"/>
  <c r="AA32" i="21"/>
  <c r="S32" i="21"/>
  <c r="U38" i="21"/>
  <c r="AB34" i="21"/>
  <c r="BA571" i="3"/>
  <c r="BL570" i="3"/>
  <c r="F42" i="21"/>
  <c r="AA42" i="21"/>
  <c r="AB40" i="33"/>
  <c r="U40" i="33"/>
  <c r="AA35" i="34"/>
  <c r="S35" i="34"/>
  <c r="E90" i="34"/>
  <c r="H27" i="34"/>
  <c r="AB8" i="35"/>
  <c r="U8" i="35"/>
  <c r="S9" i="35"/>
  <c r="J14" i="35"/>
  <c r="AC14" i="35"/>
  <c r="F14" i="35"/>
  <c r="H14" i="35"/>
  <c r="E80" i="35"/>
  <c r="E94" i="35"/>
  <c r="F94" i="35"/>
  <c r="G94" i="35" s="1"/>
  <c r="H94" i="35"/>
  <c r="I94" i="35" s="1"/>
  <c r="J94" i="35" s="1"/>
  <c r="K94" i="35" s="1"/>
  <c r="L94" i="35" s="1"/>
  <c r="M94" i="35" s="1"/>
  <c r="J32" i="35"/>
  <c r="AC32" i="35" s="1"/>
  <c r="H11" i="36"/>
  <c r="F11" i="36"/>
  <c r="W16" i="36"/>
  <c r="AC16" i="36"/>
  <c r="E78" i="36"/>
  <c r="F78" i="36" s="1"/>
  <c r="G78" i="36" s="1"/>
  <c r="H78" i="36" s="1"/>
  <c r="I78" i="36" s="1"/>
  <c r="J78" i="36" s="1"/>
  <c r="K78" i="36" s="1"/>
  <c r="L78" i="36" s="1"/>
  <c r="M78" i="36" s="1"/>
  <c r="F26" i="36"/>
  <c r="S26" i="36"/>
  <c r="H33" i="36"/>
  <c r="U33" i="36"/>
  <c r="F33" i="36"/>
  <c r="AA33" i="36"/>
  <c r="H27" i="36"/>
  <c r="AB27" i="36"/>
  <c r="AA31" i="36"/>
  <c r="AC25" i="37"/>
  <c r="AB29" i="37"/>
  <c r="AA30" i="37"/>
  <c r="S30" i="37"/>
  <c r="AC30" i="37"/>
  <c r="AC31" i="37"/>
  <c r="W31" i="37"/>
  <c r="F17" i="39"/>
  <c r="AA17" i="39" s="1"/>
  <c r="H17" i="39"/>
  <c r="J17" i="39"/>
  <c r="F21" i="39"/>
  <c r="H21" i="39"/>
  <c r="AB21" i="39" s="1"/>
  <c r="J21" i="39"/>
  <c r="W21" i="39"/>
  <c r="F33" i="39"/>
  <c r="H33" i="39"/>
  <c r="J33" i="39"/>
  <c r="W33" i="39" s="1"/>
  <c r="F44" i="39"/>
  <c r="S44" i="39"/>
  <c r="H44" i="39"/>
  <c r="U44" i="39"/>
  <c r="J44" i="39"/>
  <c r="W44" i="39"/>
  <c r="E128" i="39"/>
  <c r="F128" i="39"/>
  <c r="G128" i="39" s="1"/>
  <c r="H128" i="39" s="1"/>
  <c r="I128" i="39" s="1"/>
  <c r="J128" i="39" s="1"/>
  <c r="K128" i="39" s="1"/>
  <c r="L128" i="39" s="1"/>
  <c r="M128" i="39" s="1"/>
  <c r="F46" i="39"/>
  <c r="H46" i="39"/>
  <c r="U46" i="39" s="1"/>
  <c r="J46" i="39"/>
  <c r="W46" i="39" s="1"/>
  <c r="F29" i="39"/>
  <c r="E103" i="39"/>
  <c r="F103" i="39" s="1"/>
  <c r="G103" i="39" s="1"/>
  <c r="H29" i="39"/>
  <c r="U29" i="39"/>
  <c r="F34" i="39"/>
  <c r="AA34" i="39"/>
  <c r="H34" i="39"/>
  <c r="AB34" i="39"/>
  <c r="J34" i="39"/>
  <c r="AC34" i="39"/>
  <c r="F39" i="39"/>
  <c r="H39" i="39"/>
  <c r="AB39" i="39" s="1"/>
  <c r="J39" i="39"/>
  <c r="W39" i="39" s="1"/>
  <c r="J29" i="35"/>
  <c r="AC29" i="35"/>
  <c r="F29" i="35"/>
  <c r="S29" i="35"/>
  <c r="W30" i="36"/>
  <c r="AC30" i="36"/>
  <c r="BA568" i="3"/>
  <c r="BL567" i="3"/>
  <c r="BA567" i="3"/>
  <c r="AZ567" i="3"/>
  <c r="AZ566" i="3"/>
  <c r="BL565" i="3"/>
  <c r="AZ565" i="3"/>
  <c r="BA564" i="3"/>
  <c r="AZ564" i="3"/>
  <c r="BA563" i="3"/>
  <c r="AZ563" i="3"/>
  <c r="BA552" i="3"/>
  <c r="AZ552" i="3"/>
  <c r="BA548" i="3"/>
  <c r="BL547" i="3"/>
  <c r="BA547" i="3"/>
  <c r="AZ547" i="3" s="1"/>
  <c r="BL539" i="3"/>
  <c r="BA539" i="3"/>
  <c r="AZ539" i="3" s="1"/>
  <c r="BA538" i="3"/>
  <c r="AZ538" i="3" s="1"/>
  <c r="BL537" i="3"/>
  <c r="AZ537" i="3" s="1"/>
  <c r="BA537" i="3"/>
  <c r="BL536" i="3"/>
  <c r="AZ536" i="3" s="1"/>
  <c r="BA534" i="3"/>
  <c r="AZ534" i="3" s="1"/>
  <c r="BL531" i="3"/>
  <c r="BL529" i="3"/>
  <c r="BA527" i="3"/>
  <c r="BA526" i="3"/>
  <c r="BA525" i="3"/>
  <c r="AZ525" i="3" s="1"/>
  <c r="BL521" i="3"/>
  <c r="BL518" i="3"/>
  <c r="BA518" i="3"/>
  <c r="AZ518" i="3"/>
  <c r="BL517" i="3"/>
  <c r="BA517" i="3"/>
  <c r="AZ517" i="3" s="1"/>
  <c r="BL515" i="3"/>
  <c r="AZ515" i="3" s="1"/>
  <c r="BA515" i="3"/>
  <c r="BA514" i="3"/>
  <c r="AZ514" i="3" s="1"/>
  <c r="BL513" i="3"/>
  <c r="BA513" i="3"/>
  <c r="AZ513" i="3"/>
  <c r="BL512" i="3"/>
  <c r="AZ512" i="3"/>
  <c r="BL507" i="3"/>
  <c r="BA507" i="3"/>
  <c r="AZ507" i="3" s="1"/>
  <c r="BL506" i="3"/>
  <c r="BA506" i="3"/>
  <c r="AZ506" i="3"/>
  <c r="BL505" i="3"/>
  <c r="AZ505" i="3"/>
  <c r="BA500" i="3"/>
  <c r="AZ500" i="3"/>
  <c r="BL499" i="3"/>
  <c r="BA499" i="3"/>
  <c r="AZ499" i="3" s="1"/>
  <c r="BL497" i="3"/>
  <c r="AZ497" i="3" s="1"/>
  <c r="BA497" i="3"/>
  <c r="BL496" i="3"/>
  <c r="BL494" i="3"/>
  <c r="BA494" i="3"/>
  <c r="AZ494" i="3" s="1"/>
  <c r="BA491" i="3"/>
  <c r="BL490" i="3"/>
  <c r="BA490" i="3"/>
  <c r="AZ490" i="3" s="1"/>
  <c r="BL489" i="3"/>
  <c r="BA489" i="3"/>
  <c r="AZ489" i="3"/>
  <c r="BA486" i="3"/>
  <c r="BA485" i="3"/>
  <c r="AZ485" i="3"/>
  <c r="BA483" i="3"/>
  <c r="AZ483" i="3"/>
  <c r="BA482" i="3"/>
  <c r="AZ482" i="3"/>
  <c r="BL481" i="3"/>
  <c r="BA481" i="3"/>
  <c r="AZ481" i="3"/>
  <c r="BA18" i="3"/>
  <c r="F36" i="44"/>
  <c r="F114" i="34"/>
  <c r="G114" i="34" s="1"/>
  <c r="H114" i="34" s="1"/>
  <c r="I114" i="34" s="1"/>
  <c r="J114" i="34" s="1"/>
  <c r="K114" i="34" s="1"/>
  <c r="L114" i="34" s="1"/>
  <c r="M114" i="34" s="1"/>
  <c r="H38" i="34"/>
  <c r="H30" i="40"/>
  <c r="G100" i="40"/>
  <c r="H100" i="40" s="1"/>
  <c r="I100" i="40" s="1"/>
  <c r="J100" i="40" s="1"/>
  <c r="K100" i="40" s="1"/>
  <c r="L100" i="40" s="1"/>
  <c r="M100" i="40" s="1"/>
  <c r="J30" i="40"/>
  <c r="AC30" i="40"/>
  <c r="F38" i="40"/>
  <c r="AA38" i="40"/>
  <c r="AB33" i="21"/>
  <c r="S35" i="21"/>
  <c r="AB10" i="21"/>
  <c r="U8" i="21"/>
  <c r="AB8" i="21"/>
  <c r="S34" i="21"/>
  <c r="AC36" i="21"/>
  <c r="AB8" i="33"/>
  <c r="U8" i="33"/>
  <c r="E106" i="33"/>
  <c r="H34" i="33"/>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c r="H22" i="35"/>
  <c r="AB22" i="35"/>
  <c r="H23" i="35"/>
  <c r="F23" i="35"/>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J27" i="39"/>
  <c r="F15" i="40"/>
  <c r="AA15" i="40" s="1"/>
  <c r="J15" i="40"/>
  <c r="AC15" i="40" s="1"/>
  <c r="H15" i="40"/>
  <c r="AB15" i="40"/>
  <c r="E92" i="40"/>
  <c r="F92" i="40"/>
  <c r="H23" i="40"/>
  <c r="U23" i="40"/>
  <c r="H41" i="40"/>
  <c r="AB41" i="40"/>
  <c r="F41" i="40"/>
  <c r="AA41" i="40"/>
  <c r="J41" i="40"/>
  <c r="H36" i="33"/>
  <c r="H37" i="34"/>
  <c r="U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H33" i="40"/>
  <c r="AB33" i="40" s="1"/>
  <c r="F33" i="40"/>
  <c r="AA33" i="40" s="1"/>
  <c r="J33" i="40"/>
  <c r="H35" i="40"/>
  <c r="J35" i="40"/>
  <c r="J38" i="39"/>
  <c r="H38" i="39"/>
  <c r="J16" i="40"/>
  <c r="J14" i="40"/>
  <c r="W14" i="40" s="1"/>
  <c r="H42" i="40"/>
  <c r="AB42" i="40" s="1"/>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0" i="46"/>
  <c r="N7" i="46"/>
  <c r="F58"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C6" i="46" s="1"/>
  <c r="N10" i="46"/>
  <c r="AZ164" i="3"/>
  <c r="AZ167" i="3"/>
  <c r="AZ177" i="3"/>
  <c r="AZ180" i="3"/>
  <c r="AZ24" i="3"/>
  <c r="AZ32" i="3"/>
  <c r="AZ40" i="3"/>
  <c r="AZ48" i="3"/>
  <c r="AZ56" i="3"/>
  <c r="AZ63" i="3"/>
  <c r="AZ71" i="3"/>
  <c r="AZ79" i="3"/>
  <c r="AZ91" i="3"/>
  <c r="AZ99" i="3"/>
  <c r="AZ107" i="3"/>
  <c r="AZ112" i="3"/>
  <c r="J13" i="40"/>
  <c r="AB14" i="40"/>
  <c r="W40" i="40"/>
  <c r="S33" i="40"/>
  <c r="AC47" i="39"/>
  <c r="S47" i="39"/>
  <c r="AB25" i="39"/>
  <c r="AB37" i="34"/>
  <c r="AC41" i="40"/>
  <c r="W41" i="40"/>
  <c r="U41" i="40"/>
  <c r="J23" i="40"/>
  <c r="AC23" i="40" s="1"/>
  <c r="G92" i="40"/>
  <c r="F23" i="40"/>
  <c r="S23" i="40"/>
  <c r="W15" i="40"/>
  <c r="S23" i="39"/>
  <c r="AB16" i="39"/>
  <c r="W14" i="39"/>
  <c r="U23" i="35"/>
  <c r="AB23" i="35"/>
  <c r="H20" i="35"/>
  <c r="F20" i="35"/>
  <c r="H15" i="34"/>
  <c r="AB15" i="34" s="1"/>
  <c r="J15" i="34"/>
  <c r="AC15" i="34" s="1"/>
  <c r="H41" i="33"/>
  <c r="U41" i="33"/>
  <c r="F30" i="40"/>
  <c r="AA30" i="40"/>
  <c r="AA29" i="35"/>
  <c r="U39" i="39"/>
  <c r="J29" i="39"/>
  <c r="AC29" i="39"/>
  <c r="U21" i="39"/>
  <c r="AB33" i="36"/>
  <c r="AA14" i="35"/>
  <c r="S14" i="35"/>
  <c r="G99" i="37"/>
  <c r="F33" i="37"/>
  <c r="AB19" i="39"/>
  <c r="AA14" i="34"/>
  <c r="U17" i="34"/>
  <c r="AA11" i="34"/>
  <c r="W32" i="33"/>
  <c r="H15" i="33"/>
  <c r="U15" i="33"/>
  <c r="AA40" i="21"/>
  <c r="U17" i="21"/>
  <c r="S13" i="39"/>
  <c r="U16" i="40"/>
  <c r="W34" i="40"/>
  <c r="AB34" i="40"/>
  <c r="U42"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W29" i="35"/>
  <c r="AC39" i="39"/>
  <c r="AA39" i="39"/>
  <c r="S39" i="39"/>
  <c r="U34" i="39"/>
  <c r="AB29" i="39"/>
  <c r="AB46" i="39"/>
  <c r="AB44" i="39"/>
  <c r="AA33" i="39"/>
  <c r="S33" i="39"/>
  <c r="S17" i="39"/>
  <c r="F80" i="35"/>
  <c r="G80" i="35" s="1"/>
  <c r="H80" i="35"/>
  <c r="I80" i="35" s="1"/>
  <c r="J80" i="35" s="1"/>
  <c r="K80" i="35" s="1"/>
  <c r="L80" i="35" s="1"/>
  <c r="M80" i="35" s="1"/>
  <c r="W14" i="35"/>
  <c r="F90" i="34"/>
  <c r="G90" i="34"/>
  <c r="H90" i="34" s="1"/>
  <c r="I90" i="34"/>
  <c r="J90" i="34" s="1"/>
  <c r="K90" i="34" s="1"/>
  <c r="L90" i="34" s="1"/>
  <c r="M90" i="34" s="1"/>
  <c r="F27" i="34"/>
  <c r="S27" i="34"/>
  <c r="AA43" i="39"/>
  <c r="S43" i="39"/>
  <c r="G96" i="37"/>
  <c r="H96" i="37" s="1"/>
  <c r="I96" i="37" s="1"/>
  <c r="J96" i="37" s="1"/>
  <c r="K96" i="37" s="1"/>
  <c r="L96" i="37" s="1"/>
  <c r="M96" i="37" s="1"/>
  <c r="F32" i="37"/>
  <c r="S32" i="37"/>
  <c r="AB11" i="35"/>
  <c r="U32" i="34"/>
  <c r="AC14" i="34"/>
  <c r="F17" i="34"/>
  <c r="AA17" i="34" s="1"/>
  <c r="J17" i="34"/>
  <c r="AC17" i="34" s="1"/>
  <c r="H11" i="34"/>
  <c r="AB11" i="34" s="1"/>
  <c r="J35" i="33"/>
  <c r="W35" i="33" s="1"/>
  <c r="S32" i="33"/>
  <c r="H11" i="33"/>
  <c r="H10" i="33"/>
  <c r="U10" i="33" s="1"/>
  <c r="I66" i="33"/>
  <c r="J10" i="33"/>
  <c r="AC10" i="33"/>
  <c r="U40" i="21"/>
  <c r="U11" i="37"/>
  <c r="AC16" i="35"/>
  <c r="J11" i="34"/>
  <c r="S17" i="34"/>
  <c r="AC36" i="33"/>
  <c r="F25" i="40"/>
  <c r="AA25" i="40" s="1"/>
  <c r="J11" i="33"/>
  <c r="H33" i="37"/>
  <c r="U20" i="35"/>
  <c r="AB20" i="35"/>
  <c r="W23" i="40"/>
  <c r="AP11" i="1"/>
  <c r="B11" i="1"/>
  <c r="E11" i="1" s="1"/>
  <c r="K11" i="1"/>
  <c r="M11" i="1" s="1"/>
  <c r="O11" i="1" s="1"/>
  <c r="P11" i="1" s="1"/>
  <c r="B9" i="1"/>
  <c r="E9" i="1"/>
  <c r="K9" i="1"/>
  <c r="M9" i="1" s="1"/>
  <c r="B7" i="1"/>
  <c r="E7" i="1" s="1"/>
  <c r="K7" i="1"/>
  <c r="M7" i="1" s="1"/>
  <c r="O7" i="1" s="1"/>
  <c r="P7" i="1" s="1"/>
  <c r="C20" i="43"/>
  <c r="F6" i="1"/>
  <c r="AP6" i="1" s="1"/>
  <c r="G11" i="1"/>
  <c r="M22" i="44"/>
  <c r="AC25" i="36"/>
  <c r="S23" i="36"/>
  <c r="S8" i="36"/>
  <c r="AA26" i="36"/>
  <c r="AA28" i="36"/>
  <c r="H20" i="36"/>
  <c r="U20" i="36" s="1"/>
  <c r="F68" i="36"/>
  <c r="G68" i="36" s="1"/>
  <c r="J20" i="36"/>
  <c r="AC20" i="36" s="1"/>
  <c r="F20" i="36"/>
  <c r="F62" i="36"/>
  <c r="G62" i="36" s="1"/>
  <c r="J14" i="36"/>
  <c r="W14" i="36" s="1"/>
  <c r="H14" i="36"/>
  <c r="F14" i="36"/>
  <c r="W20" i="36"/>
  <c r="U27" i="36"/>
  <c r="U32" i="36"/>
  <c r="AB12" i="36"/>
  <c r="S33" i="36"/>
  <c r="AA27" i="36"/>
  <c r="S16" i="36"/>
  <c r="S29" i="36"/>
  <c r="AC33" i="35"/>
  <c r="U22" i="35"/>
  <c r="AA13" i="35"/>
  <c r="AC9" i="35"/>
  <c r="S8" i="35"/>
  <c r="U33" i="35"/>
  <c r="W20" i="35"/>
  <c r="S16" i="35"/>
  <c r="AC10" i="35"/>
  <c r="U9" i="35"/>
  <c r="W13" i="35"/>
  <c r="AC18" i="35"/>
  <c r="W18" i="35"/>
  <c r="U18" i="35"/>
  <c r="AB18" i="35"/>
  <c r="S30" i="35"/>
  <c r="AA35" i="35"/>
  <c r="AB30" i="35"/>
  <c r="S27" i="35"/>
  <c r="S28" i="35"/>
  <c r="J26" i="35"/>
  <c r="AC26" i="35" s="1"/>
  <c r="F26" i="35"/>
  <c r="H26" i="35"/>
  <c r="AB26" i="35" s="1"/>
  <c r="AB9" i="37"/>
  <c r="W12" i="37"/>
  <c r="AA9" i="37"/>
  <c r="S17" i="37"/>
  <c r="W28" i="37"/>
  <c r="AB37" i="37"/>
  <c r="S33" i="37"/>
  <c r="AA33" i="37"/>
  <c r="U32" i="37"/>
  <c r="AA32" i="37"/>
  <c r="J33" i="37"/>
  <c r="W33" i="37" s="1"/>
  <c r="H99" i="37"/>
  <c r="I99" i="37" s="1"/>
  <c r="J99" i="37" s="1"/>
  <c r="K99" i="37" s="1"/>
  <c r="L99" i="37" s="1"/>
  <c r="M99" i="37" s="1"/>
  <c r="S29" i="37"/>
  <c r="J19" i="37"/>
  <c r="AC19" i="37"/>
  <c r="F19" i="37"/>
  <c r="AA19" i="37" s="1"/>
  <c r="H19" i="37"/>
  <c r="U19" i="37" s="1"/>
  <c r="J17" i="37"/>
  <c r="S15" i="37"/>
  <c r="AC10" i="37"/>
  <c r="AC21" i="37"/>
  <c r="W21" i="37"/>
  <c r="AC11" i="37"/>
  <c r="AC9" i="37"/>
  <c r="U35" i="37"/>
  <c r="U8" i="37"/>
  <c r="AB25" i="37"/>
  <c r="AB21" i="37"/>
  <c r="U21" i="37"/>
  <c r="S40" i="37"/>
  <c r="AA11" i="37"/>
  <c r="S10" i="37"/>
  <c r="AA40" i="34"/>
  <c r="AB33" i="34"/>
  <c r="AC35" i="34"/>
  <c r="AC32" i="34"/>
  <c r="AA33" i="34"/>
  <c r="U44" i="34"/>
  <c r="U34" i="34"/>
  <c r="U28" i="34"/>
  <c r="AA27" i="34"/>
  <c r="J25" i="34"/>
  <c r="AC25" i="34" s="1"/>
  <c r="H25" i="34"/>
  <c r="F25" i="34"/>
  <c r="S25" i="34" s="1"/>
  <c r="J23" i="34"/>
  <c r="F86" i="34"/>
  <c r="G86" i="34" s="1"/>
  <c r="F23" i="34"/>
  <c r="S23" i="34" s="1"/>
  <c r="H23" i="34"/>
  <c r="W17" i="34"/>
  <c r="U11" i="34"/>
  <c r="W10" i="34"/>
  <c r="U10" i="34"/>
  <c r="W37" i="34"/>
  <c r="AC40" i="34"/>
  <c r="W44" i="34"/>
  <c r="W19" i="34"/>
  <c r="W29" i="34"/>
  <c r="AC21" i="34"/>
  <c r="W21" i="34"/>
  <c r="U15" i="34"/>
  <c r="AB21" i="34"/>
  <c r="U21" i="34"/>
  <c r="U19" i="34"/>
  <c r="S13" i="34"/>
  <c r="S10" i="34"/>
  <c r="U39" i="33"/>
  <c r="U37" i="33"/>
  <c r="S35" i="33"/>
  <c r="W34" i="33"/>
  <c r="AC12" i="33"/>
  <c r="AB41" i="33"/>
  <c r="AC35" i="33"/>
  <c r="W31" i="33"/>
  <c r="U46" i="33"/>
  <c r="W39" i="33"/>
  <c r="U35" i="33"/>
  <c r="W26" i="33"/>
  <c r="AB26" i="33"/>
  <c r="H25" i="33"/>
  <c r="J25" i="33"/>
  <c r="F87" i="33"/>
  <c r="G87" i="33" s="1"/>
  <c r="H87" i="33" s="1"/>
  <c r="I87" i="33" s="1"/>
  <c r="J87" i="33" s="1"/>
  <c r="K87" i="33" s="1"/>
  <c r="L87" i="33" s="1"/>
  <c r="M87" i="33" s="1"/>
  <c r="F25" i="33"/>
  <c r="S25" i="33" s="1"/>
  <c r="F85" i="33"/>
  <c r="G85" i="33"/>
  <c r="J23" i="33"/>
  <c r="F23" i="33"/>
  <c r="AA23" i="33" s="1"/>
  <c r="H23" i="33"/>
  <c r="U19" i="33"/>
  <c r="G79" i="33"/>
  <c r="F17" i="33"/>
  <c r="H17" i="33"/>
  <c r="AB17" i="33" s="1"/>
  <c r="J17" i="33"/>
  <c r="AB15" i="33"/>
  <c r="S10" i="33"/>
  <c r="S14" i="33"/>
  <c r="W10" i="33"/>
  <c r="AC21" i="33"/>
  <c r="W21" i="33"/>
  <c r="W14" i="33"/>
  <c r="AB10" i="33"/>
  <c r="AB21" i="33"/>
  <c r="U21" i="33"/>
  <c r="AA21" i="33"/>
  <c r="S21" i="33"/>
  <c r="AA36" i="33"/>
  <c r="AC34" i="21"/>
  <c r="W32" i="21"/>
  <c r="U35" i="21"/>
  <c r="W43" i="21"/>
  <c r="AA37" i="21"/>
  <c r="S42" i="21"/>
  <c r="AB37" i="21"/>
  <c r="AB32" i="21"/>
  <c r="G85" i="21"/>
  <c r="J23" i="21"/>
  <c r="W23" i="21"/>
  <c r="F23" i="21"/>
  <c r="H23" i="21"/>
  <c r="AB23" i="21" s="1"/>
  <c r="AA17" i="21"/>
  <c r="W17" i="21"/>
  <c r="F15" i="21"/>
  <c r="S15" i="21"/>
  <c r="F77" i="21"/>
  <c r="G77" i="21"/>
  <c r="J15" i="21"/>
  <c r="H15" i="21"/>
  <c r="AB15" i="21" s="1"/>
  <c r="AC11" i="21"/>
  <c r="AB11" i="21"/>
  <c r="W13" i="21"/>
  <c r="AA11" i="21"/>
  <c r="AC23" i="21"/>
  <c r="AC21" i="21"/>
  <c r="W21" i="21"/>
  <c r="AC19" i="21"/>
  <c r="W10" i="21"/>
  <c r="AB21" i="21"/>
  <c r="U21" i="21"/>
  <c r="AB29" i="21"/>
  <c r="AA31" i="21"/>
  <c r="U33" i="40"/>
  <c r="U15" i="40"/>
  <c r="S14" i="40"/>
  <c r="S15" i="40"/>
  <c r="S16" i="40"/>
  <c r="W11" i="40"/>
  <c r="U21" i="40"/>
  <c r="U25" i="40"/>
  <c r="W42"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c r="H98" i="40" s="1"/>
  <c r="I98" i="40"/>
  <c r="J98" i="40" s="1"/>
  <c r="K98" i="40" s="1"/>
  <c r="L98" i="40" s="1"/>
  <c r="M98" i="40" s="1"/>
  <c r="S30" i="40"/>
  <c r="S25" i="40"/>
  <c r="AA23" i="40"/>
  <c r="F88" i="40"/>
  <c r="G88" i="40" s="1"/>
  <c r="F19" i="40"/>
  <c r="S19" i="40" s="1"/>
  <c r="H19" i="40"/>
  <c r="J19" i="40"/>
  <c r="AC19" i="40" s="1"/>
  <c r="W17" i="40"/>
  <c r="AC17" i="40"/>
  <c r="F17" i="40"/>
  <c r="AA17" i="40"/>
  <c r="H17" i="40"/>
  <c r="AB17" i="40"/>
  <c r="W21" i="40"/>
  <c r="AB40" i="40"/>
  <c r="U10" i="40"/>
  <c r="U27" i="40"/>
  <c r="AB27" i="40"/>
  <c r="AC44" i="39"/>
  <c r="W13" i="39"/>
  <c r="S11" i="39"/>
  <c r="AB45" i="39"/>
  <c r="S27" i="39"/>
  <c r="AC19" i="39"/>
  <c r="W29" i="39"/>
  <c r="AC21" i="39"/>
  <c r="S14" i="39"/>
  <c r="AB15" i="39"/>
  <c r="U11" i="39"/>
  <c r="U41" i="39"/>
  <c r="U23" i="39"/>
  <c r="U31" i="39"/>
  <c r="AB31" i="39"/>
  <c r="S25" i="39"/>
  <c r="D18" i="9"/>
  <c r="M44" i="9"/>
  <c r="M43" i="9"/>
  <c r="M20" i="15"/>
  <c r="A18" i="64"/>
  <c r="B74" i="63" s="1"/>
  <c r="C53" i="10"/>
  <c r="A25" i="64" s="1"/>
  <c r="A18" i="51"/>
  <c r="B14" i="63"/>
  <c r="BA16" i="3"/>
  <c r="BA17" i="3"/>
  <c r="AZ17" i="3" s="1"/>
  <c r="F3" i="35"/>
  <c r="K1" i="43"/>
  <c r="K1" i="12"/>
  <c r="G1" i="44"/>
  <c r="BP5" i="3"/>
  <c r="BC5" i="3"/>
  <c r="BL16" i="3"/>
  <c r="G22" i="43"/>
  <c r="D24" i="44"/>
  <c r="G27" i="12"/>
  <c r="G21" i="43"/>
  <c r="F47" i="46"/>
  <c r="H53" i="46" s="1"/>
  <c r="N9" i="46"/>
  <c r="M3" i="46"/>
  <c r="H14" i="48"/>
  <c r="K17" i="46"/>
  <c r="H13" i="48"/>
  <c r="D71" i="46"/>
  <c r="D84" i="46"/>
  <c r="E80" i="46" s="1"/>
  <c r="B78" i="46" s="1"/>
  <c r="D69" i="46"/>
  <c r="E69" i="46"/>
  <c r="B67" i="46" s="1"/>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L5" i="54"/>
  <c r="B39" i="63"/>
  <c r="K5" i="54"/>
  <c r="B38" i="63"/>
  <c r="T41" i="4"/>
  <c r="A17" i="64"/>
  <c r="B46" i="50"/>
  <c r="B4" i="63"/>
  <c r="C48" i="35"/>
  <c r="D48" i="35" s="1"/>
  <c r="E48" i="35" s="1"/>
  <c r="F48" i="35" s="1"/>
  <c r="G48" i="35" s="1"/>
  <c r="H48" i="35" s="1"/>
  <c r="I48" i="35" s="1"/>
  <c r="J48" i="35" s="1"/>
  <c r="K48" i="35" s="1"/>
  <c r="A22" i="51"/>
  <c r="B16" i="63" s="1"/>
  <c r="H86" i="46"/>
  <c r="H82" i="46"/>
  <c r="H87" i="46"/>
  <c r="H85" i="46"/>
  <c r="H83" i="46"/>
  <c r="K10" i="1"/>
  <c r="M10" i="1" s="1"/>
  <c r="O10" i="1" s="1"/>
  <c r="P10" i="1" s="1"/>
  <c r="S11" i="1"/>
  <c r="R11" i="1"/>
  <c r="S13" i="1"/>
  <c r="R13" i="1"/>
  <c r="B6" i="1"/>
  <c r="E6" i="1" s="1"/>
  <c r="B10" i="1"/>
  <c r="E10" i="1"/>
  <c r="S10" i="1"/>
  <c r="B8" i="1"/>
  <c r="E8" i="1" s="1"/>
  <c r="B12" i="1"/>
  <c r="E12" i="1" s="1"/>
  <c r="S12" i="1"/>
  <c r="K6" i="1"/>
  <c r="M6" i="1" s="1"/>
  <c r="G1" i="15"/>
  <c r="F66" i="36"/>
  <c r="H18" i="36"/>
  <c r="AB18" i="36" s="1"/>
  <c r="S25" i="36"/>
  <c r="U23" i="36"/>
  <c r="AC27" i="36"/>
  <c r="W28" i="36"/>
  <c r="AA32" i="36"/>
  <c r="U10" i="36"/>
  <c r="W29" i="36"/>
  <c r="W8" i="36"/>
  <c r="AC30" i="35"/>
  <c r="W32" i="35"/>
  <c r="AA33" i="35"/>
  <c r="U32" i="35"/>
  <c r="W22" i="35"/>
  <c r="W34" i="35"/>
  <c r="S32" i="35"/>
  <c r="W35" i="37"/>
  <c r="AC33" i="37"/>
  <c r="S12" i="37"/>
  <c r="W36" i="37"/>
  <c r="AB28" i="37"/>
  <c r="W13" i="37"/>
  <c r="U38" i="37"/>
  <c r="AB35" i="34"/>
  <c r="AB29" i="34"/>
  <c r="AB13" i="34"/>
  <c r="AC13" i="34"/>
  <c r="S47" i="34"/>
  <c r="S19" i="34"/>
  <c r="S8" i="34"/>
  <c r="AA19" i="33"/>
  <c r="S43" i="33"/>
  <c r="AB14" i="33"/>
  <c r="S26" i="33"/>
  <c r="AB12" i="33"/>
  <c r="S15" i="33"/>
  <c r="AB25" i="21"/>
  <c r="AC37" i="21"/>
  <c r="U27" i="21"/>
  <c r="W31" i="21"/>
  <c r="S27" i="21"/>
  <c r="AA15" i="21"/>
  <c r="G96" i="40"/>
  <c r="J27" i="40"/>
  <c r="W37" i="40"/>
  <c r="S17" i="40"/>
  <c r="W30" i="40"/>
  <c r="U17" i="40"/>
  <c r="S40" i="40"/>
  <c r="S42" i="40"/>
  <c r="G105" i="39"/>
  <c r="J31" i="39"/>
  <c r="S45" i="39"/>
  <c r="W41" i="39"/>
  <c r="AB43" i="39"/>
  <c r="S34" i="39"/>
  <c r="W42" i="39"/>
  <c r="W36" i="39"/>
  <c r="U14" i="39"/>
  <c r="W16" i="39"/>
  <c r="S15" i="39"/>
  <c r="W25" i="39"/>
  <c r="W45" i="39"/>
  <c r="S41" i="39"/>
  <c r="AA44" i="39"/>
  <c r="W34" i="39"/>
  <c r="W10" i="39"/>
  <c r="W11" i="39"/>
  <c r="U42" i="39"/>
  <c r="W40" i="39"/>
  <c r="S32" i="40"/>
  <c r="C27" i="39"/>
  <c r="C17" i="40"/>
  <c r="C19" i="40"/>
  <c r="C17" i="39"/>
  <c r="C19" i="39"/>
  <c r="C21" i="39"/>
  <c r="B48" i="46"/>
  <c r="B51" i="46"/>
  <c r="B55" i="46"/>
  <c r="B59" i="46"/>
  <c r="B62" i="46"/>
  <c r="B66" i="46"/>
  <c r="B53" i="46"/>
  <c r="B64" i="46"/>
  <c r="D24" i="15"/>
  <c r="AB20" i="36"/>
  <c r="AC14" i="36"/>
  <c r="U14" i="36"/>
  <c r="AB14" i="36"/>
  <c r="U18" i="36"/>
  <c r="AA26" i="35"/>
  <c r="S26" i="35"/>
  <c r="U26" i="35"/>
  <c r="S19" i="37"/>
  <c r="W19" i="37"/>
  <c r="AB19" i="37"/>
  <c r="AC17" i="37"/>
  <c r="W17" i="37"/>
  <c r="U25" i="34"/>
  <c r="AB25" i="34"/>
  <c r="W25" i="34"/>
  <c r="U23" i="34"/>
  <c r="AB23" i="34"/>
  <c r="AA23" i="34"/>
  <c r="AC23" i="34"/>
  <c r="W23" i="34"/>
  <c r="AA25" i="33"/>
  <c r="U23" i="33"/>
  <c r="AB23" i="33"/>
  <c r="W23" i="33"/>
  <c r="AC23" i="33"/>
  <c r="W17" i="33"/>
  <c r="AC17" i="33"/>
  <c r="AA17" i="33"/>
  <c r="S17" i="33"/>
  <c r="U17" i="33"/>
  <c r="AA23" i="21"/>
  <c r="S23" i="21"/>
  <c r="U15" i="21"/>
  <c r="W15" i="21"/>
  <c r="AC15" i="21"/>
  <c r="AB39" i="40"/>
  <c r="U39" i="40"/>
  <c r="AC39" i="40"/>
  <c r="AA39" i="40"/>
  <c r="S39" i="40"/>
  <c r="U37" i="40"/>
  <c r="AB37" i="40"/>
  <c r="AA37" i="40"/>
  <c r="U29" i="40"/>
  <c r="AB29" i="40"/>
  <c r="AC29" i="40"/>
  <c r="AA29" i="40"/>
  <c r="W19" i="40"/>
  <c r="AA19" i="40"/>
  <c r="AB19" i="40"/>
  <c r="U19" i="40"/>
  <c r="AC27" i="40"/>
  <c r="W27" i="40"/>
  <c r="W31" i="39"/>
  <c r="AC31" i="39"/>
  <c r="A17" i="51"/>
  <c r="B13" i="63" s="1"/>
  <c r="AT6" i="3"/>
  <c r="AZ16" i="3"/>
  <c r="A9" i="64"/>
  <c r="A9" i="51"/>
  <c r="B9" i="63" s="1"/>
  <c r="A3" i="55"/>
  <c r="B56" i="63" s="1"/>
  <c r="E4" i="4"/>
  <c r="B21" i="55" s="1"/>
  <c r="B72" i="63" s="1"/>
  <c r="C4" i="4"/>
  <c r="G66" i="36"/>
  <c r="J18" i="36"/>
  <c r="AE8" i="1"/>
  <c r="AE7" i="1"/>
  <c r="AE6" i="1"/>
  <c r="W18" i="36"/>
  <c r="AC18" i="36"/>
  <c r="AG6" i="1"/>
  <c r="L20" i="6"/>
  <c r="B20" i="55"/>
  <c r="B70" i="63"/>
  <c r="S7" i="1"/>
  <c r="S8" i="1"/>
  <c r="S9" i="1"/>
  <c r="R9" i="1"/>
  <c r="R7" i="1"/>
  <c r="R8" i="1"/>
  <c r="C45" i="9"/>
  <c r="H14" i="66"/>
  <c r="B7" i="66" s="1"/>
  <c r="C44" i="9"/>
  <c r="G14" i="66" s="1"/>
  <c r="B6" i="66" s="1"/>
  <c r="O40" i="9"/>
  <c r="K31" i="9"/>
  <c r="K32" i="9" s="1"/>
  <c r="R7" i="54"/>
  <c r="B52" i="63" s="1"/>
  <c r="N69" i="9"/>
  <c r="M86" i="9" s="1"/>
  <c r="N86" i="9" s="1"/>
  <c r="K29" i="9"/>
  <c r="K30" i="9" s="1"/>
  <c r="N76" i="9"/>
  <c r="C46" i="9"/>
  <c r="K33" i="9"/>
  <c r="O41" i="9"/>
  <c r="I14" i="66"/>
  <c r="B8" i="66" s="1"/>
  <c r="K34" i="9"/>
  <c r="R8" i="54"/>
  <c r="B54" i="63"/>
  <c r="C17" i="46"/>
  <c r="F38" i="46"/>
  <c r="H113" i="46"/>
  <c r="D18" i="59"/>
  <c r="C17" i="59"/>
  <c r="D17" i="59"/>
  <c r="U15" i="59"/>
  <c r="H1" i="65"/>
  <c r="E17" i="46"/>
  <c r="O17" i="46"/>
  <c r="L17" i="46"/>
  <c r="AP7" i="1"/>
  <c r="F35" i="46"/>
  <c r="D100" i="46"/>
  <c r="AF12" i="46"/>
  <c r="K100" i="46"/>
  <c r="AB12" i="46"/>
  <c r="AJ12" i="46"/>
  <c r="E10" i="46"/>
  <c r="C7" i="46" s="1"/>
  <c r="E9" i="46"/>
  <c r="E11" i="46"/>
  <c r="E8" i="46"/>
  <c r="AD12" i="46"/>
  <c r="AH12" i="46"/>
  <c r="C16" i="59"/>
  <c r="C15" i="59" s="1"/>
  <c r="B16" i="59"/>
  <c r="B15" i="59"/>
  <c r="B14" i="59" s="1"/>
  <c r="B13" i="59" s="1"/>
  <c r="B12" i="59" s="1"/>
  <c r="D16" i="59"/>
  <c r="M26" i="15"/>
  <c r="N7" i="65"/>
  <c r="M27" i="15"/>
  <c r="F9" i="67"/>
  <c r="C19" i="9"/>
  <c r="M8" i="15"/>
  <c r="E11" i="67"/>
  <c r="M28" i="15"/>
  <c r="M24" i="44"/>
  <c r="F38" i="15"/>
  <c r="D21" i="9"/>
  <c r="F16" i="15"/>
  <c r="F14" i="67"/>
  <c r="M10" i="44"/>
  <c r="M9" i="15"/>
  <c r="I7" i="65"/>
  <c r="M22" i="15"/>
  <c r="F41" i="15"/>
  <c r="F13" i="67"/>
  <c r="F10" i="67"/>
  <c r="M29" i="15"/>
  <c r="F37" i="15"/>
  <c r="F40" i="15"/>
  <c r="F8" i="67"/>
  <c r="F7" i="15"/>
  <c r="F11" i="44"/>
  <c r="E8" i="67"/>
  <c r="L48" i="44"/>
  <c r="M6" i="15"/>
  <c r="N6" i="65"/>
  <c r="F10" i="44"/>
  <c r="N3" i="65"/>
  <c r="F28" i="44"/>
  <c r="B11" i="67"/>
  <c r="I5" i="65"/>
  <c r="N4" i="65"/>
  <c r="M31" i="44"/>
  <c r="F11" i="67"/>
  <c r="F6" i="15"/>
  <c r="F8" i="15"/>
  <c r="M28" i="44"/>
  <c r="F46" i="44"/>
  <c r="F9" i="15"/>
  <c r="F38" i="44"/>
  <c r="B9" i="67"/>
  <c r="L49" i="44"/>
  <c r="J17" i="44"/>
  <c r="F12" i="67"/>
  <c r="M24" i="15"/>
  <c r="J36" i="15"/>
  <c r="F13" i="15"/>
  <c r="F36" i="15"/>
  <c r="F26" i="15"/>
  <c r="I4" i="65"/>
  <c r="J4" i="65"/>
  <c r="N5" i="65"/>
  <c r="E9" i="67"/>
  <c r="M8" i="44"/>
  <c r="F18" i="44"/>
  <c r="B12" i="67"/>
  <c r="M26" i="44"/>
  <c r="B8" i="67"/>
  <c r="C21" i="9"/>
  <c r="C20" i="9"/>
  <c r="F43" i="44"/>
  <c r="D20" i="9"/>
  <c r="D19" i="9"/>
  <c r="F40" i="44"/>
  <c r="I3" i="65"/>
  <c r="J6" i="65"/>
  <c r="M30" i="44"/>
  <c r="M23" i="15"/>
  <c r="F45" i="44"/>
  <c r="B13" i="67"/>
  <c r="J5" i="65"/>
  <c r="M29" i="44"/>
  <c r="E10" i="67"/>
  <c r="F8" i="44"/>
  <c r="F39" i="44"/>
  <c r="L47" i="15"/>
  <c r="F43" i="15"/>
  <c r="L48" i="15"/>
  <c r="J15" i="15"/>
  <c r="F15" i="44"/>
  <c r="E14" i="67"/>
  <c r="B10" i="67"/>
  <c r="F9" i="44"/>
  <c r="M25" i="44"/>
  <c r="F42" i="15"/>
  <c r="J7" i="65"/>
  <c r="E13" i="67"/>
  <c r="J3" i="65"/>
  <c r="E12" i="67"/>
  <c r="B14" i="67"/>
  <c r="M11" i="44"/>
  <c r="I6" i="65"/>
  <c r="G13" i="1" l="1"/>
  <c r="C7" i="21"/>
  <c r="C58" i="21" s="1"/>
  <c r="C7" i="33"/>
  <c r="C58" i="33" s="1"/>
  <c r="C7" i="34"/>
  <c r="C59" i="34" s="1"/>
  <c r="C7" i="36"/>
  <c r="C46" i="36" s="1"/>
  <c r="D46" i="36" s="1"/>
  <c r="E46" i="36" s="1"/>
  <c r="F46" i="36" s="1"/>
  <c r="G46" i="36" s="1"/>
  <c r="H46" i="36" s="1"/>
  <c r="C9" i="39"/>
  <c r="C70" i="39" s="1"/>
  <c r="C9" i="40"/>
  <c r="C65" i="40" s="1"/>
  <c r="G19" i="46"/>
  <c r="O19" i="46" s="1"/>
  <c r="H52" i="46"/>
  <c r="I17" i="46"/>
  <c r="H50" i="46"/>
  <c r="M17" i="46"/>
  <c r="N17" i="46"/>
  <c r="X7" i="46"/>
  <c r="H49" i="46"/>
  <c r="F37" i="46"/>
  <c r="F34" i="46"/>
  <c r="J17" i="46"/>
  <c r="H10" i="48"/>
  <c r="D17" i="46"/>
  <c r="F39" i="46"/>
  <c r="F36" i="46"/>
  <c r="H15" i="48"/>
  <c r="M12" i="46"/>
  <c r="M2" i="46"/>
  <c r="N4" i="46"/>
  <c r="N3" i="46"/>
  <c r="N5" i="46"/>
  <c r="M1" i="46"/>
  <c r="F33" i="46"/>
  <c r="H61" i="46"/>
  <c r="H65" i="46"/>
  <c r="H64" i="46"/>
  <c r="H60" i="46"/>
  <c r="H55" i="46"/>
  <c r="H11" i="48"/>
  <c r="H5" i="48"/>
  <c r="H6" i="48"/>
  <c r="M5" i="46"/>
  <c r="M8" i="46"/>
  <c r="M4" i="46"/>
  <c r="N11" i="46"/>
  <c r="M9" i="46"/>
  <c r="N1" i="46"/>
  <c r="F69" i="46" s="1"/>
  <c r="N8" i="46"/>
  <c r="N6" i="46"/>
  <c r="M11" i="46"/>
  <c r="N2" i="46"/>
  <c r="M6" i="46"/>
  <c r="H8" i="48"/>
  <c r="H16" i="48"/>
  <c r="H7" i="48"/>
  <c r="H59" i="46"/>
  <c r="H62" i="46"/>
  <c r="H66" i="46"/>
  <c r="H63" i="46"/>
  <c r="H58" i="46"/>
  <c r="D96" i="9"/>
  <c r="B41" i="1"/>
  <c r="F34" i="44" s="1"/>
  <c r="G23" i="43"/>
  <c r="D26" i="44"/>
  <c r="G26" i="12"/>
  <c r="G28" i="12"/>
  <c r="G13" i="3"/>
  <c r="E5" i="6"/>
  <c r="D12" i="11" s="1"/>
  <c r="C12" i="11" s="1"/>
  <c r="P13" i="1"/>
  <c r="BD5" i="3"/>
  <c r="G8" i="1"/>
  <c r="G12" i="1"/>
  <c r="G9" i="1"/>
  <c r="W29" i="33"/>
  <c r="AC29" i="33"/>
  <c r="C14" i="59"/>
  <c r="T15" i="59"/>
  <c r="D15" i="59"/>
  <c r="AA35" i="40"/>
  <c r="S35" i="40"/>
  <c r="R22" i="31"/>
  <c r="B21" i="31" s="1"/>
  <c r="B20" i="31"/>
  <c r="AB33" i="37"/>
  <c r="U33" i="37"/>
  <c r="U38" i="34"/>
  <c r="AB38" i="34"/>
  <c r="S46" i="39"/>
  <c r="AA46" i="39"/>
  <c r="S21" i="39"/>
  <c r="AA21" i="39"/>
  <c r="U14" i="35"/>
  <c r="AB14" i="35"/>
  <c r="AB13" i="39"/>
  <c r="U13" i="39"/>
  <c r="U13" i="40"/>
  <c r="AB13" i="40"/>
  <c r="AZ15" i="3"/>
  <c r="U42" i="33"/>
  <c r="AB42" i="33"/>
  <c r="AA10" i="35"/>
  <c r="S10" i="35"/>
  <c r="U41" i="34"/>
  <c r="AB41" i="34"/>
  <c r="S13" i="36"/>
  <c r="AA13" i="36"/>
  <c r="U45" i="21"/>
  <c r="AB45" i="21"/>
  <c r="S29" i="21"/>
  <c r="AA29" i="21"/>
  <c r="AC29" i="21"/>
  <c r="W29" i="21"/>
  <c r="S36" i="34"/>
  <c r="AA36" i="34"/>
  <c r="J9" i="33"/>
  <c r="H9" i="33"/>
  <c r="F9" i="33"/>
  <c r="AB38" i="40"/>
  <c r="U38" i="40"/>
  <c r="BL569" i="3"/>
  <c r="BA569" i="3"/>
  <c r="AZ569" i="3" s="1"/>
  <c r="BL568" i="3"/>
  <c r="AZ568" i="3" s="1"/>
  <c r="BL557" i="3"/>
  <c r="BA557" i="3"/>
  <c r="BL555" i="3"/>
  <c r="BA555" i="3"/>
  <c r="BL553" i="3"/>
  <c r="BA553" i="3"/>
  <c r="BL550" i="3"/>
  <c r="BA550" i="3"/>
  <c r="BL548" i="3"/>
  <c r="AZ548" i="3" s="1"/>
  <c r="BA546" i="3"/>
  <c r="AZ546" i="3" s="1"/>
  <c r="BA544" i="3"/>
  <c r="AZ544" i="3" s="1"/>
  <c r="BL542" i="3"/>
  <c r="BA542" i="3"/>
  <c r="AZ542" i="3" s="1"/>
  <c r="BL535" i="3"/>
  <c r="AZ535" i="3" s="1"/>
  <c r="BA531" i="3"/>
  <c r="AZ531" i="3" s="1"/>
  <c r="BA529" i="3"/>
  <c r="AZ529" i="3" s="1"/>
  <c r="BL522" i="3"/>
  <c r="AZ522" i="3" s="1"/>
  <c r="BA520" i="3"/>
  <c r="BL509" i="3"/>
  <c r="BA509" i="3"/>
  <c r="BL504" i="3"/>
  <c r="AZ504" i="3" s="1"/>
  <c r="BL503" i="3"/>
  <c r="BA503" i="3"/>
  <c r="AZ503" i="3" s="1"/>
  <c r="BO5" i="3"/>
  <c r="BL487" i="3"/>
  <c r="BA487" i="3"/>
  <c r="AZ487" i="3" s="1"/>
  <c r="BA20" i="3"/>
  <c r="AZ20" i="3" s="1"/>
  <c r="BN5" i="3"/>
  <c r="G29" i="6" s="1"/>
  <c r="S15" i="59"/>
  <c r="H47" i="46"/>
  <c r="H54" i="46"/>
  <c r="H48" i="46"/>
  <c r="H51" i="46"/>
  <c r="M83" i="9"/>
  <c r="N83" i="9" s="1"/>
  <c r="N89" i="9" s="1"/>
  <c r="O89" i="9" s="1"/>
  <c r="M85" i="9"/>
  <c r="N85" i="9" s="1"/>
  <c r="M87" i="9"/>
  <c r="N87" i="9" s="1"/>
  <c r="M88" i="9"/>
  <c r="N88" i="9" s="1"/>
  <c r="M84" i="9"/>
  <c r="N84" i="9" s="1"/>
  <c r="O39" i="9"/>
  <c r="R6" i="54" s="1"/>
  <c r="B50" i="63" s="1"/>
  <c r="U23" i="21"/>
  <c r="S23" i="33"/>
  <c r="AA25" i="34"/>
  <c r="W26" i="35"/>
  <c r="C23" i="40"/>
  <c r="W23" i="39"/>
  <c r="AC46" i="39"/>
  <c r="AC27" i="21"/>
  <c r="W25" i="21"/>
  <c r="AC15" i="37"/>
  <c r="U13" i="36"/>
  <c r="BL18" i="3"/>
  <c r="AZ18" i="3" s="1"/>
  <c r="W25" i="40"/>
  <c r="AA21" i="40"/>
  <c r="AC26" i="21"/>
  <c r="AA44" i="33"/>
  <c r="W25" i="33"/>
  <c r="AC25" i="33"/>
  <c r="S9" i="34"/>
  <c r="U30" i="34"/>
  <c r="W46" i="34"/>
  <c r="S37" i="37"/>
  <c r="W32" i="37"/>
  <c r="W15" i="34"/>
  <c r="W11" i="33"/>
  <c r="AC11" i="33"/>
  <c r="W11" i="34"/>
  <c r="AC11" i="34"/>
  <c r="U11" i="33"/>
  <c r="AB11" i="33"/>
  <c r="W43" i="39"/>
  <c r="AC33" i="39"/>
  <c r="U29" i="33"/>
  <c r="U46" i="34"/>
  <c r="S20" i="35"/>
  <c r="AA20" i="35"/>
  <c r="AC14" i="40"/>
  <c r="W13" i="40"/>
  <c r="AC13" i="40"/>
  <c r="F31" i="43"/>
  <c r="C31" i="43" s="1"/>
  <c r="W16" i="40"/>
  <c r="AC16" i="40"/>
  <c r="W38" i="39"/>
  <c r="AC38" i="39"/>
  <c r="AC33" i="40"/>
  <c r="W33" i="40"/>
  <c r="AB36" i="33"/>
  <c r="U36" i="33"/>
  <c r="AC27" i="39"/>
  <c r="W27" i="39"/>
  <c r="AB30" i="40"/>
  <c r="U30" i="40"/>
  <c r="AZ526" i="3"/>
  <c r="AA29" i="39"/>
  <c r="S29" i="39"/>
  <c r="U33" i="39"/>
  <c r="AB33" i="39"/>
  <c r="W17" i="39"/>
  <c r="AC17" i="39"/>
  <c r="S11" i="36"/>
  <c r="AA11" i="36"/>
  <c r="AB27" i="34"/>
  <c r="U27" i="34"/>
  <c r="AC40" i="37"/>
  <c r="AA46" i="34"/>
  <c r="S46" i="34"/>
  <c r="S30" i="34"/>
  <c r="AA30" i="34"/>
  <c r="AB14" i="34"/>
  <c r="U14" i="34"/>
  <c r="AB12" i="34"/>
  <c r="U12" i="34"/>
  <c r="F29" i="33"/>
  <c r="H13" i="33"/>
  <c r="W15" i="33"/>
  <c r="AC15" i="33"/>
  <c r="AB16" i="36"/>
  <c r="U16" i="36"/>
  <c r="AC33" i="34"/>
  <c r="W33" i="34"/>
  <c r="AZ365" i="3"/>
  <c r="AZ379" i="3"/>
  <c r="AB44" i="33"/>
  <c r="AC43" i="33"/>
  <c r="W43" i="33"/>
  <c r="AA24" i="35"/>
  <c r="S24" i="35"/>
  <c r="W41" i="34"/>
  <c r="AC41" i="34"/>
  <c r="S41" i="34"/>
  <c r="AA41" i="34"/>
  <c r="S22" i="36"/>
  <c r="AA22" i="36"/>
  <c r="AA42" i="33"/>
  <c r="S42" i="33"/>
  <c r="S25" i="21"/>
  <c r="AA25" i="21"/>
  <c r="AZ493" i="3"/>
  <c r="AA46" i="21"/>
  <c r="S46" i="21"/>
  <c r="U44" i="21"/>
  <c r="AB44" i="21"/>
  <c r="AA14" i="21"/>
  <c r="S14" i="21"/>
  <c r="W28" i="34"/>
  <c r="AC28" i="34"/>
  <c r="AA39" i="21"/>
  <c r="S39" i="21"/>
  <c r="S38" i="21"/>
  <c r="AA38" i="21"/>
  <c r="BL572" i="3"/>
  <c r="BL571" i="3"/>
  <c r="AZ571" i="3" s="1"/>
  <c r="AC39" i="21"/>
  <c r="W39" i="21"/>
  <c r="W38" i="21"/>
  <c r="AC38" i="21"/>
  <c r="W35" i="21"/>
  <c r="AC35" i="21"/>
  <c r="F12" i="21"/>
  <c r="J12" i="21"/>
  <c r="H12" i="21"/>
  <c r="J14" i="21"/>
  <c r="H14" i="21"/>
  <c r="J28" i="21"/>
  <c r="F28" i="21"/>
  <c r="H30" i="21"/>
  <c r="F30" i="21"/>
  <c r="J30" i="21"/>
  <c r="J44" i="21"/>
  <c r="F44" i="21"/>
  <c r="W46" i="21"/>
  <c r="AC46" i="21"/>
  <c r="S28" i="34"/>
  <c r="AA28" i="34"/>
  <c r="J24" i="36"/>
  <c r="H24" i="36"/>
  <c r="F24" i="36"/>
  <c r="AB25" i="33"/>
  <c r="U25" i="33"/>
  <c r="AA14" i="36"/>
  <c r="S14" i="36"/>
  <c r="S20" i="36"/>
  <c r="AA20" i="36"/>
  <c r="U38" i="39"/>
  <c r="AB38" i="39"/>
  <c r="AC35" i="40"/>
  <c r="W35" i="40"/>
  <c r="AB35" i="40"/>
  <c r="U35" i="40"/>
  <c r="U32" i="40"/>
  <c r="AB32" i="40"/>
  <c r="AB27" i="39"/>
  <c r="U27" i="39"/>
  <c r="AA23" i="35"/>
  <c r="S23" i="35"/>
  <c r="U34" i="33"/>
  <c r="AB34" i="33"/>
  <c r="U17" i="39"/>
  <c r="AB17" i="39"/>
  <c r="AB11" i="36"/>
  <c r="U11" i="36"/>
  <c r="S19" i="39"/>
  <c r="AA19" i="39"/>
  <c r="AA32" i="34"/>
  <c r="S32" i="34"/>
  <c r="W30" i="34"/>
  <c r="AC30" i="34"/>
  <c r="S12" i="34"/>
  <c r="AA12" i="34"/>
  <c r="AC12" i="34"/>
  <c r="W12" i="34"/>
  <c r="W13" i="33"/>
  <c r="AC13" i="33"/>
  <c r="S11" i="33"/>
  <c r="AA11" i="33"/>
  <c r="S31" i="37"/>
  <c r="AA31" i="37"/>
  <c r="AB24" i="35"/>
  <c r="U24" i="35"/>
  <c r="AZ492" i="3"/>
  <c r="AZ508" i="3"/>
  <c r="AZ572" i="3"/>
  <c r="W14" i="37"/>
  <c r="AC14" i="37"/>
  <c r="AC38" i="37"/>
  <c r="W38" i="37"/>
  <c r="AA28" i="37"/>
  <c r="S28" i="37"/>
  <c r="S13" i="37"/>
  <c r="AA13" i="37"/>
  <c r="AB25" i="36"/>
  <c r="U25" i="36"/>
  <c r="AB25" i="35"/>
  <c r="U25" i="35"/>
  <c r="AC47" i="34"/>
  <c r="W47" i="34"/>
  <c r="U47" i="34"/>
  <c r="AB47" i="34"/>
  <c r="W45" i="34"/>
  <c r="AC45" i="34"/>
  <c r="S31" i="34"/>
  <c r="AA31" i="34"/>
  <c r="AC31" i="34"/>
  <c r="W31" i="34"/>
  <c r="S29" i="34"/>
  <c r="AA29" i="34"/>
  <c r="AA46" i="33"/>
  <c r="S46" i="33"/>
  <c r="S27" i="33"/>
  <c r="AA27" i="33"/>
  <c r="W45" i="21"/>
  <c r="AC45" i="21"/>
  <c r="U13" i="21"/>
  <c r="AB13" i="21"/>
  <c r="AB46" i="21"/>
  <c r="U46" i="21"/>
  <c r="AB28" i="21"/>
  <c r="U28" i="21"/>
  <c r="BQ5" i="3"/>
  <c r="F28" i="6" s="1"/>
  <c r="H34" i="36"/>
  <c r="J34" i="36"/>
  <c r="F34" i="36"/>
  <c r="U14" i="37"/>
  <c r="AB14" i="37"/>
  <c r="J26" i="37"/>
  <c r="F26" i="37"/>
  <c r="H26" i="37"/>
  <c r="AA34" i="40"/>
  <c r="S34" i="40"/>
  <c r="AA38" i="39"/>
  <c r="S38" i="39"/>
  <c r="F37" i="39"/>
  <c r="H37" i="39"/>
  <c r="J37" i="39"/>
  <c r="BL558" i="3"/>
  <c r="AZ558" i="3" s="1"/>
  <c r="BL556" i="3"/>
  <c r="BA556" i="3"/>
  <c r="AZ556" i="3" s="1"/>
  <c r="BL554" i="3"/>
  <c r="BA554" i="3"/>
  <c r="AZ554" i="3" s="1"/>
  <c r="BL549" i="3"/>
  <c r="AZ549" i="3" s="1"/>
  <c r="BA545" i="3"/>
  <c r="AZ545" i="3" s="1"/>
  <c r="BL543" i="3"/>
  <c r="BA543" i="3"/>
  <c r="BL541" i="3"/>
  <c r="BA541" i="3"/>
  <c r="BL533" i="3"/>
  <c r="AZ533" i="3" s="1"/>
  <c r="BA530" i="3"/>
  <c r="AZ530" i="3" s="1"/>
  <c r="BA528" i="3"/>
  <c r="AZ528" i="3" s="1"/>
  <c r="BL527" i="3"/>
  <c r="AZ527" i="3" s="1"/>
  <c r="BA523" i="3"/>
  <c r="AZ523" i="3" s="1"/>
  <c r="BA521" i="3"/>
  <c r="AZ521" i="3" s="1"/>
  <c r="BL520" i="3"/>
  <c r="BA511" i="3"/>
  <c r="AZ511" i="3" s="1"/>
  <c r="BL510" i="3"/>
  <c r="BA510" i="3"/>
  <c r="BM5" i="3"/>
  <c r="F29" i="6" s="1"/>
  <c r="BA496" i="3"/>
  <c r="AZ496" i="3" s="1"/>
  <c r="BB5" i="3"/>
  <c r="E8" i="6" s="1"/>
  <c r="BL495" i="3"/>
  <c r="BA495" i="3"/>
  <c r="AZ495" i="3" s="1"/>
  <c r="BL488" i="3"/>
  <c r="BA488" i="3"/>
  <c r="AZ488" i="3" s="1"/>
  <c r="BL486" i="3"/>
  <c r="AZ486" i="3" s="1"/>
  <c r="BR5" i="3"/>
  <c r="BA19" i="3"/>
  <c r="AZ19" i="3" s="1"/>
  <c r="AC35" i="35"/>
  <c r="W35" i="35"/>
  <c r="AC46" i="33"/>
  <c r="W46" i="33"/>
  <c r="U40" i="37"/>
  <c r="AB40" i="37"/>
  <c r="AA45" i="21"/>
  <c r="S45" i="21"/>
  <c r="S39" i="37"/>
  <c r="AA39" i="37"/>
  <c r="AC8" i="21"/>
  <c r="W8" i="21"/>
  <c r="W40" i="21"/>
  <c r="AC40" i="21"/>
  <c r="BA570" i="3"/>
  <c r="AZ570" i="3" s="1"/>
  <c r="BT5" i="3"/>
  <c r="BI5" i="3"/>
  <c r="BG5" i="3"/>
  <c r="AA10" i="21"/>
  <c r="S10" i="21"/>
  <c r="AB34" i="35"/>
  <c r="U34" i="35"/>
  <c r="AC36" i="35"/>
  <c r="W36" i="35"/>
  <c r="H45" i="33"/>
  <c r="J45" i="33"/>
  <c r="F45" i="33"/>
  <c r="J9" i="36"/>
  <c r="H9" i="36"/>
  <c r="F9" i="36"/>
  <c r="W31" i="36"/>
  <c r="AC31" i="36"/>
  <c r="H5" i="3"/>
  <c r="BH5" i="3"/>
  <c r="BF5" i="3"/>
  <c r="G553" i="3"/>
  <c r="G548" i="3"/>
  <c r="G527" i="3"/>
  <c r="G519" i="3"/>
  <c r="G503" i="3"/>
  <c r="G495" i="3"/>
  <c r="G486" i="3"/>
  <c r="AZ389" i="3"/>
  <c r="AZ400" i="3"/>
  <c r="AZ404" i="3"/>
  <c r="AZ416" i="3"/>
  <c r="AZ421" i="3"/>
  <c r="AZ435" i="3"/>
  <c r="AZ440" i="3"/>
  <c r="AZ453" i="3"/>
  <c r="AZ460" i="3"/>
  <c r="AZ464" i="3"/>
  <c r="AZ476" i="3"/>
  <c r="AZ480" i="3"/>
  <c r="AZ368" i="3"/>
  <c r="AZ384" i="3"/>
  <c r="AZ386" i="3"/>
  <c r="AZ214" i="3"/>
  <c r="AZ218" i="3"/>
  <c r="AZ230" i="3"/>
  <c r="AZ234" i="3"/>
  <c r="AZ246" i="3"/>
  <c r="AZ250" i="3"/>
  <c r="AZ262" i="3"/>
  <c r="AZ266" i="3"/>
  <c r="AZ277" i="3"/>
  <c r="AZ280" i="3"/>
  <c r="AZ293" i="3"/>
  <c r="A30" i="51"/>
  <c r="B22" i="63" s="1"/>
  <c r="A30" i="64"/>
  <c r="AZ129" i="3"/>
  <c r="AZ132" i="3"/>
  <c r="AZ145" i="3"/>
  <c r="AZ148" i="3"/>
  <c r="AZ21" i="3"/>
  <c r="AZ25" i="3"/>
  <c r="AZ28" i="3"/>
  <c r="AZ30" i="3"/>
  <c r="AZ34" i="3"/>
  <c r="AZ53" i="3"/>
  <c r="AZ57" i="3"/>
  <c r="AZ60" i="3"/>
  <c r="AZ62" i="3"/>
  <c r="AZ68" i="3"/>
  <c r="AZ72" i="3"/>
  <c r="AZ75" i="3"/>
  <c r="AZ81" i="3"/>
  <c r="AZ85" i="3"/>
  <c r="AZ88" i="3"/>
  <c r="AZ95" i="3"/>
  <c r="AZ101" i="3"/>
  <c r="AZ104" i="3"/>
  <c r="AZ111" i="3"/>
  <c r="T47" i="59"/>
  <c r="D47" i="59"/>
  <c r="K12" i="1"/>
  <c r="AP16" i="1" s="1"/>
  <c r="F22" i="11" s="1"/>
  <c r="D1" i="57"/>
  <c r="E10" i="57" s="1"/>
  <c r="C27" i="59"/>
  <c r="D26" i="59"/>
  <c r="C35" i="59"/>
  <c r="D34" i="59"/>
  <c r="C38" i="59"/>
  <c r="D37" i="59"/>
  <c r="D49" i="59"/>
  <c r="C50" i="59"/>
  <c r="D57" i="59"/>
  <c r="C58" i="59"/>
  <c r="Y6" i="59"/>
  <c r="Z6" i="59" s="1"/>
  <c r="AB6" i="59"/>
  <c r="AB5" i="59"/>
  <c r="X23" i="59"/>
  <c r="B23" i="59"/>
  <c r="AA23" i="59"/>
  <c r="E23" i="59"/>
  <c r="S21" i="21"/>
  <c r="S21" i="37"/>
  <c r="C62" i="59"/>
  <c r="D41" i="59"/>
  <c r="AA3" i="59"/>
  <c r="X24" i="59"/>
  <c r="Y24" i="59"/>
  <c r="Z24" i="59" s="1"/>
  <c r="F25" i="59"/>
  <c r="F26" i="59" s="1"/>
  <c r="F27" i="59" s="1"/>
  <c r="V27" i="59" s="1"/>
  <c r="X25" i="59"/>
  <c r="AA25" i="59"/>
  <c r="X26" i="59"/>
  <c r="AA26" i="59"/>
  <c r="X27" i="59"/>
  <c r="AA27" i="59"/>
  <c r="B29" i="59"/>
  <c r="B30" i="59" s="1"/>
  <c r="B31" i="59" s="1"/>
  <c r="S31" i="59" s="1"/>
  <c r="C29" i="59"/>
  <c r="AA28" i="59"/>
  <c r="AB28" i="59"/>
  <c r="Y29" i="59"/>
  <c r="Z29" i="59" s="1"/>
  <c r="AB29" i="59"/>
  <c r="Y30" i="59"/>
  <c r="Z30" i="59" s="1"/>
  <c r="AB30" i="59"/>
  <c r="Y31" i="59"/>
  <c r="Z31" i="59" s="1"/>
  <c r="AB31" i="59"/>
  <c r="Y32" i="59"/>
  <c r="Z32" i="59" s="1"/>
  <c r="E33" i="59"/>
  <c r="E34" i="59" s="1"/>
  <c r="E35" i="59" s="1"/>
  <c r="U35" i="59" s="1"/>
  <c r="F33" i="59"/>
  <c r="F34" i="59" s="1"/>
  <c r="F35" i="59" s="1"/>
  <c r="V35" i="59" s="1"/>
  <c r="X6" i="59"/>
  <c r="X5" i="59"/>
  <c r="AA5" i="59"/>
  <c r="AA6" i="59"/>
  <c r="Q60" i="59"/>
  <c r="Y23" i="59"/>
  <c r="Z23" i="59" s="1"/>
  <c r="C23" i="59"/>
  <c r="AB23" i="59"/>
  <c r="F23" i="59"/>
  <c r="Y10" i="59"/>
  <c r="Z10" i="59" s="1"/>
  <c r="AB7" i="59"/>
  <c r="X21" i="59"/>
  <c r="AA22" i="59"/>
  <c r="X22" i="59"/>
  <c r="AB21" i="59"/>
  <c r="A28" i="51"/>
  <c r="AA20" i="59"/>
  <c r="X20" i="59"/>
  <c r="Y19" i="59"/>
  <c r="Z19" i="59" s="1"/>
  <c r="AB19" i="59"/>
  <c r="Y18" i="59"/>
  <c r="Z18" i="59" s="1"/>
  <c r="AB18" i="59"/>
  <c r="X17" i="59"/>
  <c r="Y17" i="59"/>
  <c r="Z17" i="59" s="1"/>
  <c r="AA17" i="59"/>
  <c r="AB17" i="59"/>
  <c r="Y15" i="59"/>
  <c r="Z15" i="59" s="1"/>
  <c r="AB15" i="59"/>
  <c r="X13" i="59"/>
  <c r="Y13" i="59"/>
  <c r="Z13" i="59" s="1"/>
  <c r="AA13" i="59"/>
  <c r="AB13" i="59"/>
  <c r="X11" i="59"/>
  <c r="AA11" i="59"/>
  <c r="X12" i="59"/>
  <c r="AA12" i="59"/>
  <c r="AB9" i="59"/>
  <c r="Y9" i="59"/>
  <c r="Z9" i="59" s="1"/>
  <c r="Y5" i="59"/>
  <c r="Z5" i="59" s="1"/>
  <c r="AA9" i="59"/>
  <c r="AA8" i="59"/>
  <c r="AA10" i="59"/>
  <c r="X7" i="59"/>
  <c r="F19" i="59"/>
  <c r="K76" i="9"/>
  <c r="AA21" i="59"/>
  <c r="AB22" i="59"/>
  <c r="Y22" i="59"/>
  <c r="Z22" i="59" s="1"/>
  <c r="Y21" i="59"/>
  <c r="Z21" i="59" s="1"/>
  <c r="Y20" i="59"/>
  <c r="Z20" i="59" s="1"/>
  <c r="AB20" i="59"/>
  <c r="X19" i="59"/>
  <c r="AA19" i="59"/>
  <c r="X18" i="59"/>
  <c r="AA18" i="59"/>
  <c r="X16" i="59"/>
  <c r="Y16" i="59"/>
  <c r="Z16" i="59" s="1"/>
  <c r="AA16" i="59"/>
  <c r="AB16" i="59"/>
  <c r="X15" i="59"/>
  <c r="AA15" i="59"/>
  <c r="X14" i="59"/>
  <c r="Y14" i="59"/>
  <c r="Z14" i="59" s="1"/>
  <c r="AA14" i="59"/>
  <c r="AB14" i="59"/>
  <c r="Y11" i="59"/>
  <c r="Z11" i="59" s="1"/>
  <c r="AB11" i="59"/>
  <c r="Y12" i="59"/>
  <c r="Z12" i="59" s="1"/>
  <c r="AB12" i="59"/>
  <c r="AB8" i="59"/>
  <c r="AB10" i="59"/>
  <c r="Y8" i="59"/>
  <c r="Z8" i="59" s="1"/>
  <c r="Y7" i="59"/>
  <c r="Z7" i="59" s="1"/>
  <c r="AA7" i="59"/>
  <c r="X9" i="59"/>
  <c r="X8" i="59"/>
  <c r="X10" i="59"/>
  <c r="G17" i="46"/>
  <c r="C16" i="46" s="1"/>
  <c r="D5" i="46" s="1"/>
  <c r="Y11" i="46"/>
  <c r="Y13" i="46" s="1"/>
  <c r="G22" i="46"/>
  <c r="F101" i="46"/>
  <c r="F105" i="46" s="1"/>
  <c r="M101" i="46"/>
  <c r="M107" i="46" s="1"/>
  <c r="AC11" i="46"/>
  <c r="AC13" i="46" s="1"/>
  <c r="AJ11" i="46"/>
  <c r="AJ13" i="46" s="1"/>
  <c r="C101" i="46"/>
  <c r="C105" i="46" s="1"/>
  <c r="J101" i="46"/>
  <c r="J104" i="46" s="1"/>
  <c r="N104" i="45"/>
  <c r="F22" i="46"/>
  <c r="Z7" i="46"/>
  <c r="E22" i="46"/>
  <c r="AA11" i="46"/>
  <c r="AA13" i="46" s="1"/>
  <c r="AF11" i="46"/>
  <c r="AF13" i="46" s="1"/>
  <c r="H22" i="46"/>
  <c r="H101" i="46"/>
  <c r="J22" i="46"/>
  <c r="D101" i="46"/>
  <c r="I101" i="46"/>
  <c r="I109"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4" i="46"/>
  <c r="BL13" i="3"/>
  <c r="AZ13" i="3" s="1"/>
  <c r="L19" i="6"/>
  <c r="L27" i="6" s="1"/>
  <c r="C15" i="43"/>
  <c r="H12" i="48"/>
  <c r="G6" i="1"/>
  <c r="I20" i="46"/>
  <c r="L48" i="35"/>
  <c r="M48" i="35" s="1"/>
  <c r="N48" i="35" s="1"/>
  <c r="O48" i="35" s="1"/>
  <c r="H7" i="35"/>
  <c r="F7" i="35"/>
  <c r="I46" i="36"/>
  <c r="J46" i="36" s="1"/>
  <c r="K46" i="36" s="1"/>
  <c r="L46" i="36" s="1"/>
  <c r="M46" i="36" s="1"/>
  <c r="N46" i="36" s="1"/>
  <c r="O46" i="36" s="1"/>
  <c r="L52" i="37"/>
  <c r="M52" i="37" s="1"/>
  <c r="N52" i="37" s="1"/>
  <c r="O52" i="37" s="1"/>
  <c r="H7" i="36"/>
  <c r="D58" i="33"/>
  <c r="D58" i="21"/>
  <c r="D59" i="34"/>
  <c r="A25" i="51"/>
  <c r="B18" i="63" s="1"/>
  <c r="C95" i="9"/>
  <c r="C92" i="9" s="1"/>
  <c r="D22" i="46"/>
  <c r="H71" i="46"/>
  <c r="H75" i="46"/>
  <c r="H72" i="46"/>
  <c r="H77" i="46"/>
  <c r="H70" i="46"/>
  <c r="H73" i="46"/>
  <c r="H74" i="46"/>
  <c r="H69" i="46"/>
  <c r="H76" i="46"/>
  <c r="F70" i="9"/>
  <c r="O9" i="1"/>
  <c r="P9" i="1" s="1"/>
  <c r="J109" i="46"/>
  <c r="C102" i="46"/>
  <c r="J105" i="46"/>
  <c r="M104" i="46"/>
  <c r="D21" i="12"/>
  <c r="C21" i="12" s="1"/>
  <c r="O8" i="1"/>
  <c r="P8" i="1" s="1"/>
  <c r="O6" i="1"/>
  <c r="BL5" i="3"/>
  <c r="E14" i="6"/>
  <c r="E13" i="6"/>
  <c r="E10" i="6"/>
  <c r="M102" i="46"/>
  <c r="M109" i="46"/>
  <c r="C5" i="46"/>
  <c r="C18" i="11"/>
  <c r="K77" i="9"/>
  <c r="K79" i="9" s="1"/>
  <c r="K81" i="9" s="1"/>
  <c r="E12" i="52"/>
  <c r="B15" i="52"/>
  <c r="F31" i="15"/>
  <c r="F33" i="44"/>
  <c r="E11" i="59"/>
  <c r="B11"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L44" i="9"/>
  <c r="G20" i="9"/>
  <c r="E20" i="46"/>
  <c r="G21" i="9"/>
  <c r="L43" i="9"/>
  <c r="G19" i="9"/>
  <c r="D22" i="9"/>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2" i="65"/>
  <c r="C18" i="44"/>
  <c r="C16" i="15"/>
  <c r="E3" i="65"/>
  <c r="J7" i="36" l="1"/>
  <c r="J7" i="35"/>
  <c r="C72" i="39"/>
  <c r="D70" i="39"/>
  <c r="D65" i="40"/>
  <c r="C67" i="40"/>
  <c r="I102" i="46"/>
  <c r="F72" i="9"/>
  <c r="F30" i="44"/>
  <c r="C30" i="44" s="1"/>
  <c r="F71" i="9"/>
  <c r="F66" i="9"/>
  <c r="P72" i="9" s="1"/>
  <c r="F32" i="15"/>
  <c r="F59" i="15" s="1"/>
  <c r="M20" i="44"/>
  <c r="F28" i="15"/>
  <c r="C28" i="15" s="1"/>
  <c r="M18" i="15"/>
  <c r="F29" i="12"/>
  <c r="C29" i="12" s="1"/>
  <c r="D86" i="9"/>
  <c r="F27" i="43"/>
  <c r="C27" i="43" s="1"/>
  <c r="M103" i="46"/>
  <c r="M106" i="46"/>
  <c r="M105" i="46"/>
  <c r="I106" i="46"/>
  <c r="E53" i="40"/>
  <c r="F27" i="6"/>
  <c r="E58" i="39"/>
  <c r="C107" i="46"/>
  <c r="G28" i="6"/>
  <c r="G30" i="6" s="1"/>
  <c r="G31" i="6" s="1"/>
  <c r="G16" i="1"/>
  <c r="H12" i="39" s="1"/>
  <c r="AB12" i="39" s="1"/>
  <c r="F7" i="36"/>
  <c r="E10" i="59"/>
  <c r="E9" i="59" s="1"/>
  <c r="E8" i="59" s="1"/>
  <c r="E7" i="59" s="1"/>
  <c r="U11" i="59"/>
  <c r="F7" i="37"/>
  <c r="AA7" i="37" s="1"/>
  <c r="R42" i="37" s="1"/>
  <c r="F22" i="59"/>
  <c r="F21" i="59" s="1"/>
  <c r="V23" i="59"/>
  <c r="D23" i="59"/>
  <c r="T23" i="59"/>
  <c r="C22" i="59"/>
  <c r="D29" i="59"/>
  <c r="C30" i="59"/>
  <c r="U23" i="59"/>
  <c r="E22" i="59"/>
  <c r="E21" i="59" s="1"/>
  <c r="S23" i="59"/>
  <c r="B22" i="59"/>
  <c r="B21" i="59" s="1"/>
  <c r="C39" i="59"/>
  <c r="D38" i="59"/>
  <c r="T35" i="59"/>
  <c r="D35" i="59"/>
  <c r="T27" i="59"/>
  <c r="D27" i="59"/>
  <c r="M12" i="1"/>
  <c r="Q16" i="1"/>
  <c r="AA9" i="36"/>
  <c r="S9" i="36"/>
  <c r="W9" i="36"/>
  <c r="AC9" i="36"/>
  <c r="AC45" i="33"/>
  <c r="W45" i="33"/>
  <c r="AZ510" i="3"/>
  <c r="AZ541" i="3"/>
  <c r="AZ543" i="3"/>
  <c r="AC37" i="39"/>
  <c r="W37" i="39"/>
  <c r="AA37" i="39"/>
  <c r="S37" i="39"/>
  <c r="AA26" i="37"/>
  <c r="S26" i="37"/>
  <c r="AA34" i="36"/>
  <c r="S34" i="36"/>
  <c r="U34" i="36"/>
  <c r="AB34" i="36"/>
  <c r="AA24" i="36"/>
  <c r="S24" i="36"/>
  <c r="W24" i="36"/>
  <c r="AC24" i="36"/>
  <c r="AC44" i="21"/>
  <c r="W44" i="21"/>
  <c r="AA30" i="21"/>
  <c r="S30" i="21"/>
  <c r="S28" i="21"/>
  <c r="AA28" i="21"/>
  <c r="U14" i="21"/>
  <c r="AB14" i="21"/>
  <c r="U12" i="21"/>
  <c r="AB12" i="21"/>
  <c r="S12" i="21"/>
  <c r="AA12" i="21"/>
  <c r="AA29" i="33"/>
  <c r="S29" i="33"/>
  <c r="AA9" i="33"/>
  <c r="S9" i="33"/>
  <c r="AC9" i="33"/>
  <c r="W9" i="33"/>
  <c r="C13" i="59"/>
  <c r="D14" i="59"/>
  <c r="B10" i="59"/>
  <c r="B9" i="59" s="1"/>
  <c r="B8" i="59" s="1"/>
  <c r="B7" i="59" s="1"/>
  <c r="S11" i="59"/>
  <c r="V19" i="59"/>
  <c r="F18" i="59"/>
  <c r="F17" i="59" s="1"/>
  <c r="F16" i="59" s="1"/>
  <c r="F15" i="59" s="1"/>
  <c r="N4" i="63"/>
  <c r="B21" i="63"/>
  <c r="O62" i="59"/>
  <c r="C61" i="59"/>
  <c r="D62" i="59"/>
  <c r="C59" i="59"/>
  <c r="D58" i="59"/>
  <c r="C51" i="59"/>
  <c r="D50" i="59"/>
  <c r="AB9" i="36"/>
  <c r="U9" i="36"/>
  <c r="S45" i="33"/>
  <c r="AA45" i="33"/>
  <c r="U45" i="33"/>
  <c r="AB45" i="33"/>
  <c r="AB37" i="39"/>
  <c r="U37" i="39"/>
  <c r="AB26" i="37"/>
  <c r="U26" i="37"/>
  <c r="AC26" i="37"/>
  <c r="W26" i="37"/>
  <c r="AC34" i="36"/>
  <c r="W34" i="36"/>
  <c r="F30" i="6"/>
  <c r="F31" i="6" s="1"/>
  <c r="E28" i="6"/>
  <c r="AB24" i="36"/>
  <c r="U24" i="36"/>
  <c r="AA44" i="21"/>
  <c r="S44" i="21"/>
  <c r="W30" i="21"/>
  <c r="AC30" i="21"/>
  <c r="U30" i="21"/>
  <c r="AB30" i="21"/>
  <c r="AC28" i="21"/>
  <c r="W28" i="21"/>
  <c r="AC14" i="21"/>
  <c r="W14" i="21"/>
  <c r="W12" i="21"/>
  <c r="AC12" i="21"/>
  <c r="G5" i="3"/>
  <c r="B3" i="3" s="1"/>
  <c r="E503" i="3" s="1"/>
  <c r="U13" i="33"/>
  <c r="AB13" i="33"/>
  <c r="E29" i="6"/>
  <c r="K15" i="1" s="1"/>
  <c r="AZ509" i="3"/>
  <c r="AZ5" i="3" s="1"/>
  <c r="AZ520" i="3"/>
  <c r="AZ550" i="3"/>
  <c r="AZ553" i="3"/>
  <c r="AZ555" i="3"/>
  <c r="AZ557" i="3"/>
  <c r="U9" i="33"/>
  <c r="AB9" i="33"/>
  <c r="BA5" i="3"/>
  <c r="E27" i="6" s="1"/>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E58" i="40"/>
  <c r="E63" i="39"/>
  <c r="E59" i="40"/>
  <c r="E64" i="39"/>
  <c r="J7" i="37"/>
  <c r="AC7" i="37" s="1"/>
  <c r="V42" i="37" s="1"/>
  <c r="I42" i="37" s="1"/>
  <c r="H7" i="37"/>
  <c r="AB7" i="37" s="1"/>
  <c r="T42" i="37" s="1"/>
  <c r="G42" i="37" s="1"/>
  <c r="AB7" i="36"/>
  <c r="T36" i="36" s="1"/>
  <c r="G36" i="36" s="1"/>
  <c r="U7" i="36"/>
  <c r="S7" i="36"/>
  <c r="AA7" i="36"/>
  <c r="R36" i="36" s="1"/>
  <c r="AA7" i="35"/>
  <c r="R38" i="35" s="1"/>
  <c r="S7" i="35"/>
  <c r="AC7" i="35"/>
  <c r="V38" i="35" s="1"/>
  <c r="I38" i="35" s="1"/>
  <c r="W7" i="35"/>
  <c r="E59" i="34"/>
  <c r="E58" i="21"/>
  <c r="E58" i="33"/>
  <c r="W7" i="37"/>
  <c r="U7" i="37"/>
  <c r="W7" i="36"/>
  <c r="AC7" i="36"/>
  <c r="V36" i="36" s="1"/>
  <c r="I36" i="36" s="1"/>
  <c r="U7" i="35"/>
  <c r="AB7" i="35"/>
  <c r="T38" i="35" s="1"/>
  <c r="G38" i="35" s="1"/>
  <c r="E60" i="40"/>
  <c r="E65" i="39"/>
  <c r="P6" i="1"/>
  <c r="E61" i="40"/>
  <c r="E66" i="39"/>
  <c r="M19" i="44"/>
  <c r="C19" i="46"/>
  <c r="B40" i="1"/>
  <c r="F17" i="11"/>
  <c r="C17" i="11" s="1"/>
  <c r="C19" i="11" s="1"/>
  <c r="L47" i="44"/>
  <c r="Q62" i="15"/>
  <c r="Q75" i="15"/>
  <c r="C32" i="9"/>
  <c r="N43" i="9"/>
  <c r="M13" i="44"/>
  <c r="J12" i="44" s="1"/>
  <c r="J7" i="44" s="1"/>
  <c r="F11" i="15"/>
  <c r="M11" i="15"/>
  <c r="J10" i="15" s="1"/>
  <c r="F13" i="44"/>
  <c r="C12" i="44" s="1"/>
  <c r="C7" i="44" s="1"/>
  <c r="Q75" i="44"/>
  <c r="Q62" i="44"/>
  <c r="C48" i="15"/>
  <c r="M28" i="46"/>
  <c r="P28" i="46"/>
  <c r="O28" i="46"/>
  <c r="N28" i="46"/>
  <c r="F1" i="44"/>
  <c r="Q54" i="44"/>
  <c r="J20" i="44"/>
  <c r="Q63" i="44"/>
  <c r="Q76" i="44"/>
  <c r="C34" i="44"/>
  <c r="F1" i="15"/>
  <c r="Q53" i="15"/>
  <c r="Q61" i="15"/>
  <c r="Q74" i="15"/>
  <c r="J6" i="15"/>
  <c r="E70" i="39" l="1"/>
  <c r="D72" i="39"/>
  <c r="D67" i="40"/>
  <c r="E65" i="40"/>
  <c r="S2" i="46"/>
  <c r="S4" i="46"/>
  <c r="C23" i="46"/>
  <c r="S6" i="46"/>
  <c r="S7" i="46"/>
  <c r="S3" i="46"/>
  <c r="S5" i="46"/>
  <c r="G20" i="46"/>
  <c r="C20" i="46" s="1"/>
  <c r="C32" i="15"/>
  <c r="J12" i="40"/>
  <c r="AC12" i="40" s="1"/>
  <c r="U12" i="39"/>
  <c r="J12" i="39"/>
  <c r="AC12" i="39" s="1"/>
  <c r="H12" i="40"/>
  <c r="U12" i="40" s="1"/>
  <c r="F12" i="39"/>
  <c r="S12" i="39" s="1"/>
  <c r="F12" i="40"/>
  <c r="S12" i="40" s="1"/>
  <c r="S7" i="37"/>
  <c r="AY6" i="3"/>
  <c r="E3" i="6"/>
  <c r="K14" i="1"/>
  <c r="E30" i="6"/>
  <c r="K20" i="6"/>
  <c r="M20" i="6" s="1"/>
  <c r="I20" i="6" s="1"/>
  <c r="S20" i="6" s="1"/>
  <c r="K24" i="6"/>
  <c r="M24" i="6" s="1"/>
  <c r="I24" i="6" s="1"/>
  <c r="S24" i="6" s="1"/>
  <c r="K21" i="6"/>
  <c r="M21" i="6" s="1"/>
  <c r="I21" i="6" s="1"/>
  <c r="S21" i="6" s="1"/>
  <c r="K23" i="6"/>
  <c r="M23" i="6" s="1"/>
  <c r="I23" i="6" s="1"/>
  <c r="S23" i="6" s="1"/>
  <c r="K26" i="6"/>
  <c r="M26" i="6" s="1"/>
  <c r="I26" i="6" s="1"/>
  <c r="S26" i="6" s="1"/>
  <c r="K22" i="6"/>
  <c r="M22" i="6" s="1"/>
  <c r="I22" i="6" s="1"/>
  <c r="S22" i="6" s="1"/>
  <c r="K25" i="6"/>
  <c r="M25" i="6" s="1"/>
  <c r="I25" i="6" s="1"/>
  <c r="S25" i="6" s="1"/>
  <c r="K19" i="6"/>
  <c r="E548" i="3"/>
  <c r="E495" i="3"/>
  <c r="T51" i="59"/>
  <c r="D51" i="59"/>
  <c r="T59" i="59"/>
  <c r="D59" i="59"/>
  <c r="O61" i="59"/>
  <c r="O60" i="59"/>
  <c r="D61" i="59"/>
  <c r="F14" i="59"/>
  <c r="F13" i="59" s="1"/>
  <c r="F12" i="59" s="1"/>
  <c r="F11" i="59" s="1"/>
  <c r="V15" i="59"/>
  <c r="B6" i="59"/>
  <c r="B5" i="59" s="1"/>
  <c r="S7" i="59"/>
  <c r="C12" i="59"/>
  <c r="D13" i="59"/>
  <c r="E553" i="3"/>
  <c r="F24" i="43"/>
  <c r="C26" i="43" s="1"/>
  <c r="D24" i="43" s="1"/>
  <c r="F33" i="12"/>
  <c r="C34" i="12" s="1"/>
  <c r="D33" i="12" s="1"/>
  <c r="C31" i="59"/>
  <c r="D30" i="59"/>
  <c r="D22" i="59"/>
  <c r="C21" i="59"/>
  <c r="D21" i="59" s="1"/>
  <c r="E31" i="6"/>
  <c r="E411" i="3"/>
  <c r="E250" i="3"/>
  <c r="E41" i="3"/>
  <c r="E471" i="3"/>
  <c r="E418" i="3"/>
  <c r="E408" i="3"/>
  <c r="E92" i="3"/>
  <c r="E238" i="3"/>
  <c r="E414" i="3"/>
  <c r="E44" i="3"/>
  <c r="E202" i="3"/>
  <c r="E36" i="3"/>
  <c r="E131" i="3"/>
  <c r="E237" i="3"/>
  <c r="E304" i="3"/>
  <c r="E428" i="3"/>
  <c r="E165" i="3"/>
  <c r="E100" i="3"/>
  <c r="E404" i="3"/>
  <c r="E30" i="3"/>
  <c r="E223" i="3"/>
  <c r="E441" i="3"/>
  <c r="E205" i="3"/>
  <c r="E367" i="3"/>
  <c r="E399" i="3"/>
  <c r="E415" i="3"/>
  <c r="E478" i="3"/>
  <c r="E80" i="3"/>
  <c r="E317" i="3"/>
  <c r="E28" i="3"/>
  <c r="E141" i="3"/>
  <c r="E179" i="3"/>
  <c r="E168" i="3"/>
  <c r="AS6" i="3"/>
  <c r="E34" i="3"/>
  <c r="E444" i="3"/>
  <c r="E407" i="3"/>
  <c r="E383" i="3"/>
  <c r="E247" i="3"/>
  <c r="E533" i="3"/>
  <c r="E189" i="3"/>
  <c r="E560" i="3"/>
  <c r="E37" i="3"/>
  <c r="E420" i="3"/>
  <c r="E111" i="3"/>
  <c r="E233" i="3"/>
  <c r="E275" i="3"/>
  <c r="E261" i="3"/>
  <c r="E203" i="3"/>
  <c r="E39" i="3"/>
  <c r="E467" i="3"/>
  <c r="E402" i="3"/>
  <c r="E429" i="3"/>
  <c r="E107" i="3"/>
  <c r="E67" i="3"/>
  <c r="E172" i="3"/>
  <c r="E116" i="3"/>
  <c r="E288" i="3"/>
  <c r="E214" i="3"/>
  <c r="E255" i="3"/>
  <c r="E372" i="3"/>
  <c r="E393" i="3"/>
  <c r="E417" i="3"/>
  <c r="E465" i="3"/>
  <c r="E88" i="3"/>
  <c r="E145" i="3"/>
  <c r="E154" i="3"/>
  <c r="E480" i="3"/>
  <c r="E264" i="3"/>
  <c r="E279" i="3"/>
  <c r="E243" i="3"/>
  <c r="E220" i="3"/>
  <c r="E347" i="3"/>
  <c r="E295" i="3"/>
  <c r="E89" i="3"/>
  <c r="E201" i="3"/>
  <c r="E170" i="3"/>
  <c r="E274" i="3"/>
  <c r="E32" i="3"/>
  <c r="E547" i="3"/>
  <c r="E447" i="3"/>
  <c r="E33" i="3"/>
  <c r="Q6" i="3"/>
  <c r="E119" i="3"/>
  <c r="E500" i="3"/>
  <c r="E97" i="3"/>
  <c r="AE6" i="3"/>
  <c r="E289" i="3"/>
  <c r="E136" i="3"/>
  <c r="E568" i="3"/>
  <c r="E85" i="3"/>
  <c r="E539" i="3"/>
  <c r="E332" i="3"/>
  <c r="E245" i="3"/>
  <c r="E166" i="3"/>
  <c r="E102" i="3"/>
  <c r="O6" i="3"/>
  <c r="E25" i="3"/>
  <c r="E204" i="3"/>
  <c r="E258" i="3"/>
  <c r="E207" i="3"/>
  <c r="E479" i="3"/>
  <c r="E449" i="3"/>
  <c r="E43" i="3"/>
  <c r="E196" i="3"/>
  <c r="E276" i="3"/>
  <c r="E259" i="3"/>
  <c r="E308" i="3"/>
  <c r="Y6" i="3"/>
  <c r="E526" i="3"/>
  <c r="AR6" i="3"/>
  <c r="E416" i="3"/>
  <c r="E466" i="3"/>
  <c r="E65" i="3"/>
  <c r="E96" i="3"/>
  <c r="E540" i="3"/>
  <c r="E160" i="3"/>
  <c r="E134" i="3"/>
  <c r="E281" i="3"/>
  <c r="E72" i="3"/>
  <c r="E290" i="3"/>
  <c r="E440" i="3"/>
  <c r="AF6" i="3"/>
  <c r="E234" i="3"/>
  <c r="E458" i="3"/>
  <c r="E128" i="3"/>
  <c r="E29" i="3"/>
  <c r="E150" i="3"/>
  <c r="E228" i="3"/>
  <c r="E314" i="3"/>
  <c r="E324" i="3"/>
  <c r="E502" i="3"/>
  <c r="E334" i="3"/>
  <c r="E489" i="3"/>
  <c r="E325" i="3"/>
  <c r="E286" i="3"/>
  <c r="E50" i="3"/>
  <c r="AJ6" i="3"/>
  <c r="E216" i="3"/>
  <c r="E320" i="3"/>
  <c r="E474" i="3"/>
  <c r="E45" i="3"/>
  <c r="E171" i="3"/>
  <c r="E251" i="3"/>
  <c r="E42" i="3"/>
  <c r="T6" i="3"/>
  <c r="E122" i="3"/>
  <c r="E208" i="3"/>
  <c r="E344" i="3"/>
  <c r="E485" i="3"/>
  <c r="E335" i="3"/>
  <c r="E483" i="3"/>
  <c r="E366" i="3"/>
  <c r="E532" i="3"/>
  <c r="E330" i="3"/>
  <c r="E340" i="3"/>
  <c r="E350" i="3"/>
  <c r="E521" i="3"/>
  <c r="E273" i="3"/>
  <c r="E542" i="3"/>
  <c r="E563" i="3"/>
  <c r="E254" i="3"/>
  <c r="E112" i="3"/>
  <c r="E341" i="3"/>
  <c r="E268" i="3"/>
  <c r="E316" i="3"/>
  <c r="E175" i="3"/>
  <c r="E318" i="3"/>
  <c r="E565" i="3"/>
  <c r="E380" i="3"/>
  <c r="E413" i="3"/>
  <c r="E241" i="3"/>
  <c r="E69" i="3"/>
  <c r="E446" i="3"/>
  <c r="E152" i="3"/>
  <c r="E437" i="3"/>
  <c r="E46" i="3"/>
  <c r="E359" i="3"/>
  <c r="E195" i="3"/>
  <c r="E391" i="3"/>
  <c r="AA6" i="3"/>
  <c r="AD6" i="3"/>
  <c r="E266" i="3"/>
  <c r="E215" i="3"/>
  <c r="I6" i="3"/>
  <c r="Z6" i="3"/>
  <c r="E454" i="3"/>
  <c r="E520" i="3"/>
  <c r="AK6" i="3"/>
  <c r="E395" i="3"/>
  <c r="AN6" i="3"/>
  <c r="E59" i="3"/>
  <c r="E464" i="3"/>
  <c r="E209" i="3"/>
  <c r="E450" i="3"/>
  <c r="E149" i="3"/>
  <c r="E249" i="3"/>
  <c r="E460" i="3"/>
  <c r="I3" i="6"/>
  <c r="E463" i="3"/>
  <c r="E292" i="3"/>
  <c r="E426" i="3"/>
  <c r="E60" i="3"/>
  <c r="E75" i="3"/>
  <c r="E178" i="3"/>
  <c r="J6" i="3"/>
  <c r="E48" i="3"/>
  <c r="E438" i="3"/>
  <c r="E455" i="3"/>
  <c r="E363" i="3"/>
  <c r="E113" i="3"/>
  <c r="E79" i="3"/>
  <c r="E425" i="3"/>
  <c r="E401" i="3"/>
  <c r="E257" i="3"/>
  <c r="E272" i="3"/>
  <c r="E139" i="3"/>
  <c r="E52" i="3"/>
  <c r="E445" i="3"/>
  <c r="E451" i="3"/>
  <c r="U6" i="3"/>
  <c r="E291" i="3"/>
  <c r="E305" i="3"/>
  <c r="E73" i="3"/>
  <c r="E365" i="3"/>
  <c r="E126" i="3"/>
  <c r="E248" i="3"/>
  <c r="E211" i="3"/>
  <c r="E336" i="3"/>
  <c r="E309" i="3"/>
  <c r="V6" i="3"/>
  <c r="E400" i="3"/>
  <c r="E448" i="3"/>
  <c r="E453" i="3"/>
  <c r="E105" i="3"/>
  <c r="E58" i="3"/>
  <c r="E74" i="3"/>
  <c r="AQ6" i="3"/>
  <c r="AG6" i="3"/>
  <c r="E197" i="3"/>
  <c r="E121" i="3"/>
  <c r="E162" i="3"/>
  <c r="E285" i="3"/>
  <c r="E224" i="3"/>
  <c r="E235" i="3"/>
  <c r="E419" i="3"/>
  <c r="E61" i="3"/>
  <c r="E123" i="3"/>
  <c r="E229" i="3"/>
  <c r="E302" i="3"/>
  <c r="E433" i="3"/>
  <c r="E66" i="3"/>
  <c r="E120" i="3"/>
  <c r="E386" i="3"/>
  <c r="E76" i="3"/>
  <c r="E191" i="3"/>
  <c r="E287" i="3"/>
  <c r="E300" i="3"/>
  <c r="E24" i="3"/>
  <c r="E188" i="3"/>
  <c r="E379" i="3"/>
  <c r="E271" i="3"/>
  <c r="E306" i="3"/>
  <c r="E499" i="3"/>
  <c r="E180" i="3"/>
  <c r="E538" i="3"/>
  <c r="E403" i="3"/>
  <c r="E108" i="3"/>
  <c r="E173" i="3"/>
  <c r="E246" i="3"/>
  <c r="E217" i="3"/>
  <c r="E81" i="3"/>
  <c r="E436" i="3"/>
  <c r="E177" i="3"/>
  <c r="E277" i="3"/>
  <c r="E260" i="3"/>
  <c r="E385" i="3"/>
  <c r="E307" i="3"/>
  <c r="E432" i="3"/>
  <c r="E95" i="3"/>
  <c r="E90" i="3"/>
  <c r="E153" i="3"/>
  <c r="E210" i="3"/>
  <c r="E212" i="3"/>
  <c r="E106" i="3"/>
  <c r="E35" i="3"/>
  <c r="E14" i="3"/>
  <c r="E169" i="3"/>
  <c r="E182" i="3"/>
  <c r="E118" i="3"/>
  <c r="E315" i="3"/>
  <c r="E226" i="3"/>
  <c r="E267" i="3"/>
  <c r="E378" i="3"/>
  <c r="E163" i="3"/>
  <c r="E312" i="3"/>
  <c r="E364" i="3"/>
  <c r="E159" i="3"/>
  <c r="E351" i="3"/>
  <c r="E342" i="3"/>
  <c r="E501" i="3"/>
  <c r="AL6" i="3"/>
  <c r="E368" i="3"/>
  <c r="E371" i="3"/>
  <c r="E310" i="3"/>
  <c r="E567" i="3"/>
  <c r="E516" i="3"/>
  <c r="E329" i="3"/>
  <c r="E227" i="3"/>
  <c r="AB6" i="3"/>
  <c r="E406" i="3"/>
  <c r="E26" i="3"/>
  <c r="S6" i="3"/>
  <c r="E244" i="3"/>
  <c r="E322" i="3"/>
  <c r="E71" i="3"/>
  <c r="E137" i="3"/>
  <c r="E240" i="3"/>
  <c r="E377" i="3"/>
  <c r="E301" i="3"/>
  <c r="E382" i="3"/>
  <c r="E358" i="3"/>
  <c r="E484" i="3"/>
  <c r="E509" i="3"/>
  <c r="E326" i="3"/>
  <c r="E356" i="3"/>
  <c r="E564" i="3"/>
  <c r="E86" i="3"/>
  <c r="E476" i="3"/>
  <c r="E68" i="3"/>
  <c r="E192" i="3"/>
  <c r="E135" i="3"/>
  <c r="E114" i="3"/>
  <c r="E147" i="3"/>
  <c r="E348" i="3"/>
  <c r="E22" i="3"/>
  <c r="E93" i="3"/>
  <c r="E439" i="3"/>
  <c r="E394" i="3"/>
  <c r="E459" i="3"/>
  <c r="E55" i="3"/>
  <c r="E117" i="3"/>
  <c r="E282" i="3"/>
  <c r="E231" i="3"/>
  <c r="E570" i="3"/>
  <c r="E375" i="3"/>
  <c r="E470" i="3"/>
  <c r="E409" i="3"/>
  <c r="E349" i="3"/>
  <c r="E83" i="3"/>
  <c r="E186" i="3"/>
  <c r="E124" i="3"/>
  <c r="E311" i="3"/>
  <c r="E222" i="3"/>
  <c r="E263" i="3"/>
  <c r="E388" i="3"/>
  <c r="E424" i="3"/>
  <c r="E430" i="3"/>
  <c r="E82" i="3"/>
  <c r="E146" i="3"/>
  <c r="E164" i="3"/>
  <c r="E77" i="3"/>
  <c r="E99" i="3"/>
  <c r="E434" i="3"/>
  <c r="E262" i="3"/>
  <c r="E552" i="3"/>
  <c r="E101" i="3"/>
  <c r="E57" i="3"/>
  <c r="E297" i="3"/>
  <c r="E280" i="3"/>
  <c r="E270" i="3"/>
  <c r="E157" i="3"/>
  <c r="E161" i="3"/>
  <c r="E492" i="3"/>
  <c r="E370" i="3"/>
  <c r="E477" i="3"/>
  <c r="E51" i="3"/>
  <c r="E513" i="3"/>
  <c r="E198" i="3"/>
  <c r="E345" i="3"/>
  <c r="E242" i="3"/>
  <c r="AI6" i="3"/>
  <c r="E133" i="3"/>
  <c r="E239" i="3"/>
  <c r="E87" i="3"/>
  <c r="E331" i="3"/>
  <c r="E40" i="3"/>
  <c r="E362" i="3"/>
  <c r="E559" i="3"/>
  <c r="E176" i="3"/>
  <c r="E256" i="3"/>
  <c r="E554" i="3"/>
  <c r="E491" i="3"/>
  <c r="E525" i="3"/>
  <c r="E319" i="3"/>
  <c r="K6" i="3"/>
  <c r="E456" i="3"/>
  <c r="E353" i="3"/>
  <c r="E569" i="3"/>
  <c r="E396" i="3"/>
  <c r="E183" i="3"/>
  <c r="E236" i="3"/>
  <c r="E392" i="3"/>
  <c r="E373" i="3"/>
  <c r="E284" i="3"/>
  <c r="E360" i="3"/>
  <c r="E354" i="3"/>
  <c r="E56" i="3"/>
  <c r="E181" i="3"/>
  <c r="E144" i="3"/>
  <c r="E269" i="3"/>
  <c r="E219" i="3"/>
  <c r="E338" i="3"/>
  <c r="E506" i="3"/>
  <c r="E562" i="3"/>
  <c r="E571" i="3"/>
  <c r="E518" i="3"/>
  <c r="E497" i="3"/>
  <c r="E167" i="3"/>
  <c r="E566" i="3"/>
  <c r="E515" i="3"/>
  <c r="E496" i="3"/>
  <c r="E130" i="3"/>
  <c r="E352" i="3"/>
  <c r="E461" i="3"/>
  <c r="E138" i="3"/>
  <c r="E328" i="3"/>
  <c r="E155" i="3"/>
  <c r="E252" i="3"/>
  <c r="E346" i="3"/>
  <c r="E544" i="3"/>
  <c r="E541" i="3"/>
  <c r="E523" i="3"/>
  <c r="E557" i="3"/>
  <c r="E13" i="3"/>
  <c r="AO6" i="3"/>
  <c r="M6" i="3"/>
  <c r="E475" i="3"/>
  <c r="E421" i="3"/>
  <c r="E206" i="3"/>
  <c r="E132" i="3"/>
  <c r="E333" i="3"/>
  <c r="E91" i="3"/>
  <c r="E115" i="3"/>
  <c r="E221" i="3"/>
  <c r="E457" i="3"/>
  <c r="E31" i="3"/>
  <c r="X6" i="3"/>
  <c r="E321" i="3"/>
  <c r="E127" i="3"/>
  <c r="E299" i="3"/>
  <c r="E327" i="3"/>
  <c r="E103" i="3"/>
  <c r="E200" i="3"/>
  <c r="E62" i="3"/>
  <c r="E389" i="3"/>
  <c r="E230" i="3"/>
  <c r="E143" i="3"/>
  <c r="E298" i="3"/>
  <c r="E20" i="3"/>
  <c r="E494" i="3"/>
  <c r="E558" i="3"/>
  <c r="E493" i="3"/>
  <c r="E517" i="3"/>
  <c r="E551" i="3"/>
  <c r="E549" i="3"/>
  <c r="E531" i="3"/>
  <c r="E529" i="3"/>
  <c r="E524" i="3"/>
  <c r="E522" i="3"/>
  <c r="E511" i="3"/>
  <c r="E505" i="3"/>
  <c r="E504" i="3"/>
  <c r="E18" i="3"/>
  <c r="E355" i="3"/>
  <c r="E323" i="3"/>
  <c r="E16" i="3"/>
  <c r="E556" i="3"/>
  <c r="E487" i="3"/>
  <c r="E15" i="3"/>
  <c r="E369" i="3"/>
  <c r="E357" i="3"/>
  <c r="E50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361" i="3"/>
  <c r="E488" i="3"/>
  <c r="E498" i="3"/>
  <c r="E17" i="3"/>
  <c r="E508" i="3"/>
  <c r="E555" i="3"/>
  <c r="E546" i="3"/>
  <c r="E530" i="3"/>
  <c r="E528" i="3"/>
  <c r="E512" i="3"/>
  <c r="E510" i="3"/>
  <c r="E19" i="3"/>
  <c r="E384" i="3"/>
  <c r="E339" i="3"/>
  <c r="E514" i="3"/>
  <c r="E572" i="3"/>
  <c r="E543" i="3"/>
  <c r="E481" i="3"/>
  <c r="E190" i="3"/>
  <c r="E374" i="3"/>
  <c r="E303" i="3"/>
  <c r="L6" i="3"/>
  <c r="E55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519" i="3"/>
  <c r="E527" i="3"/>
  <c r="E486" i="3"/>
  <c r="O12" i="1"/>
  <c r="P12" i="1" s="1"/>
  <c r="T39" i="59"/>
  <c r="D39" i="59"/>
  <c r="E6" i="59"/>
  <c r="E5" i="59" s="1"/>
  <c r="U7" i="59"/>
  <c r="C115" i="46"/>
  <c r="D113" i="46" s="1"/>
  <c r="AA12" i="40"/>
  <c r="W12" i="40"/>
  <c r="AB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C15" i="12"/>
  <c r="W12" i="39"/>
  <c r="D16" i="12"/>
  <c r="D44" i="9"/>
  <c r="D46" i="9"/>
  <c r="D16" i="43"/>
  <c r="C16" i="43" s="1"/>
  <c r="E6" i="6"/>
  <c r="L38" i="9"/>
  <c r="B14" i="66" s="1"/>
  <c r="B1" i="66" s="1"/>
  <c r="D45" i="9"/>
  <c r="C21" i="4"/>
  <c r="O5" i="54" s="1"/>
  <c r="B45" i="63" s="1"/>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486" i="3"/>
  <c r="AY67" i="3"/>
  <c r="AY159" i="3"/>
  <c r="AY105" i="3"/>
  <c r="AY47" i="3"/>
  <c r="AY31" i="3"/>
  <c r="AY234" i="3"/>
  <c r="AY317" i="3"/>
  <c r="AY402" i="3"/>
  <c r="AY181" i="3"/>
  <c r="AY343" i="3"/>
  <c r="AY65" i="3"/>
  <c r="AY265" i="3"/>
  <c r="AY350" i="3"/>
  <c r="AY50"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C34" i="9"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O43" i="9"/>
  <c r="C42" i="9"/>
  <c r="C35" i="9"/>
  <c r="F42" i="9" s="1"/>
  <c r="O38" i="9"/>
  <c r="C33" i="9"/>
  <c r="C52" i="15"/>
  <c r="C47" i="15" s="1"/>
  <c r="C10" i="15"/>
  <c r="C5" i="15" s="1"/>
  <c r="C20" i="11"/>
  <c r="C21" i="11" s="1"/>
  <c r="C22" i="11" s="1"/>
  <c r="C23" i="11" s="1"/>
  <c r="B2" i="11" s="1"/>
  <c r="F21" i="43"/>
  <c r="C23" i="43" s="1"/>
  <c r="D21" i="43" s="1"/>
  <c r="F24" i="15"/>
  <c r="C24" i="15" s="1"/>
  <c r="F26" i="12"/>
  <c r="F26" i="44"/>
  <c r="C26" i="44" s="1"/>
  <c r="E41" i="46" l="1"/>
  <c r="C41" i="46" s="1"/>
  <c r="C38" i="46" s="1"/>
  <c r="G38" i="46" s="1"/>
  <c r="I38" i="46" s="1"/>
  <c r="C34" i="46"/>
  <c r="G34" i="46" s="1"/>
  <c r="I34" i="46" s="1"/>
  <c r="T4" i="46"/>
  <c r="V4" i="46" s="1"/>
  <c r="T11" i="46"/>
  <c r="V11" i="46" s="1"/>
  <c r="T8" i="46"/>
  <c r="V8" i="46" s="1"/>
  <c r="T9" i="46"/>
  <c r="V9" i="46" s="1"/>
  <c r="T12" i="46"/>
  <c r="V12" i="46" s="1"/>
  <c r="F65" i="40"/>
  <c r="E67" i="40"/>
  <c r="E72" i="39"/>
  <c r="F70" i="39"/>
  <c r="T15" i="46"/>
  <c r="V15" i="46" s="1"/>
  <c r="T13" i="46"/>
  <c r="V13" i="46" s="1"/>
  <c r="T3" i="46"/>
  <c r="V3" i="46" s="1"/>
  <c r="AC6"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80" i="3"/>
  <c r="AY58" i="3"/>
  <c r="AY179" i="3"/>
  <c r="AY100" i="3"/>
  <c r="AY126" i="3"/>
  <c r="AY118" i="3"/>
  <c r="AY209" i="3"/>
  <c r="AY416" i="3"/>
  <c r="AY55" i="3"/>
  <c r="AY250" i="3"/>
  <c r="AY560" i="3"/>
  <c r="AY141" i="3"/>
  <c r="AY310" i="3"/>
  <c r="AY459"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H6" i="3"/>
  <c r="E6" i="3" s="1"/>
  <c r="T6" i="46"/>
  <c r="V6" i="46" s="1"/>
  <c r="T2" i="46"/>
  <c r="V2" i="46" s="1"/>
  <c r="C37" i="46"/>
  <c r="G37" i="46" s="1"/>
  <c r="I37" i="46" s="1"/>
  <c r="T5" i="46"/>
  <c r="V5" i="46" s="1"/>
  <c r="C35" i="46"/>
  <c r="G35" i="46" s="1"/>
  <c r="I35" i="46" s="1"/>
  <c r="T16" i="46"/>
  <c r="V16" i="46" s="1"/>
  <c r="C36" i="46"/>
  <c r="G36" i="46" s="1"/>
  <c r="I36" i="46" s="1"/>
  <c r="C11" i="59"/>
  <c r="D12" i="59"/>
  <c r="F10" i="59"/>
  <c r="F9" i="59" s="1"/>
  <c r="F8" i="59" s="1"/>
  <c r="F7" i="59" s="1"/>
  <c r="V11" i="59"/>
  <c r="S6" i="1"/>
  <c r="M19" i="6"/>
  <c r="K27" i="6"/>
  <c r="T31" i="59"/>
  <c r="D31" i="59"/>
  <c r="M14" i="1"/>
  <c r="K16" i="1"/>
  <c r="T10" i="46"/>
  <c r="V10" i="46" s="1"/>
  <c r="C33" i="46"/>
  <c r="E33" i="46" s="1"/>
  <c r="C29" i="46"/>
  <c r="T14" i="46"/>
  <c r="V14" i="46" s="1"/>
  <c r="T7" i="46"/>
  <c r="V7" i="46" s="1"/>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7" i="66"/>
  <c r="C6" i="66"/>
  <c r="C8" i="66"/>
  <c r="C22" i="4"/>
  <c r="D21" i="6"/>
  <c r="D10" i="6"/>
  <c r="H21" i="6"/>
  <c r="D6" i="6"/>
  <c r="D14" i="6"/>
  <c r="D20" i="6"/>
  <c r="H23" i="6"/>
  <c r="F45" i="9"/>
  <c r="E68" i="39"/>
  <c r="D26" i="6"/>
  <c r="D22" i="6"/>
  <c r="D12" i="6"/>
  <c r="H25" i="6"/>
  <c r="D5" i="6"/>
  <c r="H22" i="6"/>
  <c r="H26" i="6"/>
  <c r="F46" i="9"/>
  <c r="E63" i="40"/>
  <c r="D25" i="6"/>
  <c r="H24" i="6"/>
  <c r="D28" i="6"/>
  <c r="E45" i="9"/>
  <c r="K38" i="9"/>
  <c r="C14" i="66" s="1"/>
  <c r="B2" i="66" s="1"/>
  <c r="H20" i="6"/>
  <c r="D29" i="6"/>
  <c r="E44" i="9"/>
  <c r="D19" i="6"/>
  <c r="D13" i="6"/>
  <c r="D23" i="6"/>
  <c r="D8" i="6"/>
  <c r="F44" i="9"/>
  <c r="D24" i="6"/>
  <c r="R24" i="6" s="1"/>
  <c r="D11" i="6"/>
  <c r="D9" i="6"/>
  <c r="D15" i="6"/>
  <c r="E46" i="9"/>
  <c r="G22" i="9"/>
  <c r="D13" i="11"/>
  <c r="C13" i="11" s="1"/>
  <c r="D22" i="12"/>
  <c r="C22" i="12" s="1"/>
  <c r="C20" i="12" s="1"/>
  <c r="D19" i="12"/>
  <c r="C19" i="12" s="1"/>
  <c r="C16" i="12"/>
  <c r="C65" i="15"/>
  <c r="C59" i="15"/>
  <c r="N38" i="9"/>
  <c r="K28" i="9" s="1"/>
  <c r="D42" i="9"/>
  <c r="Q5" i="54" s="1"/>
  <c r="B47" i="63" s="1"/>
  <c r="R5" i="54"/>
  <c r="B48" i="63" s="1"/>
  <c r="D14" i="66"/>
  <c r="D63" i="9"/>
  <c r="N68" i="9"/>
  <c r="B5" i="11"/>
  <c r="B3" i="11"/>
  <c r="B3" i="68" s="1"/>
  <c r="B4" i="11"/>
  <c r="C3" i="68" s="1"/>
  <c r="C27" i="12"/>
  <c r="D26" i="12" s="1"/>
  <c r="C32" i="12" s="1"/>
  <c r="D30" i="12" s="1"/>
  <c r="K26" i="9"/>
  <c r="K25" i="9"/>
  <c r="J26" i="15"/>
  <c r="J29" i="15" s="1"/>
  <c r="J24" i="15"/>
  <c r="C38" i="15"/>
  <c r="E42" i="9"/>
  <c r="P5" i="54" s="1"/>
  <c r="B46" i="63" s="1"/>
  <c r="M38" i="9"/>
  <c r="K27" i="9" s="1"/>
  <c r="Q58" i="44"/>
  <c r="Q67" i="44"/>
  <c r="Q49" i="44"/>
  <c r="Q55" i="44" s="1"/>
  <c r="F7" i="67"/>
  <c r="C19" i="44"/>
  <c r="C17" i="15"/>
  <c r="C2" i="68" l="1"/>
  <c r="B2" i="68"/>
  <c r="E38" i="46"/>
  <c r="C39" i="46"/>
  <c r="E39" i="46" s="1"/>
  <c r="C30" i="46"/>
  <c r="E30" i="46" s="1"/>
  <c r="E34" i="46"/>
  <c r="E36" i="46"/>
  <c r="G70" i="39"/>
  <c r="F72" i="39"/>
  <c r="F67" i="40"/>
  <c r="G65" i="40"/>
  <c r="E37" i="46"/>
  <c r="E35" i="46"/>
  <c r="G33" i="46"/>
  <c r="I33" i="46" s="1"/>
  <c r="O14" i="1"/>
  <c r="O16" i="1" s="1"/>
  <c r="M16" i="1"/>
  <c r="S16" i="1"/>
  <c r="T8" i="1" s="1"/>
  <c r="F6" i="59"/>
  <c r="F5" i="59" s="1"/>
  <c r="V7" i="59"/>
  <c r="C10" i="59"/>
  <c r="T11" i="59"/>
  <c r="D11" i="59"/>
  <c r="F7" i="34"/>
  <c r="I19" i="6"/>
  <c r="M27" i="6"/>
  <c r="E29" i="46"/>
  <c r="H7" i="34"/>
  <c r="U7" i="34" s="1"/>
  <c r="AB7" i="34"/>
  <c r="T49" i="34" s="1"/>
  <c r="G49" i="34" s="1"/>
  <c r="S7" i="21"/>
  <c r="AA7" i="21"/>
  <c r="R48" i="21" s="1"/>
  <c r="AA7" i="33"/>
  <c r="R48" i="33" s="1"/>
  <c r="S7" i="33"/>
  <c r="S7" i="34"/>
  <c r="AA7" i="34"/>
  <c r="R49" i="34" s="1"/>
  <c r="I52" i="33"/>
  <c r="J52" i="33" s="1"/>
  <c r="I52" i="21"/>
  <c r="J52" i="21" s="1"/>
  <c r="AB7" i="33"/>
  <c r="T48" i="33" s="1"/>
  <c r="G48" i="33" s="1"/>
  <c r="U7" i="33"/>
  <c r="G52" i="21"/>
  <c r="H52" i="21" s="1"/>
  <c r="G53" i="21"/>
  <c r="H53" i="21" s="1"/>
  <c r="J7" i="34"/>
  <c r="D16" i="6"/>
  <c r="D27" i="6"/>
  <c r="D30" i="6"/>
  <c r="R23" i="6"/>
  <c r="R25" i="6"/>
  <c r="R20" i="6"/>
  <c r="D7" i="66"/>
  <c r="D6" i="66"/>
  <c r="D8" i="66"/>
  <c r="R26" i="6"/>
  <c r="A6" i="64"/>
  <c r="A20" i="64"/>
  <c r="A6" i="51"/>
  <c r="B7" i="63" s="1"/>
  <c r="A20" i="51"/>
  <c r="B15" i="63" s="1"/>
  <c r="N5" i="54"/>
  <c r="B43" i="63" s="1"/>
  <c r="R22" i="6"/>
  <c r="R21" i="6"/>
  <c r="E4" i="67"/>
  <c r="D77" i="9"/>
  <c r="N75" i="9" s="1"/>
  <c r="D73" i="9"/>
  <c r="N73" i="9" s="1"/>
  <c r="C111" i="9"/>
  <c r="C104" i="9" s="1"/>
  <c r="C96" i="9"/>
  <c r="C91" i="9" s="1"/>
  <c r="C82" i="9"/>
  <c r="C81" i="9" s="1"/>
  <c r="C85" i="9" s="1"/>
  <c r="C86" i="9" s="1"/>
  <c r="D72" i="9" s="1"/>
  <c r="C103" i="9"/>
  <c r="D70" i="9"/>
  <c r="C90" i="9"/>
  <c r="D71" i="9"/>
  <c r="D66" i="9" s="1"/>
  <c r="N72" i="9" s="1"/>
  <c r="B5" i="66"/>
  <c r="E14" i="66"/>
  <c r="F14" i="66"/>
  <c r="B7" i="67"/>
  <c r="E7" i="67"/>
  <c r="G39" i="46" l="1"/>
  <c r="I39" i="46" s="1"/>
  <c r="C27" i="46" s="1"/>
  <c r="E2" i="68"/>
  <c r="G2" i="68" s="1"/>
  <c r="C26" i="46"/>
  <c r="B2" i="46" s="1"/>
  <c r="B3" i="46" s="1"/>
  <c r="G67" i="40"/>
  <c r="H65" i="40"/>
  <c r="G72" i="39"/>
  <c r="H70" i="39"/>
  <c r="C13" i="43"/>
  <c r="N16" i="1"/>
  <c r="C29" i="43" s="1"/>
  <c r="L16" i="1"/>
  <c r="T11" i="1"/>
  <c r="T7" i="1"/>
  <c r="P14" i="1"/>
  <c r="P16" i="1" s="1"/>
  <c r="C13" i="12" s="1"/>
  <c r="I27" i="6"/>
  <c r="H19" i="6"/>
  <c r="S19" i="6"/>
  <c r="S27" i="6" s="1"/>
  <c r="C9" i="59"/>
  <c r="D10" i="59"/>
  <c r="T12" i="1"/>
  <c r="T6" i="1"/>
  <c r="T9" i="1"/>
  <c r="T13" i="1"/>
  <c r="T10" i="1"/>
  <c r="G52" i="33"/>
  <c r="H52" i="33" s="1"/>
  <c r="G53" i="33"/>
  <c r="H53" i="33" s="1"/>
  <c r="R50" i="34"/>
  <c r="E49" i="34"/>
  <c r="R49" i="33"/>
  <c r="E48" i="33"/>
  <c r="R49" i="21"/>
  <c r="E48" i="21"/>
  <c r="W7" i="34"/>
  <c r="AC7" i="34"/>
  <c r="V49" i="34" s="1"/>
  <c r="I49" i="34" s="1"/>
  <c r="G53" i="34"/>
  <c r="H53" i="34" s="1"/>
  <c r="D31" i="6"/>
  <c r="E3" i="67"/>
  <c r="C97" i="9"/>
  <c r="C98" i="9" s="1"/>
  <c r="E98" i="9" s="1"/>
  <c r="E99" i="9" s="1"/>
  <c r="B2" i="67"/>
  <c r="C113" i="9"/>
  <c r="C114" i="9" s="1"/>
  <c r="E114" i="9" s="1"/>
  <c r="E115" i="9" s="1"/>
  <c r="D5" i="66"/>
  <c r="C5" i="66"/>
  <c r="C14" i="15"/>
  <c r="F35" i="15"/>
  <c r="C16" i="44"/>
  <c r="M21" i="15"/>
  <c r="F37" i="44"/>
  <c r="M23" i="44"/>
  <c r="D4" i="46" l="1"/>
  <c r="B4" i="46"/>
  <c r="H72" i="39"/>
  <c r="I70" i="39"/>
  <c r="H67" i="40"/>
  <c r="I65" i="40"/>
  <c r="C20" i="44"/>
  <c r="C17" i="44"/>
  <c r="C15" i="15"/>
  <c r="C18" i="15"/>
  <c r="C17" i="12"/>
  <c r="C14" i="12"/>
  <c r="D9" i="59"/>
  <c r="C8" i="59"/>
  <c r="R19" i="6"/>
  <c r="H27" i="6"/>
  <c r="T16" i="1"/>
  <c r="C14" i="43"/>
  <c r="C17" i="43"/>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J65" i="40" l="1"/>
  <c r="I67" i="40"/>
  <c r="J70" i="39"/>
  <c r="I72" i="39"/>
  <c r="R27" i="6"/>
  <c r="R6" i="1"/>
  <c r="R16" i="1" s="1"/>
  <c r="C21" i="44"/>
  <c r="C22" i="44" s="1"/>
  <c r="C28" i="44" s="1"/>
  <c r="C18" i="12"/>
  <c r="C23" i="12" s="1"/>
  <c r="C35" i="12" s="1"/>
  <c r="C33" i="12" s="1"/>
  <c r="C19" i="15"/>
  <c r="C20" i="15" s="1"/>
  <c r="C23" i="15" s="1"/>
  <c r="C18" i="43"/>
  <c r="C19" i="43" s="1"/>
  <c r="C25" i="43" s="1"/>
  <c r="C24" i="43" s="1"/>
  <c r="C7" i="59"/>
  <c r="D8" i="59"/>
  <c r="Q77" i="9"/>
  <c r="O79" i="9"/>
  <c r="O81" i="9" s="1"/>
  <c r="K70" i="39" l="1"/>
  <c r="J72" i="39"/>
  <c r="J67" i="40"/>
  <c r="K65" i="40"/>
  <c r="C25" i="44"/>
  <c r="C31" i="44" s="1"/>
  <c r="Q51" i="44" s="1"/>
  <c r="C26" i="15"/>
  <c r="C29" i="15" s="1"/>
  <c r="C28" i="12"/>
  <c r="C26" i="12" s="1"/>
  <c r="C31" i="12" s="1"/>
  <c r="C30" i="12" s="1"/>
  <c r="C36" i="12" s="1"/>
  <c r="B2" i="12" s="1"/>
  <c r="C22" i="43"/>
  <c r="C21" i="43" s="1"/>
  <c r="C28" i="43" s="1"/>
  <c r="C30" i="43" s="1"/>
  <c r="C32" i="43" s="1"/>
  <c r="B2" i="43" s="1"/>
  <c r="C6" i="59"/>
  <c r="T7" i="59"/>
  <c r="D7" i="59"/>
  <c r="O80" i="9"/>
  <c r="L65" i="40" l="1"/>
  <c r="K67" i="40"/>
  <c r="L70" i="39"/>
  <c r="K72" i="39"/>
  <c r="C15" i="44"/>
  <c r="C43" i="44" s="1"/>
  <c r="J21" i="44"/>
  <c r="J19" i="44" s="1"/>
  <c r="C38" i="44"/>
  <c r="C35" i="44"/>
  <c r="C33" i="44" s="1"/>
  <c r="J16" i="44"/>
  <c r="J24" i="44" s="1"/>
  <c r="C5" i="59"/>
  <c r="D5" i="59" s="1"/>
  <c r="D6" i="59"/>
  <c r="M20" i="46" s="1"/>
  <c r="B4" i="43"/>
  <c r="B3" i="43"/>
  <c r="B5" i="43"/>
  <c r="Q50" i="15"/>
  <c r="C33" i="15"/>
  <c r="C31" i="15" s="1"/>
  <c r="C13" i="15"/>
  <c r="C56" i="15"/>
  <c r="J19" i="15"/>
  <c r="J17" i="15" s="1"/>
  <c r="J14" i="15"/>
  <c r="C36" i="15"/>
  <c r="J59" i="15"/>
  <c r="J60" i="15" s="1"/>
  <c r="Q72" i="44"/>
  <c r="B3" i="12"/>
  <c r="B4" i="12"/>
  <c r="B5" i="12"/>
  <c r="L72" i="39" l="1"/>
  <c r="M70" i="39"/>
  <c r="L67" i="40"/>
  <c r="M65" i="40"/>
  <c r="C39" i="44"/>
  <c r="C32" i="44" s="1"/>
  <c r="C42" i="44" s="1"/>
  <c r="J15" i="44"/>
  <c r="J25" i="44" s="1"/>
  <c r="J18" i="44" s="1"/>
  <c r="J27" i="44" s="1"/>
  <c r="Q49" i="15"/>
  <c r="L46" i="15"/>
  <c r="J22" i="15"/>
  <c r="J13" i="15"/>
  <c r="J23" i="15" s="1"/>
  <c r="C63" i="15"/>
  <c r="C60" i="15"/>
  <c r="C58" i="15" s="1"/>
  <c r="C37" i="15"/>
  <c r="C30" i="15" s="1"/>
  <c r="C39" i="15" s="1"/>
  <c r="Q71" i="15"/>
  <c r="J35" i="15"/>
  <c r="C55" i="15"/>
  <c r="C64" i="15" s="1"/>
  <c r="M67" i="40" l="1"/>
  <c r="H9" i="40" s="1"/>
  <c r="N65" i="40"/>
  <c r="N67" i="40" s="1"/>
  <c r="F9" i="40" s="1"/>
  <c r="M72" i="39"/>
  <c r="F9" i="39" s="1"/>
  <c r="N70" i="39"/>
  <c r="N72" i="39" s="1"/>
  <c r="C44" i="44"/>
  <c r="C45" i="44" s="1"/>
  <c r="B2" i="44" s="1"/>
  <c r="Q71" i="44"/>
  <c r="Q70" i="44" s="1"/>
  <c r="J16" i="15"/>
  <c r="J25" i="15" s="1"/>
  <c r="C57" i="15"/>
  <c r="C66" i="15" s="1"/>
  <c r="C67" i="15" s="1"/>
  <c r="C70" i="15" s="1"/>
  <c r="Q70" i="15"/>
  <c r="Q69" i="15" s="1"/>
  <c r="C40" i="15"/>
  <c r="J39" i="15"/>
  <c r="J40" i="15" s="1"/>
  <c r="L51" i="15"/>
  <c r="C46" i="15" l="1"/>
  <c r="L52" i="44"/>
  <c r="Q69" i="44" s="1"/>
  <c r="S9" i="39"/>
  <c r="AA9" i="39"/>
  <c r="R49" i="39" s="1"/>
  <c r="AB9" i="40"/>
  <c r="T44" i="40" s="1"/>
  <c r="G44" i="40" s="1"/>
  <c r="U9" i="40"/>
  <c r="J9" i="40"/>
  <c r="AA9" i="40"/>
  <c r="R44" i="40" s="1"/>
  <c r="S9" i="40"/>
  <c r="J9" i="39"/>
  <c r="H9" i="39"/>
  <c r="L57" i="15"/>
  <c r="L60" i="15" s="1"/>
  <c r="Q68" i="15"/>
  <c r="B3" i="44"/>
  <c r="B4" i="44"/>
  <c r="B5" i="44"/>
  <c r="Q57" i="15"/>
  <c r="J42" i="15"/>
  <c r="J43" i="15" s="1"/>
  <c r="C43" i="15"/>
  <c r="Q48" i="15"/>
  <c r="Q54" i="15" s="1"/>
  <c r="B2" i="15"/>
  <c r="B3" i="15" s="1"/>
  <c r="Q66" i="15"/>
  <c r="L58" i="44" l="1"/>
  <c r="L61" i="44" s="1"/>
  <c r="Q59" i="44" s="1"/>
  <c r="Q64" i="44" s="1"/>
  <c r="AC9" i="39"/>
  <c r="V49" i="39" s="1"/>
  <c r="I49" i="39" s="1"/>
  <c r="I53" i="39" s="1"/>
  <c r="J53" i="39" s="1"/>
  <c r="W9" i="39"/>
  <c r="E44" i="40"/>
  <c r="R45" i="40"/>
  <c r="R50" i="39"/>
  <c r="E49" i="39"/>
  <c r="U9" i="39"/>
  <c r="AB9" i="39"/>
  <c r="T49" i="39" s="1"/>
  <c r="G49" i="39" s="1"/>
  <c r="W9" i="40"/>
  <c r="AC9" i="40"/>
  <c r="V44" i="40" s="1"/>
  <c r="I44" i="40" s="1"/>
  <c r="G48" i="40"/>
  <c r="H48" i="40" s="1"/>
  <c r="G49" i="40"/>
  <c r="H49" i="40" s="1"/>
  <c r="Q67" i="15"/>
  <c r="Q76" i="15" s="1"/>
  <c r="Q58" i="15"/>
  <c r="Q63" i="15" s="1"/>
  <c r="Q68" i="44" l="1"/>
  <c r="Q77" i="44" s="1"/>
  <c r="C50" i="39"/>
  <c r="C49" i="39"/>
  <c r="E48" i="40"/>
  <c r="F48" i="40" s="1"/>
  <c r="E49" i="40"/>
  <c r="F49" i="40" s="1"/>
  <c r="I49" i="40"/>
  <c r="J49" i="40" s="1"/>
  <c r="I48" i="40"/>
  <c r="J48" i="40" s="1"/>
  <c r="G53" i="39"/>
  <c r="H53" i="39" s="1"/>
  <c r="G54" i="39"/>
  <c r="H54" i="39" s="1"/>
  <c r="I54" i="39"/>
  <c r="J54" i="39" s="1"/>
  <c r="E53" i="39"/>
  <c r="F53" i="39" s="1"/>
  <c r="E54" i="39"/>
  <c r="F54" i="39" s="1"/>
  <c r="C45" i="40"/>
  <c r="C44" i="40"/>
  <c r="B63" i="39" l="1"/>
  <c r="F63" i="39" s="1"/>
  <c r="B65" i="39"/>
  <c r="F65" i="39" s="1"/>
  <c r="B58" i="39"/>
  <c r="F58" i="39" s="1"/>
  <c r="B66" i="39"/>
  <c r="F66" i="39" s="1"/>
  <c r="B64" i="39"/>
  <c r="F64" i="39" s="1"/>
  <c r="F68" i="39"/>
  <c r="B2" i="39" s="1"/>
  <c r="B67" i="39"/>
  <c r="F67" i="39" s="1"/>
  <c r="B61" i="39"/>
  <c r="F61" i="39" s="1"/>
  <c r="B59" i="39"/>
  <c r="F59" i="39" s="1"/>
  <c r="B62" i="39"/>
  <c r="F62" i="39" s="1"/>
  <c r="B60" i="39"/>
  <c r="F60" i="39" s="1"/>
  <c r="B61" i="40"/>
  <c r="F61" i="40" s="1"/>
  <c r="B57" i="40"/>
  <c r="F57" i="40" s="1"/>
  <c r="B58" i="40"/>
  <c r="F58" i="40" s="1"/>
  <c r="B60" i="40"/>
  <c r="F60" i="40" s="1"/>
  <c r="B62" i="40"/>
  <c r="F62" i="40" s="1"/>
  <c r="F63" i="40"/>
  <c r="B2" i="40" s="1"/>
  <c r="B55" i="40"/>
  <c r="F55" i="40" s="1"/>
  <c r="B54" i="40"/>
  <c r="F54" i="40" s="1"/>
  <c r="B56" i="40"/>
  <c r="F56" i="40" s="1"/>
  <c r="B53" i="40"/>
  <c r="F53" i="40" s="1"/>
  <c r="B59" i="40"/>
  <c r="F59" i="40" s="1"/>
  <c r="B4" i="40" l="1"/>
  <c r="B5" i="40"/>
  <c r="B3" i="40"/>
  <c r="B3" i="39"/>
  <c r="B4" i="39"/>
  <c r="B5" i="3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<sst xmlns="http://schemas.openxmlformats.org/spreadsheetml/2006/main" count="6889" uniqueCount="3057">
  <si>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</si>
  <si>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</si>
  <si>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</si>
  <si>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</si>
  <si>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</si>
  <si>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</si>
  <si>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</si>
  <si>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</si>
  <si>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</si>
  <si>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</si>
  <si>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</si>
  <si>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</si>
  <si>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</si>
  <si>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</si>
  <si>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</si>
  <si>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</si>
  <si>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</si>
  <si>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</si>
  <si>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</si>
  <si>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</si>
  <si>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</si>
  <si>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</si>
  <si>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</si>
  <si>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</si>
  <si>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</si>
  <si>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</si>
  <si>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</si>
  <si>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</si>
  <si>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</si>
  <si>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</si>
  <si>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</si>
  <si>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</si>
  <si>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</si>
  <si>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</si>
  <si>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</si>
  <si>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</si>
  <si>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</si>
  <si>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</si>
  <si>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</si>
  <si>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</si>
  <si>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</si>
  <si>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</si>
  <si>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</si>
  <si>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</si>
  <si>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</si>
  <si>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</si>
  <si>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</si>
  <si>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</si>
  <si>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</si>
  <si>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</si>
  <si>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</si>
  <si>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</si>
  <si>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</si>
  <si>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</si>
  <si>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</si>
  <si>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</si>
  <si>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</si>
  <si>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</si>
  <si>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</si>
  <si>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</si>
  <si>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</si>
  <si>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</si>
  <si>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</si>
  <si>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</si>
  <si>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</si>
  <si>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</si>
  <si>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</si>
  <si>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</si>
  <si>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</si>
  <si>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</si>
  <si>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</si>
  <si>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</si>
  <si>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</si>
  <si>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</si>
  <si>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</si>
  <si>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</si>
  <si>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</si>
  <si>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</si>
  <si>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</si>
  <si>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</si>
  <si>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</si>
  <si>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</si>
  <si>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</si>
  <si>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</si>
  <si>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</si>
  <si>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</si>
  <si>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</si>
  <si>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</si>
  <si>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</si>
  <si>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</si>
  <si>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</si>
  <si>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</si>
  <si>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</si>
  <si>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</si>
  <si>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</si>
  <si>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</si>
  <si>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</si>
  <si>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</si>
  <si>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</si>
  <si>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</si>
  <si>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</si>
  <si>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</si>
  <si>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</si>
  <si>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</si>
  <si>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</si>
  <si>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</si>
  <si>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</si>
  <si>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</si>
  <si>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</si>
  <si>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</si>
  <si>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</si>
  <si>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</si>
  <si>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</si>
  <si>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</si>
  <si>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</si>
  <si>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</si>
  <si>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</si>
  <si>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</si>
  <si>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</si>
  <si>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</si>
  <si>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</si>
  <si>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</si>
  <si>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</si>
  <si>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</si>
  <si>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</si>
  <si>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</si>
  <si>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</si>
  <si>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</si>
  <si>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</si>
  <si>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</si>
  <si>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</si>
  <si>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</si>
  <si>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</si>
  <si>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</si>
  <si>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</si>
  <si>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</si>
  <si>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</si>
  <si>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</si>
  <si>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</si>
  <si>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</si>
  <si>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</si>
  <si>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</si>
  <si>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</si>
  <si>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</si>
  <si>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</si>
  <si>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</si>
  <si>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</si>
  <si>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</si>
  <si>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</si>
  <si>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</si>
  <si>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</si>
  <si>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</si>
  <si>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</si>
  <si>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</si>
  <si>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</si>
  <si>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</si>
  <si>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</si>
  <si>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</si>
  <si>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</si>
  <si>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</si>
  <si>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</si>
  <si>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</si>
  <si>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</si>
  <si>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</si>
  <si>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</si>
  <si>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</si>
  <si>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</si>
  <si>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</si>
  <si>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</si>
  <si>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</si>
  <si>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</si>
  <si>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</si>
  <si>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</si>
  <si>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</si>
  <si>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</si>
  <si>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</si>
  <si>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</si>
  <si>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</si>
  <si>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</si>
  <si>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</si>
  <si>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</si>
  <si>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</si>
  <si>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</si>
  <si>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</si>
  <si>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</si>
  <si>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</si>
  <si>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</si>
  <si>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</si>
  <si>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</si>
  <si>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</si>
  <si>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</si>
  <si>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</si>
  <si>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</si>
  <si>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</si>
  <si>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</si>
  <si>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</si>
  <si>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</si>
  <si>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</si>
  <si>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</si>
  <si>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</si>
  <si>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</si>
  <si>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</si>
  <si>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</si>
  <si>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</si>
  <si>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</si>
  <si>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</si>
  <si>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</si>
  <si>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</si>
  <si>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</si>
  <si>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</si>
  <si>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</si>
  <si>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</si>
  <si>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</si>
  <si>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</si>
  <si>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</si>
  <si>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</si>
  <si>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</si>
  <si>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</si>
  <si>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</si>
  <si>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</si>
  <si>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</si>
  <si>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</si>
  <si>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</si>
  <si>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</si>
  <si>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</si>
  <si>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</si>
  <si>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</si>
  <si>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</si>
  <si>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</si>
  <si>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</si>
  <si>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</si>
  <si>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</si>
  <si>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</si>
  <si>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</si>
  <si>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</si>
  <si>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</si>
  <si>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</si>
  <si>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</si>
  <si>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</si>
  <si>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</si>
  <si>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</si>
  <si>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</si>
  <si>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</si>
  <si>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</si>
  <si>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</si>
  <si>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</si>
  <si>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</si>
  <si>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</si>
  <si>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</si>
  <si>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</si>
  <si>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</si>
  <si>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</si>
  <si>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</si>
  <si>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</si>
  <si>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</si>
  <si>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</si>
  <si>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</si>
  <si>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</si>
  <si>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</si>
  <si>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</si>
  <si>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</si>
  <si>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</si>
  <si>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</si>
  <si>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</si>
  <si>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</si>
  <si>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</si>
  <si>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</si>
  <si>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</si>
  <si>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</si>
  <si>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</si>
  <si>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</si>
  <si>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</si>
  <si>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</si>
  <si>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</si>
  <si>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</si>
  <si>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</si>
  <si>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</si>
  <si>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</si>
  <si>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</si>
  <si>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</si>
  <si>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</si>
  <si>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</si>
  <si>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</si>
  <si>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</si>
  <si>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</si>
  <si>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</si>
  <si>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</si>
  <si>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</si>
  <si>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</si>
  <si>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</si>
  <si>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</si>
  <si>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</si>
  <si>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</si>
  <si>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</si>
  <si>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</si>
  <si>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</si>
  <si>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</si>
  <si>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</si>
  <si>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</si>
  <si>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</si>
  <si>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</si>
  <si>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</si>
  <si>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</si>
  <si>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</si>
  <si>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</si>
  <si>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</si>
  <si>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</si>
  <si>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</si>
  <si>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</si>
  <si>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</si>
  <si>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</si>
  <si>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</si>
  <si>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</si>
  <si>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</si>
  <si>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</si>
  <si>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</si>
  <si>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</si>
  <si>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</si>
  <si>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</si>
  <si>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</si>
  <si>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</si>
  <si>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</si>
  <si>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</si>
  <si>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</si>
  <si>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</si>
  <si>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</si>
  <si>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</si>
  <si>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</si>
  <si>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</si>
  <si>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</si>
  <si>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</si>
  <si>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</si>
  <si>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</si>
  <si>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</si>
  <si>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</si>
  <si>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</si>
  <si>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</si>
  <si>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</si>
  <si>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</si>
  <si>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</si>
  <si>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</si>
  <si>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</si>
  <si>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</si>
  <si>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</si>
  <si>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</si>
  <si>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</si>
  <si>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</si>
  <si>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</si>
  <si>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</si>
  <si>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</si>
  <si>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</si>
  <si>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</si>
  <si>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</si>
  <si>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</si>
  <si>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</si>
  <si>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</si>
  <si>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</si>
  <si>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</si>
  <si>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</si>
  <si>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</si>
  <si>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</si>
  <si>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</si>
  <si>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</si>
  <si>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</si>
  <si>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</si>
  <si>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</si>
  <si>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</si>
  <si>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</si>
  <si>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</si>
  <si>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</si>
  <si>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</si>
  <si>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</si>
  <si>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</si>
  <si>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</si>
  <si>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</si>
  <si>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</si>
  <si>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</si>
  <si>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</si>
  <si>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</si>
  <si>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</si>
  <si>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</si>
  <si>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</si>
  <si>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</si>
  <si>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</si>
  <si>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</si>
  <si>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</si>
  <si>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</si>
  <si>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</si>
  <si>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</si>
  <si>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</si>
  <si>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</si>
  <si>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</si>
  <si>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</si>
  <si>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</si>
  <si>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</si>
  <si>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</si>
  <si>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</si>
  <si>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</si>
  <si>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</si>
  <si>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</si>
  <si>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</si>
  <si>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</si>
  <si>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</si>
  <si>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</si>
  <si>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</si>
  <si>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</si>
  <si>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</si>
  <si>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</si>
  <si>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</si>
  <si>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</si>
  <si>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</si>
  <si>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</si>
  <si>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</si>
  <si>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</si>
  <si>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</si>
  <si>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</si>
  <si>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</si>
  <si>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</si>
  <si>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</si>
  <si>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</si>
  <si>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</si>
  <si>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</si>
  <si>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</si>
  <si>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</si>
  <si>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</si>
  <si>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</si>
  <si>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</si>
  <si>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</si>
  <si>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</si>
  <si>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</si>
  <si>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</si>
  <si>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</si>
  <si>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</si>
  <si>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</si>
  <si>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</si>
  <si>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</si>
  <si>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</si>
  <si>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</si>
  <si>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</si>
  <si>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</si>
  <si>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</si>
  <si>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</si>
  <si>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</si>
  <si>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</si>
  <si>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</si>
  <si>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</si>
  <si>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</si>
  <si>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</si>
  <si>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</si>
  <si>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</si>
  <si>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</si>
  <si>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</si>
  <si>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</si>
  <si>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</si>
  <si>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</si>
  <si>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</si>
  <si>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</si>
  <si>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</si>
  <si>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</si>
  <si>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</si>
  <si>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</si>
  <si>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</si>
  <si>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</si>
  <si>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</si>
  <si>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</si>
  <si>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</si>
  <si>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</si>
  <si>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</si>
  <si>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</si>
  <si>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</si>
  <si>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</si>
  <si>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</si>
  <si>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</si>
  <si>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</si>
  <si>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</si>
  <si>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</si>
  <si>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</si>
  <si>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</si>
  <si>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</si>
  <si>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</si>
  <si>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</si>
  <si>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</si>
  <si>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</si>
  <si>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</si>
  <si>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</si>
  <si>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</si>
  <si>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</si>
  <si>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</si>
  <si>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</si>
  <si>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</si>
  <si>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</si>
  <si>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</si>
  <si>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</si>
  <si>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</si>
  <si>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</si>
  <si>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</si>
  <si>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</si>
  <si>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</si>
  <si>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</si>
  <si>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</si>
  <si>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</si>
  <si>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</si>
  <si>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</si>
  <si>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</si>
  <si>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</si>
  <si>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</si>
  <si>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</si>
  <si>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</si>
  <si>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</si>
  <si>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</si>
  <si>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</si>
  <si>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</si>
  <si>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</si>
  <si>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</si>
  <si>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</si>
  <si>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</si>
  <si>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</si>
  <si>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</si>
  <si>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</si>
  <si>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</si>
  <si>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</si>
  <si>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</si>
  <si>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</si>
  <si>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</si>
  <si>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</si>
  <si>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</si>
  <si>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</si>
  <si>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</si>
  <si>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</si>
  <si>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</si>
  <si>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</si>
  <si>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</si>
  <si>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</si>
  <si>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</si>
  <si>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</si>
  <si>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</si>
  <si>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</si>
  <si>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</si>
  <si>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</si>
  <si>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</si>
  <si>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</si>
  <si>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</si>
  <si>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</si>
  <si>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</si>
  <si>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</si>
  <si>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</si>
  <si>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</si>
  <si>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</si>
  <si>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</si>
  <si>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</si>
  <si>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</si>
  <si>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</si>
  <si>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</si>
  <si>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</si>
  <si>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</si>
  <si>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</si>
  <si>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</si>
  <si>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</si>
  <si>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</si>
  <si>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</si>
  <si>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</si>
  <si>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</si>
  <si>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</si>
  <si>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</si>
  <si>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</si>
  <si>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</si>
  <si>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</si>
  <si>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</si>
  <si>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</si>
  <si>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</si>
  <si>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</si>
  <si>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</si>
  <si>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</si>
  <si>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</si>
  <si>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</si>
  <si>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</si>
  <si>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</si>
  <si>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</si>
  <si>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</si>
  <si>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</si>
  <si>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</si>
  <si>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</si>
  <si>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</si>
  <si>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</si>
  <si>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</si>
  <si>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</si>
  <si>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</si>
  <si>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</si>
  <si>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</si>
  <si>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</si>
  <si>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</si>
  <si>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</si>
  <si>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</si>
  <si>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</si>
  <si>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</si>
  <si>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</si>
  <si>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</si>
  <si>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</si>
  <si>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</si>
  <si>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</si>
  <si>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</si>
  <si>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</si>
  <si>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</si>
  <si>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</si>
  <si>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</si>
  <si>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</si>
  <si>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</si>
  <si>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</si>
  <si>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</si>
  <si>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</si>
  <si>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</si>
  <si>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</si>
  <si>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</si>
  <si>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</si>
  <si>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</si>
  <si>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</si>
  <si>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</si>
  <si>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</si>
  <si>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</si>
  <si>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</si>
  <si>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</si>
  <si>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</si>
  <si>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</si>
  <si>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</si>
  <si>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</si>
  <si>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</si>
  <si>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</si>
  <si>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</si>
  <si>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</si>
  <si>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</si>
  <si>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</si>
  <si>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</si>
  <si>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</si>
  <si>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</si>
  <si>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</si>
  <si>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</si>
  <si>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</si>
  <si>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</si>
  <si>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</si>
  <si>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</si>
  <si>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</si>
  <si>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</si>
  <si>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</si>
  <si>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</si>
  <si>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</si>
  <si>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</si>
  <si>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</si>
  <si>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</si>
  <si>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</si>
  <si>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</si>
  <si>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</si>
  <si>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</si>
  <si>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</si>
  <si>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</si>
  <si>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</si>
  <si>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</si>
  <si>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</si>
  <si>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</si>
  <si>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</si>
  <si>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</si>
  <si>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</si>
  <si>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</si>
  <si>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</si>
  <si>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</si>
  <si>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</si>
  <si>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</si>
  <si>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</si>
  <si>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</si>
  <si>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</si>
  <si>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</si>
  <si>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</si>
  <si>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</si>
  <si>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</si>
  <si>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</si>
  <si>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</si>
  <si>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</si>
  <si>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</si>
  <si>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</si>
  <si>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</si>
  <si>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</si>
  <si>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</si>
  <si>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</si>
  <si>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</si>
  <si>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</si>
  <si>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</si>
  <si>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</si>
  <si>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</si>
  <si>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</si>
  <si>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</si>
  <si>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</si>
  <si>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</si>
  <si>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</si>
  <si>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</si>
  <si>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</si>
  <si>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</si>
  <si>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</si>
  <si>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</si>
  <si>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</si>
  <si>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</si>
  <si>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</si>
  <si>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</si>
  <si>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</si>
  <si>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</si>
  <si>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</si>
  <si>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</si>
  <si>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</si>
  <si>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</si>
  <si>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</si>
  <si>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</si>
  <si>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</si>
  <si>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</si>
  <si>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</si>
  <si>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</si>
  <si>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</si>
  <si>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</si>
  <si>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</si>
  <si>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</si>
  <si>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</si>
  <si>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</si>
  <si>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</si>
  <si>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</si>
  <si>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</si>
  <si>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</si>
  <si>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</si>
  <si>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</si>
  <si>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</si>
  <si>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</si>
  <si>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</si>
  <si>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</si>
  <si>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</si>
  <si>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</si>
  <si>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</si>
  <si>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</si>
  <si>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</si>
  <si>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</si>
  <si>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</si>
  <si>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</si>
  <si>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</si>
  <si>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</si>
  <si>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</si>
  <si>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</si>
  <si>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</si>
  <si>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</si>
  <si>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</si>
  <si>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</si>
  <si>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</si>
  <si>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</si>
  <si>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</si>
  <si>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</si>
  <si>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</si>
  <si>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</si>
  <si>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</si>
  <si>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</si>
  <si>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</si>
  <si>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</si>
  <si>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</si>
  <si>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</si>
  <si>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</si>
  <si>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</si>
  <si>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</si>
  <si>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</si>
  <si>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</si>
  <si>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</si>
  <si>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</si>
  <si>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</si>
  <si>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</si>
  <si>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</si>
  <si>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</si>
  <si>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</si>
  <si>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</si>
  <si>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</si>
  <si>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</si>
  <si>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</si>
  <si>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</si>
  <si>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</si>
  <si>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</si>
  <si>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</si>
  <si>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</si>
  <si>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</si>
  <si>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</si>
  <si>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</si>
  <si>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</si>
  <si>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</si>
  <si>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</si>
  <si>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</si>
  <si>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</si>
  <si>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</si>
  <si>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</si>
  <si>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</si>
  <si>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</si>
  <si>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</si>
  <si>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</si>
  <si>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</si>
  <si>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</si>
  <si>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</si>
  <si>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</si>
  <si>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</si>
  <si>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</si>
  <si>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</si>
  <si>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</si>
  <si>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</si>
  <si>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</si>
  <si>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</si>
  <si>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</si>
  <si>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</si>
  <si>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</si>
  <si>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</si>
  <si>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</si>
  <si>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</si>
  <si>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</si>
  <si>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</si>
  <si>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</si>
  <si>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</si>
  <si>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</si>
  <si>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</si>
  <si>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</si>
  <si>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</si>
  <si>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</si>
  <si>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</si>
  <si>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</si>
  <si>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</si>
  <si>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</si>
  <si>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</si>
  <si>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</si>
  <si>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</si>
  <si>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</si>
  <si>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</si>
  <si>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</si>
  <si>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</si>
  <si>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</si>
  <si>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</si>
  <si>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</si>
  <si>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</si>
  <si>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</si>
  <si>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</si>
  <si>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</si>
  <si>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</si>
  <si>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</si>
  <si>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</si>
  <si>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</si>
  <si>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</si>
  <si>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</si>
  <si>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</si>
  <si>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</si>
  <si>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</si>
  <si>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</si>
  <si>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</si>
  <si>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</si>
  <si>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</si>
  <si>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</si>
  <si>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</si>
  <si>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</si>
  <si>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</si>
  <si>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</si>
  <si>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</si>
  <si>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</si>
  <si>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</si>
  <si>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</si>
  <si>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</si>
  <si>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</si>
  <si>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</si>
  <si>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</si>
  <si>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</si>
  <si>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</si>
  <si>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</si>
  <si>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</si>
  <si>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</si>
  <si>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</si>
  <si>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</si>
  <si>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</si>
  <si>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</si>
  <si>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</si>
  <si>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</si>
  <si>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</si>
  <si>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</si>
  <si>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</si>
  <si>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</si>
  <si>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</si>
  <si>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</si>
  <si>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</si>
  <si>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</si>
  <si>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</si>
  <si>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</si>
  <si>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</si>
  <si>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</si>
  <si>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</si>
  <si>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</si>
  <si>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</si>
  <si>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</si>
  <si>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</si>
  <si>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</si>
  <si>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</si>
  <si>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</si>
  <si>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</si>
  <si>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</si>
  <si>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</si>
  <si>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</si>
  <si>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</si>
  <si>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</si>
  <si>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</si>
  <si>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</si>
  <si>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</si>
  <si>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</si>
  <si>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</si>
  <si>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</si>
  <si>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</si>
  <si>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</si>
  <si>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</si>
  <si>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</si>
  <si>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</si>
  <si>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</si>
  <si>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</si>
  <si>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</si>
  <si>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</si>
  <si>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</si>
  <si>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</si>
  <si>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</si>
  <si>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</si>
  <si>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</si>
  <si>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</si>
  <si>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</si>
  <si>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</si>
  <si>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</si>
  <si>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</si>
  <si>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</si>
  <si>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</si>
  <si>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</si>
  <si>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</si>
  <si>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</si>
  <si>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</si>
  <si>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</si>
  <si>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</si>
  <si>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</si>
  <si>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</si>
  <si>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</si>
  <si>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</si>
  <si>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</si>
  <si>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</si>
  <si>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</si>
  <si>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</si>
  <si>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</si>
  <si>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</si>
  <si>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</si>
  <si>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</si>
  <si>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</si>
  <si>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</si>
  <si>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</si>
  <si>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</si>
  <si>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</si>
  <si>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</si>
  <si>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</si>
  <si>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</si>
  <si>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</si>
  <si>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</si>
  <si>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</si>
  <si>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</si>
  <si>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</si>
  <si>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</si>
  <si>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</si>
  <si>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</si>
  <si>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</si>
  <si>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</si>
  <si>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</si>
  <si>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</si>
  <si>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</si>
  <si>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</si>
  <si>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</si>
  <si>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</si>
  <si>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</si>
  <si>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</si>
  <si>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</si>
  <si>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</si>
  <si>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</si>
  <si>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</si>
  <si>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</si>
  <si>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</si>
  <si>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</si>
  <si>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</si>
  <si>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</si>
  <si>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</si>
  <si>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</si>
  <si>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</si>
  <si>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</si>
  <si>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</si>
  <si>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</si>
  <si>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</si>
  <si>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</si>
  <si>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</si>
  <si>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</si>
  <si>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</si>
  <si>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</si>
  <si>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</si>
  <si>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</si>
  <si>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</si>
  <si>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</si>
  <si>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</si>
  <si>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</si>
  <si>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</si>
  <si>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</si>
  <si>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</si>
  <si>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</si>
  <si>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</si>
  <si>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</si>
  <si>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</si>
  <si>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</si>
  <si>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</si>
  <si>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</si>
  <si>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</si>
  <si>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</si>
  <si>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</si>
  <si>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</si>
  <si>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</si>
  <si>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</si>
  <si>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</si>
  <si>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</si>
  <si>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</si>
  <si>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</si>
  <si>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</si>
  <si>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</si>
  <si>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</si>
  <si>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</si>
  <si>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</si>
  <si>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</si>
  <si>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</si>
  <si>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</si>
  <si>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</si>
  <si>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</si>
  <si>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</si>
  <si>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</si>
  <si>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</si>
  <si>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</si>
  <si>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</si>
  <si>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</si>
  <si>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</si>
  <si>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</si>
  <si>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</si>
  <si>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</si>
  <si>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</si>
  <si>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</si>
  <si>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</si>
  <si>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</si>
  <si>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</si>
  <si>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</si>
  <si>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</si>
  <si>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</si>
  <si>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</si>
  <si>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</si>
  <si>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</si>
  <si>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</si>
  <si>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</si>
  <si>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</si>
  <si>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</si>
  <si>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</si>
  <si>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</si>
  <si>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</si>
  <si>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</si>
  <si>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</si>
  <si>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</si>
  <si>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</si>
  <si>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</si>
  <si>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</si>
  <si>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</si>
  <si>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</si>
  <si>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</si>
  <si>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</si>
  <si>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</si>
  <si>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</si>
  <si>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</si>
  <si>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</si>
  <si>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</si>
  <si>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</si>
  <si>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</si>
  <si>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</si>
  <si>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</si>
  <si>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</si>
  <si>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</si>
  <si>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</si>
  <si>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</si>
  <si>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</si>
  <si>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</si>
  <si>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</si>
  <si>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</si>
  <si>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</si>
  <si>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</si>
  <si>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</si>
  <si>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</si>
  <si>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</si>
  <si>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</si>
  <si>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</si>
  <si>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</si>
  <si>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</si>
  <si>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</si>
  <si>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</si>
  <si>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</si>
  <si>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</si>
  <si>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</si>
  <si>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</si>
  <si>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</si>
  <si>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</si>
  <si>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</si>
  <si>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</si>
  <si>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</si>
  <si>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</si>
  <si>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</si>
  <si>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</si>
  <si>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</si>
  <si>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</si>
  <si>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</si>
  <si>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</si>
  <si>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</si>
  <si>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</si>
  <si>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</si>
  <si>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</si>
  <si>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</si>
  <si>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</si>
  <si>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</si>
  <si>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</si>
  <si>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</si>
  <si>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</si>
  <si>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</si>
  <si>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</si>
  <si>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</si>
  <si>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</si>
  <si>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</si>
  <si>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</si>
  <si>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</si>
  <si>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</si>
  <si>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</si>
  <si>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</si>
  <si>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</si>
  <si>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</si>
  <si>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</si>
  <si>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</si>
  <si>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</si>
  <si>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</si>
  <si>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</si>
  <si>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</si>
  <si>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</si>
  <si>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</si>
  <si>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</si>
  <si>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</si>
  <si>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</si>
  <si>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</si>
  <si>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</si>
  <si>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</si>
  <si>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</si>
  <si>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</si>
  <si>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</si>
  <si>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</si>
  <si>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</si>
  <si>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</si>
  <si>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</si>
  <si>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</si>
  <si>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</si>
  <si>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</si>
  <si>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</si>
  <si>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</si>
  <si>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</si>
  <si>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</si>
  <si>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</si>
  <si>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</si>
  <si>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</si>
  <si>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</si>
  <si>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</si>
  <si>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</si>
  <si>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</si>
  <si>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</si>
  <si>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</si>
  <si>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</si>
  <si>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</si>
  <si>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</si>
  <si>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</si>
  <si>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</si>
  <si>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</si>
  <si>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</si>
  <si>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</si>
  <si>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</si>
  <si>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</si>
  <si>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</si>
  <si>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</si>
  <si>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</si>
  <si>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</si>
  <si>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</si>
  <si>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</si>
  <si>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</si>
  <si>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</si>
  <si>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</si>
  <si>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</si>
  <si>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</si>
  <si>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</si>
  <si>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</si>
  <si>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</si>
  <si>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</si>
  <si>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</si>
  <si>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</si>
  <si>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</si>
  <si>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</si>
  <si>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</si>
  <si>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</si>
  <si>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</si>
  <si>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</si>
  <si>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</si>
  <si>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</si>
  <si>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</si>
  <si>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</si>
  <si>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</si>
  <si>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</si>
  <si>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</si>
  <si>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</si>
  <si>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</si>
  <si>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</si>
  <si>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</si>
  <si>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</si>
  <si>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</si>
  <si>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</si>
  <si>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</si>
  <si>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</si>
  <si>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</si>
  <si>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</si>
  <si>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</si>
  <si>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</si>
  <si>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</si>
  <si>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</si>
  <si>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</si>
  <si>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</si>
  <si>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</si>
  <si>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</si>
  <si>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</si>
  <si>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</si>
  <si>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</si>
  <si>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</si>
  <si>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</si>
  <si>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</si>
  <si>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</si>
  <si>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</si>
  <si>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</si>
  <si>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</si>
  <si>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</si>
  <si>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</si>
  <si>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</si>
  <si>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</si>
  <si>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</si>
  <si>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</si>
  <si>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</si>
  <si>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</si>
  <si>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</si>
  <si>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</si>
  <si>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</si>
  <si>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</si>
  <si>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</si>
  <si>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</si>
  <si>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</si>
  <si>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</si>
  <si>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</si>
  <si>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</si>
  <si>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</si>
  <si>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</si>
  <si>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</si>
  <si>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</si>
  <si>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</si>
  <si>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</si>
  <si>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</si>
  <si>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</si>
  <si>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</si>
  <si>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</si>
  <si>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</si>
  <si>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</si>
  <si>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</si>
  <si>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</si>
  <si>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</si>
  <si>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</si>
  <si>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</si>
  <si>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</si>
  <si>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</si>
  <si>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</si>
  <si>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</si>
  <si>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</si>
  <si>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</si>
  <si>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</si>
  <si>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</si>
  <si>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</si>
  <si>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</si>
  <si>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</si>
  <si>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</si>
  <si>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</si>
  <si>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</si>
  <si>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</si>
  <si>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</si>
  <si>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</si>
  <si>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</si>
  <si>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</si>
  <si>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</si>
  <si>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</si>
  <si>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</si>
  <si>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</si>
  <si>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</si>
  <si>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</si>
  <si>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</si>
  <si>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</si>
  <si>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</si>
  <si>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</si>
  <si>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</si>
  <si>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</si>
  <si>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</si>
  <si>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</si>
  <si>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</si>
  <si>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</si>
  <si>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</si>
  <si>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</si>
  <si>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</si>
  <si>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</si>
  <si>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</si>
  <si>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</si>
  <si>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</si>
  <si>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</si>
  <si>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</si>
  <si>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</si>
  <si>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</si>
  <si>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</si>
  <si>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</si>
  <si>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</si>
  <si>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</si>
  <si>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</si>
  <si>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</si>
  <si>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</si>
  <si>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</si>
  <si>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</si>
  <si>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</si>
  <si>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</si>
  <si>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</si>
  <si>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</si>
  <si>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</si>
  <si>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</si>
  <si>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</si>
  <si>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</si>
  <si>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</si>
  <si>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</si>
  <si>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</si>
  <si>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</si>
  <si>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</si>
  <si>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</si>
  <si>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</si>
  <si>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</si>
  <si>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</si>
  <si>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</si>
  <si>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</si>
  <si>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</si>
  <si>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</si>
  <si>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</si>
  <si>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</si>
  <si>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</si>
  <si>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</si>
  <si>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</si>
  <si>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</si>
  <si>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</si>
  <si>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</si>
  <si>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</si>
  <si>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</si>
  <si>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</si>
  <si>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</si>
  <si>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</si>
  <si>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</si>
  <si>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</si>
  <si>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</si>
  <si>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</si>
  <si>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</si>
  <si>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</si>
  <si>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</si>
  <si>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</si>
  <si>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</si>
  <si>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</si>
  <si>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</si>
  <si>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</si>
  <si>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</si>
  <si>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</si>
  <si>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</si>
  <si>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</si>
  <si>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</si>
  <si>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</si>
  <si>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</si>
  <si>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</si>
  <si>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</si>
  <si>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</si>
  <si>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</si>
  <si>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</si>
  <si>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</si>
  <si>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</si>
  <si>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</si>
  <si>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</si>
  <si>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</si>
  <si>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</si>
  <si>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</si>
  <si>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</si>
  <si>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</si>
  <si>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</si>
  <si>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</si>
  <si>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</si>
  <si>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</si>
  <si>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</si>
  <si>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</si>
  <si>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</si>
  <si>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</si>
  <si>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</si>
  <si>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</si>
  <si>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</si>
  <si>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</si>
  <si>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</si>
  <si>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</si>
  <si>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</si>
  <si>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</si>
  <si>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</si>
  <si>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</si>
  <si>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</si>
  <si>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</si>
  <si>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</si>
  <si>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</si>
  <si>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</si>
  <si>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</si>
  <si>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</si>
  <si>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</si>
  <si>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</si>
  <si>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</si>
  <si>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</si>
  <si>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</si>
  <si>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</si>
  <si>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</si>
  <si>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</si>
  <si>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</si>
  <si>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</si>
  <si>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</si>
  <si>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</si>
  <si>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</si>
  <si>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</si>
  <si>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</si>
  <si>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</si>
  <si>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</si>
  <si>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</si>
  <si>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</si>
  <si>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</si>
  <si>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</si>
  <si>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</si>
  <si>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</si>
  <si>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</si>
  <si>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</si>
  <si>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</si>
  <si>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</si>
  <si>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</si>
  <si>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</si>
  <si>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</si>
  <si>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</si>
  <si>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</si>
  <si>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</si>
  <si>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</si>
  <si>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</si>
  <si>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</si>
  <si>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</si>
  <si>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</si>
  <si>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</si>
  <si>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</si>
  <si>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</si>
  <si>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</si>
  <si>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</si>
  <si>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</si>
  <si>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</si>
  <si>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</si>
  <si>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</si>
  <si>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</si>
  <si>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</si>
  <si>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</si>
  <si>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</si>
  <si>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</si>
  <si>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</si>
  <si>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</si>
  <si>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</si>
  <si>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</si>
  <si>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</si>
  <si>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</si>
  <si>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</si>
  <si>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</si>
  <si>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</si>
  <si>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</si>
  <si>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</si>
  <si>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</si>
  <si>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</si>
  <si>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</si>
  <si>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</si>
  <si>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</si>
  <si>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</si>
  <si>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</si>
  <si>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</si>
  <si>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</si>
  <si>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</si>
  <si>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</si>
  <si>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</si>
  <si>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</si>
  <si>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</si>
  <si>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</si>
  <si>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</si>
  <si>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</si>
  <si>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</si>
  <si>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</si>
  <si>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</si>
  <si>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</si>
  <si>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</si>
  <si>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</si>
  <si>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</si>
  <si>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</si>
  <si>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</si>
  <si>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</si>
  <si>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</si>
  <si>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</si>
  <si>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</si>
  <si>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</si>
  <si>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</si>
  <si>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</si>
  <si>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</si>
  <si>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</si>
  <si>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</si>
  <si>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</si>
  <si>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</si>
  <si>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</si>
  <si>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</si>
  <si>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</si>
  <si>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</si>
  <si>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</si>
  <si>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</si>
  <si>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</si>
  <si>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</si>
  <si>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</si>
  <si>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</si>
  <si>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</si>
  <si>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</si>
  <si>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</si>
  <si>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</si>
  <si>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</si>
  <si>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</si>
  <si>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</si>
  <si>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</si>
  <si>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</si>
  <si>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</si>
  <si>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</si>
  <si>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</si>
  <si>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</si>
  <si>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</si>
  <si>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</si>
  <si>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</si>
  <si>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</si>
  <si>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</si>
  <si>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</si>
  <si>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</si>
  <si>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</si>
  <si>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</si>
  <si>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</si>
  <si>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</si>
  <si>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</si>
  <si>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</si>
  <si>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</si>
  <si>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</si>
  <si>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</si>
  <si>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</si>
  <si>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</si>
  <si>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</si>
  <si>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</si>
  <si>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</si>
  <si>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</si>
  <si>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</si>
  <si>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</si>
  <si>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</si>
  <si>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</si>
  <si>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</si>
  <si>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</si>
  <si>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</si>
  <si>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</si>
  <si>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</si>
  <si>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</si>
  <si>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</si>
  <si>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</si>
  <si>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</si>
  <si>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</si>
  <si>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</si>
  <si>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</si>
  <si>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</si>
  <si>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</si>
  <si>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</si>
  <si>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</si>
  <si>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</si>
  <si>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</si>
  <si>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</si>
  <si>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</si>
  <si>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</si>
  <si>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</si>
  <si>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</si>
  <si>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</si>
  <si>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</si>
  <si>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</si>
  <si>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</si>
  <si>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</si>
  <si>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</si>
  <si>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</si>
  <si>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</si>
  <si>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</si>
  <si>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</si>
  <si>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</si>
  <si>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</si>
  <si>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</si>
  <si>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</si>
  <si>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</si>
  <si>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</si>
  <si>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</si>
  <si>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</si>
  <si>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</si>
  <si>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</si>
  <si>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</si>
  <si>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</si>
  <si>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</si>
  <si>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</si>
  <si>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</si>
  <si>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</si>
  <si>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</si>
  <si>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</si>
  <si>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</si>
  <si>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</si>
  <si>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</si>
  <si>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</si>
  <si>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</si>
  <si>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</si>
  <si>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</si>
  <si>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</si>
  <si>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</si>
  <si>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</si>
  <si>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</si>
  <si>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</si>
  <si>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</si>
  <si>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</si>
  <si>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</si>
  <si>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</si>
  <si>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</si>
  <si>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</si>
  <si>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</si>
  <si>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</si>
  <si>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</si>
  <si>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</si>
  <si>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</si>
  <si>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</si>
  <si>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</si>
  <si>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</si>
  <si>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</si>
  <si>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</si>
  <si>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</si>
  <si>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</si>
  <si>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</si>
  <si>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</si>
  <si>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</si>
  <si>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</si>
  <si>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</si>
  <si>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</si>
  <si>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</si>
  <si>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</si>
  <si>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</si>
  <si>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</si>
  <si>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</si>
  <si>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</si>
  <si>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</si>
  <si>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</si>
  <si>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</si>
  <si>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</si>
  <si>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</si>
  <si>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</si>
  <si>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</si>
  <si>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</si>
  <si>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</si>
  <si>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</si>
  <si>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</si>
  <si>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</si>
  <si>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</si>
  <si>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</si>
  <si>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</si>
  <si>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</si>
  <si>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</si>
  <si>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</si>
  <si>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</si>
  <si>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</si>
  <si>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</si>
  <si>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</si>
  <si>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</si>
  <si>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</si>
  <si>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</si>
  <si>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</si>
  <si>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</si>
  <si>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</si>
  <si>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</si>
  <si>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</si>
  <si>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</si>
  <si>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</si>
  <si>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</si>
  <si>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</si>
  <si>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</si>
  <si>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</si>
  <si>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</si>
  <si>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</si>
  <si>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</si>
  <si>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</si>
  <si>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</si>
  <si>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</si>
  <si>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</si>
  <si>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</si>
  <si>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</si>
  <si>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</si>
  <si>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</si>
  <si>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</si>
  <si>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</si>
  <si>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</si>
  <si>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</si>
  <si>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</si>
  <si>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</si>
  <si>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</si>
  <si>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</si>
  <si>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</si>
  <si>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</si>
  <si>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</si>
  <si>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</si>
  <si>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</si>
  <si>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</si>
  <si>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</si>
  <si>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</si>
  <si>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</si>
  <si>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</si>
  <si>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</si>
  <si>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</si>
  <si>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</si>
  <si>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</si>
  <si>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</si>
  <si>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</si>
  <si>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</si>
  <si>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</si>
  <si>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</si>
  <si>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</si>
  <si>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</si>
  <si>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</si>
  <si>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</si>
  <si>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</si>
  <si>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</si>
  <si>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</si>
  <si>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</si>
  <si>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</si>
  <si>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</si>
  <si>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</si>
  <si>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</si>
  <si>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</si>
  <si>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</si>
  <si>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</si>
  <si>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</si>
  <si>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</si>
  <si>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</si>
  <si>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</si>
  <si>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</si>
  <si>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</si>
  <si>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</si>
  <si>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</si>
  <si>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</si>
  <si>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</si>
  <si>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</si>
  <si>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</si>
  <si>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</si>
  <si>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</si>
  <si>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</si>
  <si>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</si>
  <si>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</si>
  <si>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</si>
  <si>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</si>
  <si>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</si>
  <si>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</si>
  <si>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</si>
  <si>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</si>
  <si>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</si>
  <si>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</si>
  <si>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</si>
  <si>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</si>
  <si>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</si>
  <si>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</si>
  <si>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</si>
  <si>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</si>
  <si>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</si>
  <si>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</si>
  <si>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</si>
  <si>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</si>
  <si>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</si>
  <si>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</si>
  <si>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</si>
  <si>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</si>
  <si>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</si>
  <si>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</si>
  <si>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</si>
  <si>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</si>
  <si>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</si>
  <si>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</si>
  <si>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</si>
  <si>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</si>
  <si>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</si>
  <si>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</si>
  <si>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</si>
  <si>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</si>
  <si>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</si>
  <si>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</si>
  <si>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</si>
  <si>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</si>
  <si>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</si>
  <si>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</si>
  <si>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</si>
  <si>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</si>
  <si>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</si>
  <si>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</si>
  <si>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</si>
  <si>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</si>
  <si>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</si>
  <si>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</si>
  <si>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</si>
  <si>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</si>
  <si>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</si>
  <si>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</si>
  <si>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</si>
  <si>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</si>
  <si>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</si>
  <si>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</si>
  <si>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</si>
  <si>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</si>
  <si>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</si>
  <si>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</si>
  <si>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</si>
  <si>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</si>
  <si>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</si>
  <si>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</si>
  <si>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</si>
  <si>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</si>
  <si>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</si>
  <si>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</si>
  <si>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</si>
  <si>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</si>
  <si>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</si>
  <si>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</si>
  <si>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</si>
  <si>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</si>
  <si>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</si>
  <si>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</si>
  <si>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</si>
  <si>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</si>
  <si>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</si>
  <si>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</si>
  <si>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</si>
  <si>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</si>
  <si>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</si>
  <si>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</si>
  <si>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</si>
  <si>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</si>
  <si>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</si>
  <si>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</si>
  <si>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</si>
  <si>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</si>
  <si>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</si>
  <si>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</si>
  <si>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</si>
  <si>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</si>
  <si>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</si>
  <si>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</si>
  <si>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</si>
  <si>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</si>
  <si>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</si>
  <si>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</si>
  <si>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</si>
  <si>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</si>
  <si>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</si>
  <si>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</si>
  <si>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</si>
  <si>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</si>
  <si>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</si>
  <si>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</si>
  <si>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</si>
  <si>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</si>
  <si>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</si>
  <si>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</si>
  <si>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</si>
  <si>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</si>
  <si>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</si>
  <si>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</si>
  <si>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</si>
  <si>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</si>
  <si>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</si>
  <si>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</si>
  <si>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</si>
  <si>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</si>
  <si>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</si>
  <si>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</si>
  <si>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</si>
  <si>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</si>
  <si>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</si>
  <si>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</si>
  <si>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</si>
  <si>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</si>
  <si>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</si>
  <si>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</si>
  <si>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</si>
  <si>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</si>
  <si>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</si>
  <si>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</si>
  <si>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</si>
  <si>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</si>
  <si>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</si>
  <si>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</si>
  <si>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</si>
  <si>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</si>
  <si>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</si>
  <si>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</si>
  <si>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</si>
  <si>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</si>
  <si>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</si>
  <si>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</si>
  <si>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</si>
  <si>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</si>
  <si>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</si>
  <si>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</si>
  <si>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</si>
  <si>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</si>
  <si>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</si>
  <si>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</si>
  <si>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</si>
  <si>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</si>
  <si>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</si>
  <si>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</si>
  <si>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</si>
  <si>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</si>
  <si>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</si>
  <si>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</si>
  <si>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</si>
  <si>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</si>
  <si>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</si>
  <si>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</si>
  <si>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</si>
  <si>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</si>
  <si>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</si>
  <si>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</si>
  <si>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</si>
  <si>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</si>
  <si>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</si>
  <si>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</si>
  <si>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</si>
  <si>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</si>
  <si>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</si>
  <si>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</si>
  <si>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</si>
  <si>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</si>
  <si>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</si>
  <si>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</si>
  <si>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</si>
  <si>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</si>
  <si>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</si>
  <si>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</si>
  <si>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</si>
  <si>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</si>
  <si>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</si>
  <si>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</si>
  <si>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</si>
  <si>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</si>
  <si>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</si>
  <si>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</si>
  <si>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</si>
  <si>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</si>
  <si>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</si>
  <si>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</si>
  <si>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</si>
  <si>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</si>
  <si>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</si>
  <si>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</si>
  <si>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</si>
  <si>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</si>
  <si>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</si>
  <si>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</si>
  <si>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</si>
  <si>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</si>
  <si>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</si>
  <si>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</si>
  <si>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</si>
  <si>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</si>
  <si>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</si>
  <si>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</si>
  <si>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</si>
  <si>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</si>
  <si>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</si>
  <si>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</si>
  <si>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</si>
  <si>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</si>
  <si>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</si>
  <si>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</si>
  <si>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</si>
  <si>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</si>
  <si>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</si>
  <si>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</si>
  <si>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</si>
  <si>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</si>
  <si>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</si>
  <si>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</si>
  <si>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</si>
  <si>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</si>
  <si>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</si>
  <si>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</si>
  <si>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</si>
  <si>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</si>
  <si>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</si>
  <si>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</si>
  <si>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</si>
  <si>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</si>
  <si>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</si>
  <si>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</si>
  <si>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</si>
  <si>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</si>
  <si>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</si>
  <si>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</si>
  <si>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</si>
  <si>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</si>
  <si>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</si>
  <si>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</si>
  <si>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</si>
  <si>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</si>
  <si>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</si>
  <si>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</si>
  <si>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</si>
  <si>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</si>
  <si>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</si>
  <si>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</si>
  <si>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</si>
  <si>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</si>
  <si>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</si>
  <si>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</si>
  <si>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</si>
  <si>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</si>
  <si>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</si>
  <si>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</si>
  <si>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</si>
  <si>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</si>
  <si>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</si>
  <si>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</si>
  <si>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</si>
  <si>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</si>
  <si>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</si>
  <si>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</si>
  <si>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</si>
  <si>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</si>
  <si>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</si>
  <si>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</si>
  <si>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</si>
  <si>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</si>
  <si>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</si>
  <si>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</si>
  <si>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</si>
  <si>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</si>
  <si>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</si>
  <si>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</si>
  <si>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</si>
  <si>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</si>
  <si>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</si>
  <si>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</si>
  <si>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</si>
  <si>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</si>
  <si>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</si>
  <si>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</si>
  <si>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</si>
  <si>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</si>
  <si>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</si>
  <si>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</si>
  <si>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</si>
  <si>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</si>
  <si>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</si>
  <si>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</si>
  <si>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</si>
  <si>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</si>
  <si>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</si>
  <si>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</si>
  <si>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</si>
  <si>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</si>
  <si>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</si>
  <si>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</si>
  <si>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</si>
  <si>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</si>
  <si>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</si>
  <si>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</si>
  <si>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</si>
  <si>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</si>
  <si>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</si>
  <si>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</si>
  <si>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</si>
  <si>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</si>
  <si>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</si>
  <si>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</si>
  <si>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</si>
  <si>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</si>
  <si>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</si>
  <si>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</si>
  <si>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</si>
  <si>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</si>
  <si>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</si>
  <si>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</si>
  <si>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</si>
  <si>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</si>
  <si>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</si>
  <si>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</si>
  <si>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</si>
  <si>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</si>
  <si>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</si>
  <si>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</si>
  <si>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</si>
  <si>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</si>
  <si>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</si>
  <si>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</si>
  <si>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</si>
  <si>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</si>
  <si>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</si>
  <si>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</si>
  <si>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</si>
  <si>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</si>
  <si>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</si>
  <si>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</si>
  <si>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</si>
  <si>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</si>
  <si>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</si>
  <si>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</si>
  <si>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</si>
  <si>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</si>
  <si>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</si>
  <si>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</si>
  <si>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</si>
  <si>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</si>
  <si>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</si>
  <si>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</si>
  <si>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</si>
  <si>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</si>
  <si>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</si>
  <si>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</si>
  <si>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</si>
  <si>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</si>
  <si>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</si>
  <si>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</si>
  <si>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</si>
  <si>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</si>
  <si>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</si>
  <si>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</si>
  <si>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</si>
  <si>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</si>
  <si>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</si>
  <si>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</si>
  <si>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</si>
  <si>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</si>
  <si>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</si>
  <si>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</si>
  <si>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</si>
  <si>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</si>
  <si>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</si>
  <si>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</si>
  <si>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</si>
  <si>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</si>
  <si>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</si>
  <si>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</si>
  <si>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</si>
  <si>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</si>
  <si>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</si>
  <si>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</si>
  <si>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</si>
  <si>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</si>
  <si>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</si>
  <si>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</si>
  <si>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</si>
  <si>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</si>
  <si>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</si>
  <si>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</si>
  <si>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</si>
  <si>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</si>
  <si>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</si>
  <si>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</si>
  <si>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</si>
  <si>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</si>
  <si>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</si>
  <si>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</si>
  <si>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</si>
  <si>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</si>
  <si>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</si>
  <si>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</si>
  <si>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</si>
  <si>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</si>
  <si>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</si>
  <si>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</si>
  <si>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</si>
  <si>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</si>
  <si>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</si>
  <si>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</si>
  <si>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</si>
  <si>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</si>
  <si>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</si>
  <si>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</si>
  <si>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</si>
  <si>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</si>
  <si>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</si>
  <si>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</si>
  <si>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</si>
  <si>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</si>
  <si>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</si>
  <si>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</si>
  <si>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</si>
  <si>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</si>
  <si>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</si>
  <si>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</si>
  <si>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</si>
  <si>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</si>
  <si>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</si>
  <si>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</si>
  <si>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</si>
  <si>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</si>
  <si>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</si>
  <si>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</si>
  <si>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</si>
  <si>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</si>
  <si>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</si>
  <si>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</si>
  <si>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</si>
  <si>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</si>
  <si>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</si>
  <si>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</si>
  <si>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</si>
  <si>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</si>
  <si>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</si>
  <si>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</si>
  <si>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</si>
  <si>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</si>
  <si>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</si>
  <si>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</si>
  <si>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</si>
  <si>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</si>
  <si>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</si>
  <si>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</si>
  <si>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</si>
  <si>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</si>
  <si>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</si>
  <si>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</si>
  <si>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</si>
  <si>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</si>
  <si>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</si>
  <si>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</si>
  <si>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</si>
  <si>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</si>
  <si>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</si>
  <si>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</si>
  <si>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</si>
  <si>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</si>
  <si>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</si>
  <si>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</si>
  <si>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</si>
  <si>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</si>
  <si>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</si>
  <si>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</si>
  <si>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</si>
  <si>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</si>
  <si>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</si>
  <si>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</si>
  <si>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</si>
  <si>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</si>
  <si>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</si>
  <si>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</si>
  <si>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</si>
  <si>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</si>
  <si>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</si>
  <si>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</si>
  <si>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</si>
  <si>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</si>
  <si>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</si>
  <si>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</si>
  <si>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</si>
  <si>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</si>
  <si>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</si>
  <si>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</si>
  <si>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</si>
  <si>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</si>
  <si>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</si>
  <si>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</si>
  <si>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</si>
  <si>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</si>
  <si>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</si>
  <si>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</si>
  <si>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</si>
  <si>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</si>
  <si>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</si>
  <si>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</si>
  <si>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</si>
  <si>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</si>
  <si>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</si>
  <si>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</si>
  <si>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</si>
  <si>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</si>
  <si>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</si>
  <si>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</si>
  <si>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</si>
  <si>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</si>
  <si>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</si>
  <si>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</si>
  <si>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</si>
  <si>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</si>
  <si>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</si>
  <si>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</si>
  <si>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</si>
  <si>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</si>
  <si>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</si>
  <si>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</si>
  <si>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</si>
  <si>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</si>
  <si>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</si>
  <si>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</si>
  <si>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</si>
  <si>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</si>
  <si>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</si>
  <si>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</si>
  <si>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</si>
  <si>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</si>
  <si>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</si>
  <si>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</si>
  <si>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</si>
  <si>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</si>
  <si>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</si>
  <si>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</si>
  <si>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</si>
  <si>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</si>
  <si>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</si>
  <si>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</si>
  <si>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</si>
  <si>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</si>
  <si>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</si>
  <si>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</si>
  <si>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</si>
  <si>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</si>
  <si>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</si>
  <si>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</si>
  <si>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</si>
  <si>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</si>
  <si>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</si>
  <si>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</si>
  <si>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</si>
  <si>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</si>
  <si>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</si>
  <si>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</si>
  <si>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</si>
  <si>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</si>
  <si>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</si>
  <si>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</si>
  <si>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</si>
  <si>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</si>
  <si>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</si>
  <si>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</si>
  <si>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</si>
  <si>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</si>
  <si>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</si>
  <si>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</si>
  <si>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</si>
  <si>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</si>
  <si>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</si>
  <si>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</si>
  <si>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</si>
  <si>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</si>
  <si>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</si>
  <si>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</si>
  <si>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</si>
  <si>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</si>
  <si>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</si>
  <si>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</si>
  <si>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</si>
  <si>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</si>
  <si>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</si>
  <si>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</si>
  <si>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</si>
  <si>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</si>
  <si>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</si>
  <si>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</si>
  <si>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</si>
  <si>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</si>
  <si>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</si>
  <si>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</si>
  <si>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</si>
  <si>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</si>
  <si>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</si>
  <si>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</si>
  <si>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</si>
  <si>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</si>
  <si>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</si>
  <si>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</si>
  <si>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</si>
  <si>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</si>
  <si>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</si>
  <si>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</si>
  <si>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</si>
  <si>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</si>
  <si>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</si>
  <si>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</si>
  <si>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</si>
  <si>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</si>
  <si>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</si>
  <si>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</si>
  <si>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</si>
  <si>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</si>
  <si>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</si>
  <si>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</si>
  <si>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</si>
  <si>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</si>
  <si>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</si>
  <si>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</si>
  <si>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</si>
  <si>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</si>
  <si>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</si>
  <si>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</si>
  <si>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</si>
  <si>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</si>
  <si>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</si>
  <si>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</si>
  <si>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</si>
  <si>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</si>
  <si>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</si>
  <si>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</si>
  <si>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</si>
  <si>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</si>
  <si>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</si>
  <si>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</si>
  <si>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</si>
  <si>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</si>
  <si>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</si>
  <si>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</si>
  <si>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</si>
  <si>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</si>
  <si>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</si>
  <si>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</si>
  <si>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</si>
  <si>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</si>
  <si>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</si>
  <si>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</si>
  <si>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</si>
  <si>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</si>
  <si>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</si>
  <si>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</si>
  <si>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</si>
  <si>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</si>
  <si>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</si>
  <si>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</si>
  <si>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</si>
  <si>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</si>
  <si>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</si>
  <si>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</si>
  <si>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</si>
  <si>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</si>
  <si>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</si>
  <si>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</si>
  <si>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</si>
  <si>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</si>
  <si>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</si>
  <si>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</si>
  <si>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</si>
  <si>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</si>
  <si>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</si>
  <si>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</si>
  <si>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</si>
  <si>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</si>
  <si>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</si>
  <si>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</si>
  <si>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</si>
  <si>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</si>
  <si>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</si>
  <si>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</si>
  <si>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</si>
  <si>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</si>
  <si>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</si>
  <si>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</si>
  <si>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</si>
  <si>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</si>
  <si>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</si>
  <si>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</si>
  <si>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</si>
  <si>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</si>
  <si>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</si>
  <si>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</si>
  <si>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</si>
  <si>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</si>
  <si>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</si>
  <si>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</si>
  <si>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</si>
  <si>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</si>
  <si>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</si>
  <si>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</si>
  <si>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</si>
  <si>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</si>
  <si>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</si>
  <si>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</si>
  <si>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</si>
  <si>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</si>
  <si>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</si>
  <si>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</si>
  <si>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</si>
  <si>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</si>
  <si>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</si>
  <si>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</si>
  <si>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</si>
  <si>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</si>
  <si>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</si>
  <si>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</si>
  <si>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</si>
  <si>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</si>
  <si>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</si>
  <si>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</si>
  <si>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</si>
  <si>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</si>
  <si>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</si>
  <si>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</si>
  <si>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</si>
  <si>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</si>
  <si>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</si>
  <si>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</si>
  <si>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</si>
  <si>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</si>
  <si>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</si>
  <si>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</si>
  <si>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</si>
  <si>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</si>
  <si>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</si>
  <si>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</si>
  <si>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</si>
  <si>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</si>
  <si>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</si>
  <si>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</si>
  <si>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</si>
  <si>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</si>
  <si>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</si>
  <si>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</si>
  <si>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</si>
  <si>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</si>
  <si>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</si>
  <si>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</si>
  <si>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</si>
  <si>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</si>
  <si>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</si>
  <si>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</si>
  <si>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</si>
  <si>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</si>
  <si>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</si>
  <si>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</si>
  <si>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</si>
  <si>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</si>
  <si>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</si>
  <si>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</si>
  <si>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</si>
  <si>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</si>
  <si>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</si>
  <si>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</si>
  <si>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</si>
  <si>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</si>
  <si>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</si>
  <si>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</si>
  <si>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</si>
  <si>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</si>
  <si>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</si>
  <si>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</si>
  <si>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</si>
  <si>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</si>
  <si>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</si>
  <si>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</si>
  <si>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</si>
  <si>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</si>
  <si>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</si>
  <si>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</si>
  <si>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</si>
  <si>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</si>
  <si>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</si>
  <si>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</si>
  <si>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</si>
  <si>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</si>
  <si>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</si>
  <si>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</si>
  <si>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</si>
  <si>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</si>
  <si>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</si>
  <si>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</si>
  <si>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</si>
  <si>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</si>
  <si>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</si>
  <si>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</si>
  <si>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</si>
  <si>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</si>
  <si>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</si>
  <si>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</si>
  <si>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</si>
  <si>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</si>
  <si>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</si>
  <si>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</si>
  <si>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</si>
  <si>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</si>
  <si>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</si>
  <si>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</si>
  <si>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</si>
  <si>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</si>
  <si>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</si>
  <si>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</si>
  <si>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</si>
  <si>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</si>
  <si>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</si>
  <si>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</si>
  <si>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</si>
  <si>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</si>
  <si>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</si>
  <si>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</si>
  <si>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</si>
  <si>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</si>
  <si>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</si>
  <si>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</si>
  <si>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</si>
  <si>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</si>
  <si>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</si>
  <si>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</si>
  <si>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</si>
  <si>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</si>
  <si>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</si>
  <si>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</si>
  <si>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</si>
  <si>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</si>
  <si>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</si>
  <si>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</si>
  <si>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</si>
  <si>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</si>
  <si>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</si>
  <si>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</si>
  <si>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</si>
  <si>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</si>
  <si>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</si>
  <si>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</si>
  <si>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</si>
  <si>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</si>
  <si>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</si>
  <si>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</si>
  <si>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</si>
  <si>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</si>
  <si>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</si>
  <si>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</si>
  <si>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</si>
  <si>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</si>
  <si>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</si>
  <si>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</si>
  <si>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</si>
  <si>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</si>
  <si>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</si>
  <si>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</si>
  <si>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</si>
  <si>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</si>
  <si>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</si>
  <si>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</si>
  <si>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</si>
  <si>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</si>
  <si>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</si>
  <si>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</si>
  <si>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</si>
  <si>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</si>
  <si>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</si>
  <si>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</si>
  <si>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</si>
  <si>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</si>
  <si>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</si>
  <si>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</si>
  <si>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</si>
  <si>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</si>
  <si>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</si>
  <si>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</si>
  <si>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</si>
  <si>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</si>
  <si>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</si>
  <si>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</si>
  <si>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</si>
  <si>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</si>
  <si>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</si>
  <si>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</si>
  <si>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</si>
  <si>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</si>
  <si>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</si>
  <si>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</si>
  <si>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</si>
  <si>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</si>
  <si>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</si>
  <si>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</si>
  <si>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</si>
  <si>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</si>
  <si>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</si>
  <si>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</si>
  <si>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</si>
  <si>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</si>
  <si>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</si>
  <si>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</si>
  <si>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</si>
  <si>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</si>
  <si>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</si>
  <si>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</si>
  <si>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</si>
  <si>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</si>
  <si>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</si>
  <si>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</si>
  <si>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</si>
  <si>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</si>
  <si>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</si>
  <si>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</si>
  <si>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</si>
  <si>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</si>
  <si>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</si>
  <si>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</si>
  <si>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</si>
  <si>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</si>
  <si>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</si>
  <si>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</si>
  <si>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</si>
  <si>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</si>
  <si>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</si>
  <si>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</si>
  <si>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</si>
  <si>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</si>
  <si>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</si>
  <si>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</si>
  <si>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</si>
  <si>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</si>
  <si>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</si>
  <si>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</si>
  <si>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</si>
  <si>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</si>
  <si>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</si>
  <si>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</si>
  <si>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</si>
  <si>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</si>
  <si>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</si>
  <si>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</si>
  <si>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</si>
  <si>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</si>
  <si>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</si>
  <si>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</si>
  <si>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</si>
  <si>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</si>
  <si>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</si>
  <si>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</si>
  <si>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</si>
  <si>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</si>
  <si>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</si>
  <si>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</si>
  <si>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</si>
  <si>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</si>
  <si>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</si>
  <si>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</si>
  <si>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</si>
  <si>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</si>
  <si>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</si>
  <si>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</si>
  <si>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</si>
  <si>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</si>
  <si>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</si>
  <si>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</si>
  <si>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</si>
  <si>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</si>
  <si>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</si>
  <si>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</si>
  <si>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</si>
  <si>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</si>
  <si>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</si>
  <si>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</si>
  <si>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</si>
  <si>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</si>
  <si>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</si>
  <si>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</si>
  <si>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</si>
  <si>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</si>
  <si>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</si>
  <si>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</si>
  <si>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</si>
  <si>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</si>
  <si>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</si>
  <si>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</si>
  <si>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</si>
  <si>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</si>
  <si>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</si>
  <si>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</si>
  <si>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</si>
  <si>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</si>
  <si>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</si>
  <si>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</si>
  <si>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</si>
  <si>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</si>
  <si>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</si>
  <si>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</si>
  <si>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</si>
  <si>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</si>
  <si>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</si>
  <si>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</si>
  <si>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</si>
  <si>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</si>
  <si>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</si>
  <si>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</si>
  <si>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</si>
  <si>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</si>
  <si>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</si>
  <si>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</si>
  <si>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</si>
  <si>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</si>
  <si>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</si>
  <si>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</si>
  <si>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</si>
  <si>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</si>
  <si>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</si>
  <si>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</si>
  <si>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</si>
  <si>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</si>
  <si>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</si>
  <si>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</si>
  <si>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</si>
  <si>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</si>
  <si>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</si>
  <si>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</si>
  <si>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</si>
  <si>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</si>
  <si>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</si>
  <si>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</si>
  <si>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</si>
  <si>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</si>
  <si>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</si>
  <si>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</si>
  <si>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</si>
  <si>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</si>
  <si>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</si>
  <si>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</si>
  <si>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</si>
  <si>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</si>
  <si>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</si>
  <si>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</si>
  <si>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</si>
  <si>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</si>
  <si>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</si>
  <si>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</si>
  <si>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</si>
  <si>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</si>
  <si>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</si>
  <si>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</si>
  <si>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</si>
  <si>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</si>
  <si>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</si>
  <si>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</si>
  <si>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</si>
  <si>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</si>
  <si>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</si>
  <si>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</si>
  <si>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</si>
  <si>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</si>
  <si>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</si>
  <si>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</si>
  <si>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</si>
  <si>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</si>
  <si>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</si>
  <si>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</si>
  <si>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</si>
  <si>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</si>
  <si>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</si>
  <si>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</si>
  <si>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</si>
  <si>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</si>
  <si>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</si>
  <si>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</si>
  <si>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</si>
  <si>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</si>
  <si>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</si>
  <si>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</si>
  <si>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</si>
  <si>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</si>
  <si>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</si>
  <si>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</si>
  <si>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</si>
  <si>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</si>
  <si>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</si>
  <si>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</si>
  <si>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</si>
  <si>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</si>
  <si>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</si>
  <si>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</si>
  <si>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</si>
  <si>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</si>
  <si>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</si>
  <si>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</si>
  <si>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</si>
  <si>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</si>
  <si>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</si>
  <si>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</si>
  <si>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</si>
  <si>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</si>
  <si>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</si>
  <si>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</si>
  <si>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</si>
  <si>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</si>
  <si>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</si>
  <si>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</si>
  <si>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</si>
  <si>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</si>
  <si>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</si>
  <si>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</si>
  <si>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</si>
  <si>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</si>
  <si>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</si>
  <si>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</si>
  <si>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</si>
  <si>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</si>
  <si>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</si>
  <si>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</si>
  <si>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</si>
  <si>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</si>
  <si>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</si>
  <si>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</si>
  <si>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</si>
  <si>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</si>
  <si>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</si>
  <si>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</si>
  <si>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</si>
  <si>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</si>
  <si>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</si>
  <si>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</si>
  <si>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</si>
  <si>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</si>
  <si>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</si>
  <si>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</si>
  <si>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</si>
  <si>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</si>
  <si>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</si>
  <si>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</si>
  <si>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</si>
  <si>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</si>
  <si>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</si>
  <si>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</si>
  <si>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</si>
  <si>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</si>
  <si>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</si>
  <si>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</si>
  <si>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</si>
  <si>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</si>
  <si>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</si>
  <si>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</si>
  <si>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</si>
  <si>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</si>
  <si>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</si>
  <si>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</si>
  <si>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</si>
  <si>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</si>
  <si>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</si>
  <si>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</si>
  <si>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</si>
  <si>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</si>
  <si>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</si>
  <si>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</si>
  <si>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</si>
  <si>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</si>
  <si>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</si>
  <si>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</si>
  <si>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</si>
  <si>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</si>
  <si>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</si>
  <si>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</si>
  <si>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</si>
  <si>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</si>
  <si>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</si>
  <si>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</si>
  <si>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</si>
  <si>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</si>
  <si>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</si>
  <si>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</si>
  <si>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</si>
  <si>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</si>
  <si>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</si>
  <si>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</si>
  <si>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</si>
  <si>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</si>
  <si>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</si>
  <si>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</si>
  <si>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</si>
  <si>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</si>
  <si>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</si>
  <si>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</si>
  <si>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</si>
  <si>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</si>
  <si>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</si>
  <si>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</si>
  <si>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</si>
  <si>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</si>
  <si>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</si>
  <si>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</si>
  <si>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</si>
  <si>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</si>
  <si>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</si>
  <si>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</si>
  <si>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</si>
  <si>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</si>
  <si>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</si>
  <si>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</si>
  <si>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</si>
  <si>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</si>
  <si>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</si>
  <si>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</si>
  <si>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</si>
  <si>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</si>
  <si>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</si>
  <si>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t>一致</t>
  </si>
  <si>
    <t>出让</t>
  </si>
  <si>
    <t>地上</t>
  </si>
  <si>
    <t>办公</t>
    <phoneticPr fontId="7" type="noConversion"/>
  </si>
  <si>
    <t>核定资产</t>
  </si>
  <si>
    <t>Ⅶ-通1</t>
  </si>
  <si>
    <t>商务金融用地（办公类）</t>
  </si>
  <si>
    <t>估价对象容积率</t>
  </si>
  <si>
    <t>与级别开发程度一致</t>
  </si>
  <si>
    <t>按公示增长率计算</t>
  </si>
  <si>
    <t>容积率修正</t>
  </si>
  <si>
    <t>基准地价法</t>
    <phoneticPr fontId="228" type="noConversion"/>
  </si>
  <si>
    <t>成本法</t>
    <phoneticPr fontId="228" type="noConversion"/>
  </si>
  <si>
    <t>市场法</t>
    <phoneticPr fontId="228" type="noConversion"/>
  </si>
  <si>
    <t>权重</t>
    <phoneticPr fontId="228" type="noConversion"/>
  </si>
  <si>
    <t>总价</t>
    <phoneticPr fontId="228"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</si>
  <si>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</si>
  <si>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</si>
  <si>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</si>
  <si>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</si>
  <si>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</si>
  <si>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</si>
  <si>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</si>
  <si>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</si>
  <si>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</si>
  <si>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</si>
  <si>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</si>
  <si>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</si>
  <si>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</si>
  <si>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</si>
  <si>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</si>
  <si>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</si>
  <si>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北京城市副中心FZX-0902-0229、0230地块</t>
  </si>
  <si>
    <t>商业/办公用地</t>
  </si>
  <si>
    <t>≤3.1</t>
  </si>
  <si>
    <t>挂牌</t>
  </si>
  <si>
    <t>B2商务用地</t>
  </si>
  <si>
    <t>2021-05-19</t>
  </si>
  <si>
    <t>北京城市副中心投资建设集团有限公司</t>
  </si>
  <si>
    <t>4星</t>
  </si>
  <si>
    <t>北京城市副中心12组团西北部</t>
  </si>
  <si>
    <t>≤2.15</t>
  </si>
  <si>
    <t>F3其他类多功能用地</t>
  </si>
  <si>
    <t>2021-02-07</t>
  </si>
  <si>
    <t>北京公联鼎成交通枢纽建设发展有限公司</t>
  </si>
  <si>
    <t>北京市通州区潞城镇FZX-0901-0162地块F3其他类多功能用地</t>
  </si>
  <si>
    <t>≤2.5</t>
  </si>
  <si>
    <t>2019-10-17</t>
  </si>
  <si>
    <t>北京润置商业运营管理有限公司、北京首都开发股份有限公司联合体</t>
  </si>
  <si>
    <t>地面单价</t>
    <phoneticPr fontId="228" type="noConversion"/>
  </si>
  <si>
    <t>权重后的地面单价</t>
    <phoneticPr fontId="228" type="noConversion"/>
  </si>
  <si>
    <t>成交地面单价</t>
    <phoneticPr fontId="228" type="noConversion"/>
  </si>
  <si>
    <t>土地面积</t>
    <phoneticPr fontId="228" type="noConversion"/>
  </si>
  <si>
    <t>楼面地价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</si>
</sst>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147" fillId="6" borderId="0" xfId="0" applyFont="1" applyFill="1">
      <alignment vertical="center"/>
    </xf>
    <xf numFmtId="180" fontId="86" fillId="0"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0" xfId="0" applyFont="1" applyAlignment="1"/>
    <xf numFmtId="0" fontId="0" fillId="0" borderId="2" xfId="0" applyBorder="1">
      <alignment vertical="center"/>
    </xf>
    <xf numFmtId="0" fontId="145" fillId="0" borderId="2" xfId="0" applyFont="1" applyBorder="1">
      <alignment vertical="center"/>
    </xf>
    <xf numFmtId="9" fontId="0" fillId="0" borderId="2" xfId="0" applyNumberFormat="1" applyBorder="1">
      <alignment vertical="center"/>
    </xf>
    <xf numFmtId="0" fontId="0" fillId="0" borderId="2" xfId="0" applyBorder="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609267</xdr:colOff>
      <xdr:row>7</xdr:row>
      <xdr:rowOff>104612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666667" cy="1304762"/>
        </a:xfrm>
        <a:prstGeom prst="rect">
          <a:avLst/>
        </a:prstGeom>
      </xdr:spPr>
    </xdr:pic>
    <xdr:clientData/>
  </xdr:twoCellAnchor>
  <xdr:twoCellAnchor editAs="oneCell">
    <xdr:from>
      <xdr:col>12</xdr:col>
      <xdr:colOff>83608</xdr:colOff>
      <xdr:row>1</xdr:row>
      <xdr:rowOff>158751</xdr:rowOff>
    </xdr:from>
    <xdr:to>
      <xdr:col>19</xdr:col>
      <xdr:colOff>14224</xdr:colOff>
      <xdr:row>25</xdr:row>
      <xdr:rowOff>65115</xdr:rowOff>
    </xdr:to>
    <xdr:pic>
      <xdr:nvPicPr>
        <xdr:cNvPr id="3" name="图片 2"/>
        <xdr:cNvPicPr>
          <a:picLocks noChangeAspect="1"/>
        </xdr:cNvPicPr>
      </xdr:nvPicPr>
      <xdr:blipFill>
        <a:blip xmlns:r="http://schemas.openxmlformats.org/officeDocument/2006/relationships" r:embed="rId2"/>
        <a:stretch>
          <a:fillRect/>
        </a:stretch>
      </xdr:blipFill>
      <xdr:spPr>
        <a:xfrm>
          <a:off x="8338608" y="328084"/>
          <a:ext cx="4746033" cy="3970364"/>
        </a:xfrm>
        <a:prstGeom prst="rect">
          <a:avLst/>
        </a:prstGeom>
      </xdr:spPr>
    </xdr:pic>
    <xdr:clientData/>
  </xdr:twoCellAnchor>
  <xdr:twoCellAnchor editAs="oneCell">
    <xdr:from>
      <xdr:col>0</xdr:col>
      <xdr:colOff>0</xdr:colOff>
      <xdr:row>8</xdr:row>
      <xdr:rowOff>95250</xdr:rowOff>
    </xdr:from>
    <xdr:to>
      <xdr:col>10</xdr:col>
      <xdr:colOff>647889</xdr:colOff>
      <xdr:row>23</xdr:row>
      <xdr:rowOff>75838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66850"/>
          <a:ext cx="7505889" cy="25523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出让国有建设用地使用权预评估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受贵公司委托，我公司对出让国有建设用地使用权进行了预评估。</v>
      </c>
      <c r="AM6" s="2619"/>
    </row>
    <row r="7" spans="1:55" s="2593" customFormat="1">
      <c r="A7" s="2594" t="s">
        <v>2638</v>
      </c>
      <c r="B7" s="2595" t="str">
        <f>'预评函-1'!A6</f>
        <v>估价对象为使用的、位于出让国有建设用地使用权。根据《国有土地使用证》[]，估价对象（分摊）出让国有建设用地使用权面积为82285.63平方米。根据《建设工程规划许可证》[]、《出让合同》[]，估价对象规划建筑面积为5636.57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2021年9月19日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根据《国有土地使用证》[]，估价对象（分摊）出让国有建设用地使用权面积为82285.63平方米。根据《建设工程规划许可证》[]、《出让合同》[]，估价对象规划建筑面积为5636.57平方米。</v>
      </c>
    </row>
    <row r="16" spans="1:55" s="2593" customFormat="1">
      <c r="A16" s="2594" t="s">
        <v>2650</v>
      </c>
      <c r="B16" s="2595" t="str">
        <f>'预评函-1'!A22</f>
        <v>本次估价对象为出让国有建设用地使用权，《国有土地使用证》[]证载土地终止日期为办公2053年12月13日。截至估价期日，出让国有建设用地使用权剩余土地使用年限为。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9月19日，在规划利用条件下、设定土地开发程度为红线外“七通”、宗地内场地，设定用途为，剩余土地使用年限为的出让国有建设用地使用权价格。</v>
      </c>
    </row>
    <row r="19" spans="1:48" s="2593" customFormat="1">
      <c r="A19" s="2594" t="s">
        <v>2653</v>
      </c>
      <c r="B19" s="259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93" customFormat="1">
      <c r="A20" s="2594" t="s">
        <v>2654</v>
      </c>
      <c r="B20" s="2595" t="str">
        <f>'预评函-1'!A27</f>
        <v>——</v>
      </c>
    </row>
    <row r="21" spans="1:48" s="2609" customFormat="1" ht="15" thickBot="1">
      <c r="A21" s="2616" t="s">
        <v>2655</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估价期日：2021年9月19日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82285.63</v>
      </c>
    </row>
    <row r="44" spans="1:2">
      <c r="A44" s="2594" t="s">
        <v>2721</v>
      </c>
      <c r="B44" s="2595" t="str">
        <f>'预评函-2'!O3</f>
        <v>规划建筑面积/㎡</v>
      </c>
    </row>
    <row r="45" spans="1:2">
      <c r="A45" s="2594" t="s">
        <v>2703</v>
      </c>
      <c r="B45" s="2595">
        <f>'预评函-2'!O5</f>
        <v>5636.57</v>
      </c>
    </row>
    <row r="46" spans="1:2">
      <c r="A46" s="2594" t="s">
        <v>2704</v>
      </c>
      <c r="B46" s="2595" t="e">
        <f ca="1">'预评函-2'!P5</f>
        <v>#REF!</v>
      </c>
    </row>
    <row r="47" spans="1:2">
      <c r="A47" s="2594" t="s">
        <v>2705</v>
      </c>
      <c r="B47" s="2595" t="e">
        <f ca="1">'预评函-2'!Q5</f>
        <v>#REF!</v>
      </c>
    </row>
    <row r="48" spans="1:2">
      <c r="A48" s="2594" t="s">
        <v>2706</v>
      </c>
      <c r="B48" s="2595" t="e">
        <f ca="1">'预评函-2'!R5</f>
        <v>#REF!</v>
      </c>
    </row>
    <row r="49" spans="1:2">
      <c r="A49" s="2594" t="s">
        <v>2722</v>
      </c>
      <c r="B49" s="2595" t="str">
        <f>'预评函-2'!A6</f>
        <v>抵押价格</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f>'预评函-2'!A8</f>
        <v>0</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4" sqref="D4"/>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28" t="str">
        <f>IF(B10="北京市","北京市",C10)&amp;F10&amp;B16&amp;"国有建设用地使用权"&amp;B9&amp;"预评估"</f>
        <v>出让国有建设用地使用权预评估</v>
      </c>
      <c r="C1" s="3329"/>
      <c r="D1" s="3329"/>
      <c r="E1" s="3329"/>
      <c r="F1" s="3329"/>
      <c r="G1" s="3329"/>
      <c r="H1" s="3329"/>
      <c r="I1" s="3330"/>
      <c r="J1" s="3073"/>
      <c r="K1" s="2309" t="str">
        <f>IF(B10="北京市","北京市",C10)&amp;F10&amp;B16&amp;"国有建设用地使用权"&amp;B9</f>
        <v>出让国有建设用地使用权</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出让国有建设用地使用权</v>
      </c>
      <c r="L2" s="3052"/>
      <c r="M2" s="3052"/>
      <c r="N2" s="3053"/>
      <c r="O2" s="3054"/>
      <c r="P2" s="3053"/>
      <c r="Q2" s="3053"/>
      <c r="R2" s="3053"/>
      <c r="S2" s="3053"/>
      <c r="T2" s="3053"/>
      <c r="U2" s="3053"/>
    </row>
    <row r="3" spans="1:21">
      <c r="A3" s="1588" t="s">
        <v>1928</v>
      </c>
      <c r="B3" s="1589"/>
      <c r="C3" s="2996" t="s">
        <v>1984</v>
      </c>
      <c r="D3" s="1589">
        <v>44458</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3007</v>
      </c>
      <c r="C8" s="1598"/>
      <c r="D8" s="3334"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c r="C9" s="1601"/>
      <c r="D9" s="3335"/>
      <c r="E9" s="1600"/>
      <c r="F9" s="1663"/>
      <c r="G9" s="3078"/>
      <c r="H9" s="3078"/>
      <c r="I9" s="3079"/>
      <c r="J9" s="3073"/>
      <c r="K9" s="3056"/>
      <c r="L9" s="3052"/>
      <c r="M9" s="3052"/>
      <c r="N9" s="3053"/>
      <c r="O9" s="3054"/>
      <c r="P9" s="3053"/>
      <c r="Q9" s="3053"/>
      <c r="R9" s="3053"/>
      <c r="S9" s="3053"/>
      <c r="T9" s="3053"/>
      <c r="U9" s="3053"/>
    </row>
    <row r="10" spans="1:21" ht="15" thickTop="1">
      <c r="A10" s="2999" t="s">
        <v>1988</v>
      </c>
      <c r="B10" s="1639"/>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31"/>
      <c r="C12" s="3332"/>
      <c r="D12" s="3333"/>
      <c r="E12" s="1620" t="s">
        <v>2050</v>
      </c>
      <c r="F12" s="3349" t="s">
        <v>2869</v>
      </c>
      <c r="G12" s="3350"/>
      <c r="H12" s="3350"/>
      <c r="I12" s="3351"/>
      <c r="J12" s="3073"/>
      <c r="K12" s="3056"/>
      <c r="L12" s="3052"/>
      <c r="M12" s="3052"/>
      <c r="N12" s="3053"/>
      <c r="O12" s="3054"/>
      <c r="P12" s="3053"/>
      <c r="Q12" s="3053"/>
      <c r="R12" s="3053"/>
      <c r="S12" s="3053"/>
      <c r="T12" s="3053"/>
      <c r="U12" s="3053"/>
    </row>
    <row r="13" spans="1:21">
      <c r="A13" s="1611" t="s">
        <v>2048</v>
      </c>
      <c r="B13" s="3331"/>
      <c r="C13" s="3332"/>
      <c r="D13" s="3333"/>
      <c r="E13" s="1620" t="s">
        <v>2050</v>
      </c>
      <c r="F13" s="3349" t="s">
        <v>2870</v>
      </c>
      <c r="G13" s="3350"/>
      <c r="H13" s="3350"/>
      <c r="I13" s="3351"/>
      <c r="J13" s="3073"/>
      <c r="K13" s="3056"/>
      <c r="L13" s="3052"/>
      <c r="M13" s="3052"/>
      <c r="N13" s="3053"/>
      <c r="O13" s="3054"/>
      <c r="P13" s="3053"/>
      <c r="Q13" s="3053"/>
      <c r="R13" s="3053"/>
      <c r="S13" s="3053"/>
      <c r="T13" s="3053"/>
      <c r="U13" s="3053"/>
    </row>
    <row r="14" spans="1:21">
      <c r="A14" s="1588" t="s">
        <v>2051</v>
      </c>
      <c r="B14" s="1620"/>
      <c r="C14" s="1757" t="s">
        <v>3003</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42.75">
      <c r="A16" s="3001" t="s">
        <v>1936</v>
      </c>
      <c r="B16" s="1606" t="s">
        <v>3004</v>
      </c>
      <c r="C16" s="1620" t="s">
        <v>1937</v>
      </c>
      <c r="D16" s="2487" t="s">
        <v>1938</v>
      </c>
      <c r="E16" s="1642"/>
      <c r="F16" s="1642" t="s">
        <v>1668</v>
      </c>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办公2053年12月13日</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1944</v>
      </c>
      <c r="D17" s="3277"/>
      <c r="E17" s="3277"/>
      <c r="F17" s="3277">
        <v>56231</v>
      </c>
      <c r="G17" s="3277"/>
      <c r="H17" s="3277"/>
      <c r="I17" s="3277"/>
      <c r="J17" s="3073"/>
      <c r="K17" s="3051" t="str">
        <f>CONCATENATE(K16,L16,M16,N16,O16,P16,Q16,R16,S16,T16,,U16)</f>
        <v>办公2053年12月13日</v>
      </c>
      <c r="L17" s="3052"/>
      <c r="M17" s="3052"/>
      <c r="N17" s="3053"/>
      <c r="O17" s="3054"/>
      <c r="P17" s="3053"/>
      <c r="Q17" s="3053"/>
      <c r="R17" s="3053"/>
      <c r="S17" s="3053"/>
      <c r="T17" s="3053"/>
      <c r="U17" s="3053"/>
    </row>
    <row r="18" spans="1:21">
      <c r="A18" s="1679"/>
      <c r="B18" s="1607"/>
      <c r="C18" s="3002" t="s">
        <v>1945</v>
      </c>
      <c r="D18" s="1608"/>
      <c r="E18" s="1608"/>
      <c r="F18" s="1608">
        <v>50</v>
      </c>
      <c r="G18" s="1608"/>
      <c r="H18" s="1608"/>
      <c r="I18" s="1608"/>
      <c r="J18" s="3073"/>
      <c r="K18" s="3056"/>
      <c r="L18" s="3052"/>
      <c r="M18" s="3052"/>
      <c r="N18" s="3053"/>
      <c r="O18" s="3054"/>
      <c r="P18" s="3053"/>
      <c r="Q18" s="3053"/>
      <c r="R18" s="3053"/>
      <c r="S18" s="3053"/>
      <c r="T18" s="3053"/>
      <c r="U18" s="3053"/>
    </row>
    <row r="19" spans="1:21">
      <c r="A19" s="1679"/>
      <c r="B19" s="1607"/>
      <c r="C19" s="1587" t="s">
        <v>1946</v>
      </c>
      <c r="D19" s="1674" t="str">
        <f>IF(B16="出让",IF(D17="","",ROUNDDOWN(MIN((D17-$D$3)/365,D18),2)),D18)</f>
        <v/>
      </c>
      <c r="E19" s="1609" t="str">
        <f>IF(B16="出让",IF(E17="","",ROUNDDOWN(MIN((E17-$D$3)/365,E18),2)),E18)</f>
        <v/>
      </c>
      <c r="F19" s="1609">
        <f>IF(B16="出让",IF(F17="","",ROUNDDOWN(MIN((F17-$D$3)/365,F18),2)),F18)</f>
        <v>32.25</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46"/>
      <c r="E20" s="3347"/>
      <c r="F20" s="3347"/>
      <c r="G20" s="3347"/>
      <c r="H20" s="3347"/>
      <c r="I20" s="3348"/>
      <c r="J20" s="3073"/>
      <c r="K20" s="3056"/>
      <c r="L20" s="3052"/>
      <c r="M20" s="3052"/>
      <c r="N20" s="3053"/>
      <c r="O20" s="3054"/>
      <c r="P20" s="3053"/>
      <c r="Q20" s="3053"/>
      <c r="R20" s="3053"/>
      <c r="S20" s="3053"/>
      <c r="T20" s="3053"/>
      <c r="U20" s="3053"/>
    </row>
    <row r="21" spans="1:21">
      <c r="A21" s="1679" t="s">
        <v>1947</v>
      </c>
      <c r="B21" s="1680" t="s">
        <v>1948</v>
      </c>
      <c r="C21" s="1675">
        <f>'数据-汇总表'!E3</f>
        <v>5636.57</v>
      </c>
      <c r="D21" s="1676" t="s">
        <v>1949</v>
      </c>
      <c r="E21" s="3336" t="s">
        <v>1987</v>
      </c>
      <c r="F21" s="3337"/>
      <c r="G21" s="3337"/>
      <c r="H21" s="3337"/>
      <c r="I21" s="3338"/>
      <c r="J21" s="3073"/>
      <c r="K21" s="3056"/>
      <c r="L21" s="3052"/>
      <c r="M21" s="3052"/>
      <c r="N21" s="3053"/>
      <c r="O21" s="3054"/>
      <c r="P21" s="3053"/>
      <c r="Q21" s="3053"/>
      <c r="R21" s="3053"/>
      <c r="S21" s="3053"/>
      <c r="T21" s="3053"/>
      <c r="U21" s="3053"/>
    </row>
    <row r="22" spans="1:21">
      <c r="A22" s="2801" t="s">
        <v>943</v>
      </c>
      <c r="B22" s="1588" t="s">
        <v>1950</v>
      </c>
      <c r="C22" s="1610">
        <f>'数据-汇总表'!D3</f>
        <v>82285.63</v>
      </c>
      <c r="D22" s="1611" t="s">
        <v>1949</v>
      </c>
      <c r="E22" s="3336" t="s">
        <v>2871</v>
      </c>
      <c r="F22" s="3337"/>
      <c r="G22" s="3337"/>
      <c r="H22" s="3337"/>
      <c r="I22" s="3338"/>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39" t="s">
        <v>1955</v>
      </c>
      <c r="C24" s="3340"/>
      <c r="D24" s="3341" t="s">
        <v>1956</v>
      </c>
      <c r="E24" s="3342"/>
      <c r="F24" s="1628" t="s">
        <v>1957</v>
      </c>
      <c r="G24" s="3073"/>
      <c r="H24" s="3073"/>
      <c r="I24" s="3077"/>
      <c r="J24" s="3073"/>
      <c r="K24" s="3327"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27"/>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27"/>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13" t="s">
        <v>1990</v>
      </c>
      <c r="B31" s="1680" t="s">
        <v>1991</v>
      </c>
      <c r="C31" s="3352"/>
      <c r="D31" s="3353"/>
      <c r="E31" s="3073"/>
      <c r="F31" s="3073"/>
      <c r="G31" s="3073"/>
      <c r="H31" s="3073"/>
      <c r="I31" s="3077"/>
      <c r="J31" s="3073"/>
      <c r="K31" s="3059"/>
      <c r="L31" s="3053"/>
      <c r="M31" s="3053"/>
      <c r="N31" s="3053"/>
      <c r="O31" s="3053"/>
      <c r="P31" s="3053"/>
      <c r="Q31" s="3053"/>
      <c r="R31" s="3053"/>
      <c r="S31" s="3053"/>
      <c r="T31" s="3053"/>
      <c r="U31" s="3053"/>
    </row>
    <row r="32" spans="1:21">
      <c r="A32" s="3313"/>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13"/>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14"/>
      <c r="B34" s="1588" t="s">
        <v>1994</v>
      </c>
      <c r="C34" s="3315"/>
      <c r="D34" s="3316"/>
      <c r="E34" s="3073"/>
      <c r="F34" s="3073"/>
      <c r="G34" s="3073"/>
      <c r="H34" s="3073"/>
      <c r="I34" s="3077"/>
      <c r="J34" s="3073"/>
      <c r="K34" s="3059"/>
      <c r="L34" s="3053"/>
      <c r="M34" s="3053"/>
      <c r="N34" s="3053"/>
      <c r="O34" s="3053"/>
      <c r="P34" s="3053"/>
      <c r="Q34" s="3053"/>
      <c r="R34" s="3053"/>
      <c r="S34" s="3053"/>
      <c r="T34" s="3053"/>
      <c r="U34" s="3053"/>
    </row>
    <row r="35" spans="1:28">
      <c r="A35" s="3317" t="s">
        <v>839</v>
      </c>
      <c r="B35" s="1642"/>
      <c r="C35" s="1689" t="str">
        <f>IF(B35="场地平整","——","具体情况：")</f>
        <v>具体情况：</v>
      </c>
      <c r="D35" s="3319"/>
      <c r="E35" s="3320"/>
      <c r="F35" s="3320"/>
      <c r="G35" s="3320"/>
      <c r="H35" s="3320"/>
      <c r="I35" s="3321"/>
      <c r="J35" s="3073"/>
      <c r="K35" s="3060"/>
      <c r="L35" s="3052"/>
      <c r="M35" s="3052"/>
      <c r="N35" s="3053"/>
      <c r="O35" s="3054"/>
      <c r="P35" s="3053"/>
      <c r="Q35" s="3053"/>
      <c r="R35" s="3053"/>
      <c r="S35" s="3053"/>
      <c r="T35" s="3053"/>
      <c r="U35" s="3053"/>
    </row>
    <row r="36" spans="1:28">
      <c r="A36" s="3313"/>
      <c r="B36" s="3322" t="s">
        <v>2043</v>
      </c>
      <c r="C36" s="3323"/>
      <c r="D36" s="1705"/>
      <c r="E36" s="3324"/>
      <c r="F36" s="3324"/>
      <c r="G36" s="1611" t="str">
        <f>IF(B35="场地未平整","估价结果处理","")</f>
        <v/>
      </c>
      <c r="H36" s="3325"/>
      <c r="I36" s="3325"/>
      <c r="J36" s="3073"/>
      <c r="K36" s="3060"/>
      <c r="L36" s="3052"/>
      <c r="M36" s="3052"/>
      <c r="N36" s="3053"/>
      <c r="O36" s="3054"/>
      <c r="P36" s="3053"/>
      <c r="Q36" s="3053"/>
      <c r="R36" s="3053"/>
      <c r="S36" s="3053"/>
      <c r="T36" s="3053"/>
      <c r="U36" s="3053"/>
    </row>
    <row r="37" spans="1:28" ht="28.5">
      <c r="A37" s="3313"/>
      <c r="B37" s="3343"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13"/>
      <c r="B38" s="3344"/>
      <c r="C38" s="1596" t="s">
        <v>842</v>
      </c>
      <c r="D38" s="1704">
        <f>ROUNDDOWN(MIN(('数据-取费表'!$B$2-D37)/365,D34),1)</f>
        <v>121.8</v>
      </c>
      <c r="E38" s="1647" t="s">
        <v>843</v>
      </c>
      <c r="F38" s="3073"/>
      <c r="G38" s="3073"/>
      <c r="H38" s="3073"/>
      <c r="I38" s="3077"/>
      <c r="J38" s="3073"/>
      <c r="K38" s="3060"/>
      <c r="L38" s="3053"/>
      <c r="M38" s="3053"/>
      <c r="N38" s="3053"/>
      <c r="O38" s="3053"/>
      <c r="P38" s="3053"/>
      <c r="Q38" s="3053"/>
      <c r="R38" s="3053"/>
      <c r="S38" s="3053"/>
      <c r="T38" s="3053"/>
      <c r="U38" s="3053"/>
    </row>
    <row r="39" spans="1:28">
      <c r="A39" s="3314"/>
      <c r="B39" s="3345"/>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26" t="s">
        <v>1974</v>
      </c>
      <c r="T40" s="1651" t="str">
        <f>NUMBERSTRING(7-K40,1)&amp;"通"</f>
        <v>七通</v>
      </c>
      <c r="U40" s="3053"/>
    </row>
    <row r="41" spans="1:28">
      <c r="A41" s="1590"/>
      <c r="B41" s="3318" t="s">
        <v>1712</v>
      </c>
      <c r="C41" s="3318"/>
      <c r="D41" s="3318"/>
      <c r="E41" s="3318"/>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26"/>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t="s">
        <v>1402</v>
      </c>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t="s">
        <v>3008</v>
      </c>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82285.63</v>
      </c>
      <c r="B3" s="22">
        <f>IF(C3="否",G5-AT5,G5)</f>
        <v>5636.57</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5636.57</v>
      </c>
      <c r="H5" s="27">
        <f t="shared" ref="H5:AT5" si="0">SUM(H13:H641)</f>
        <v>5636.57</v>
      </c>
      <c r="I5" s="27">
        <f t="shared" si="0"/>
        <v>5636.57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5636.57</v>
      </c>
      <c r="BA5" s="29">
        <f t="shared" si="1"/>
        <v>5636.57</v>
      </c>
      <c r="BB5" s="29">
        <f t="shared" si="1"/>
        <v>5636.57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82285.63</v>
      </c>
      <c r="F6" s="27" t="s">
        <v>1</v>
      </c>
      <c r="G6" s="27" t="s">
        <v>2</v>
      </c>
      <c r="H6" s="33">
        <f>SUMIF(I$12:AB$12,"总值",I6:AB6)</f>
        <v>82285.63</v>
      </c>
      <c r="I6" s="27">
        <f t="shared" ref="I6:AB6" si="2">ROUND($A$3*I5/$B$3,2)</f>
        <v>82285.63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82285.63</v>
      </c>
      <c r="AZ6" s="27" t="s">
        <v>3</v>
      </c>
      <c r="BA6" s="27">
        <f>ROUND($AY$6*BA5/$AZ$5,2)</f>
        <v>82285.63</v>
      </c>
      <c r="BB6" s="27">
        <f>ROUND($AY$6*BB5/$AZ$5,2)</f>
        <v>82285.63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3005</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1668</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82285.63</v>
      </c>
      <c r="F13" s="81"/>
      <c r="G13" s="82">
        <f t="shared" ref="G13:G20" si="7">H13+AC13+AT13</f>
        <v>5636.57</v>
      </c>
      <c r="H13" s="33">
        <f t="shared" ref="H13:H20" si="8">SUMIF(I$12:AB$12,"总值",I13:AB13)</f>
        <v>5636.57</v>
      </c>
      <c r="I13" s="2730">
        <f>ROUND(A3*0.0685,2)</f>
        <v>5636.57</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82285.63</v>
      </c>
      <c r="AZ13" s="27">
        <f t="shared" ref="AZ13:AZ20" si="12">BA13+BL13</f>
        <v>5636.57</v>
      </c>
      <c r="BA13" s="27">
        <f t="shared" ref="BA13:BA20" si="13">SUM(BB13:BK13)</f>
        <v>5636.57</v>
      </c>
      <c r="BB13" s="27">
        <f t="shared" ref="BB13:BB20" si="14">IF($D13="是",I13-J13,0)</f>
        <v>5636.57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4" t="s">
        <v>0</v>
      </c>
      <c r="B1" s="3354" t="s">
        <v>4</v>
      </c>
      <c r="C1" s="3354" t="s">
        <v>5</v>
      </c>
      <c r="D1" s="3355" t="s">
        <v>40</v>
      </c>
      <c r="E1" s="3355" t="s">
        <v>41</v>
      </c>
      <c r="F1" s="3355"/>
      <c r="G1" s="3355"/>
      <c r="H1" s="3355"/>
      <c r="I1" s="3355"/>
      <c r="J1" s="3355"/>
      <c r="K1" s="3355"/>
      <c r="L1" s="3355"/>
      <c r="M1" s="3355"/>
    </row>
    <row r="2" spans="1:13" ht="27" customHeight="1">
      <c r="A2" s="3354"/>
      <c r="B2" s="3354"/>
      <c r="C2" s="3354"/>
      <c r="D2" s="3355"/>
      <c r="E2" s="3355" t="s">
        <v>24</v>
      </c>
      <c r="F2" s="3355" t="s">
        <v>25</v>
      </c>
      <c r="G2" s="3355"/>
      <c r="H2" s="3355"/>
      <c r="I2" s="3355"/>
      <c r="J2" s="3355" t="s">
        <v>26</v>
      </c>
      <c r="K2" s="3355"/>
      <c r="L2" s="3355"/>
      <c r="M2" s="3355"/>
    </row>
    <row r="3" spans="1:13" ht="28.5">
      <c r="A3" s="3354"/>
      <c r="B3" s="3354"/>
      <c r="C3" s="3354"/>
      <c r="D3" s="3355"/>
      <c r="E3" s="33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5" t="s">
        <v>42</v>
      </c>
      <c r="B9" s="3355"/>
      <c r="C9" s="33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20" sqref="F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65" t="s">
        <v>203</v>
      </c>
      <c r="B2" s="3365"/>
      <c r="C2" s="3365"/>
      <c r="D2" s="1888" t="s">
        <v>204</v>
      </c>
      <c r="E2" s="106" t="s">
        <v>205</v>
      </c>
      <c r="F2" s="3082"/>
      <c r="G2" s="1181"/>
      <c r="H2" s="1182"/>
      <c r="I2" s="1183" t="s">
        <v>849</v>
      </c>
      <c r="J2" s="3082"/>
      <c r="K2" s="3082"/>
      <c r="L2" s="3082"/>
      <c r="M2" s="3082"/>
      <c r="N2" s="3082"/>
      <c r="O2" s="3082"/>
      <c r="P2" s="3082"/>
    </row>
    <row r="3" spans="1:16" ht="15.75" thickBot="1">
      <c r="A3" s="3366" t="s">
        <v>206</v>
      </c>
      <c r="B3" s="3366"/>
      <c r="C3" s="3366"/>
      <c r="D3" s="107">
        <f>'数据-基础表'!AY6</f>
        <v>82285.63</v>
      </c>
      <c r="E3" s="107">
        <f>'数据-基础表'!AZ5</f>
        <v>5636.57</v>
      </c>
      <c r="F3" s="3082"/>
      <c r="G3" s="278" t="s">
        <v>850</v>
      </c>
      <c r="H3" s="273" t="s">
        <v>851</v>
      </c>
      <c r="I3" s="1889">
        <f>ROUND('数据-基础表'!B3/'数据-基础表'!A3,2)</f>
        <v>7.0000000000000007E-2</v>
      </c>
      <c r="J3" s="3082"/>
      <c r="K3" s="3082"/>
      <c r="L3" s="3082"/>
      <c r="M3" s="3082"/>
      <c r="N3" s="3082"/>
      <c r="O3" s="3082"/>
      <c r="P3" s="3082"/>
    </row>
    <row r="4" spans="1:16" ht="15">
      <c r="A4" s="3367"/>
      <c r="B4" s="3368"/>
      <c r="C4" s="3369"/>
      <c r="D4" s="108" t="s">
        <v>204</v>
      </c>
      <c r="E4" s="109" t="s">
        <v>205</v>
      </c>
      <c r="F4" s="3082"/>
      <c r="G4" s="1184"/>
      <c r="H4" s="273" t="s">
        <v>852</v>
      </c>
      <c r="I4" s="1889">
        <f>ROUND(SUMIF('数据-基础表'!I9:AS9,"地上",'数据-基础表'!I5:AS5)/'数据-基础表'!A3,2)</f>
        <v>7.0000000000000007E-2</v>
      </c>
      <c r="J4" s="3082"/>
      <c r="K4" s="3082"/>
      <c r="L4" s="3082"/>
      <c r="M4" s="3082"/>
      <c r="N4" s="3082"/>
      <c r="O4" s="3082"/>
      <c r="P4" s="3082"/>
    </row>
    <row r="5" spans="1:16">
      <c r="A5" s="110" t="s">
        <v>207</v>
      </c>
      <c r="B5" s="3370" t="s">
        <v>230</v>
      </c>
      <c r="C5" s="3370"/>
      <c r="D5" s="111">
        <f>ROUND($D$3*E5/$E$3,2)</f>
        <v>0</v>
      </c>
      <c r="E5" s="112">
        <f>SUMIF('数据-基础表'!$11:$11,"住宅",'数据-基础表'!$5:$5)</f>
        <v>0</v>
      </c>
      <c r="F5" s="3082"/>
      <c r="G5" s="278" t="s">
        <v>853</v>
      </c>
      <c r="H5" s="273" t="s">
        <v>851</v>
      </c>
      <c r="I5" s="1889">
        <f>ROUND(E31/D31,2)</f>
        <v>7.0000000000000007E-2</v>
      </c>
      <c r="J5" s="3082"/>
      <c r="K5" s="3082"/>
      <c r="L5" s="3082"/>
      <c r="M5" s="3082"/>
      <c r="N5" s="3082"/>
      <c r="O5" s="3082"/>
      <c r="P5" s="3082"/>
    </row>
    <row r="6" spans="1:16" ht="15" thickBot="1">
      <c r="A6" s="113"/>
      <c r="B6" s="3370" t="s">
        <v>208</v>
      </c>
      <c r="C6" s="3370"/>
      <c r="D6" s="111">
        <f>ROUND($D$3*E6/$E$3,2)</f>
        <v>82285.63</v>
      </c>
      <c r="E6" s="112">
        <f>E3-E5</f>
        <v>5636.57</v>
      </c>
      <c r="F6" s="3082"/>
      <c r="G6" s="1184"/>
      <c r="H6" s="273" t="s">
        <v>852</v>
      </c>
      <c r="I6" s="1889">
        <f>ROUND(F31/D31,2)</f>
        <v>7.0000000000000007E-2</v>
      </c>
      <c r="J6" s="3082"/>
      <c r="K6" s="3082"/>
      <c r="L6" s="3082"/>
      <c r="M6" s="3082"/>
      <c r="N6" s="3082"/>
      <c r="O6" s="3082"/>
      <c r="P6" s="3082"/>
    </row>
    <row r="7" spans="1:16" ht="15">
      <c r="A7" s="3362"/>
      <c r="B7" s="3363"/>
      <c r="C7" s="3364"/>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82285.63</v>
      </c>
      <c r="E8" s="116">
        <f>SUMIF('数据-基础表'!BB10:BK10,"地上",'数据-基础表'!BB5:BK5)</f>
        <v>5636.57</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82285.63</v>
      </c>
      <c r="E16" s="120">
        <f>SUM(E8:E15)</f>
        <v>5636.57</v>
      </c>
      <c r="F16" s="3082"/>
      <c r="G16" s="3083"/>
      <c r="H16" s="956" t="s">
        <v>219</v>
      </c>
      <c r="I16" s="957"/>
      <c r="J16" s="1897"/>
      <c r="K16" s="3356" t="s">
        <v>2548</v>
      </c>
      <c r="L16" s="3357"/>
      <c r="M16" s="3357"/>
      <c r="N16" s="3357"/>
      <c r="O16" s="3357"/>
      <c r="P16" s="3358"/>
    </row>
    <row r="17" spans="1:19" ht="15">
      <c r="A17" s="121" t="s">
        <v>216</v>
      </c>
      <c r="B17" s="122" t="s">
        <v>217</v>
      </c>
      <c r="C17" s="2177" t="s">
        <v>2301</v>
      </c>
      <c r="D17" s="108" t="s">
        <v>204</v>
      </c>
      <c r="E17" s="124" t="s">
        <v>205</v>
      </c>
      <c r="F17" s="125"/>
      <c r="G17" s="1319"/>
      <c r="H17" s="958" t="s">
        <v>218</v>
      </c>
      <c r="I17" s="959" t="s">
        <v>2300</v>
      </c>
      <c r="J17" s="1897"/>
      <c r="K17" s="3359" t="s">
        <v>2549</v>
      </c>
      <c r="L17" s="3360"/>
      <c r="M17" s="3361"/>
      <c r="N17" s="3359" t="s">
        <v>2550</v>
      </c>
      <c r="O17" s="3360"/>
      <c r="P17" s="3361"/>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3006</v>
      </c>
      <c r="D19" s="111">
        <f t="shared" ref="D19:D26" si="1">ROUND($D$3*E19/$E$3,2)</f>
        <v>82285.63</v>
      </c>
      <c r="E19" s="134">
        <f t="shared" ref="E19:E26" si="2">SUM(F19:G19)</f>
        <v>5636.57</v>
      </c>
      <c r="F19" s="3084">
        <f>'数据-基础表'!I13</f>
        <v>5636.57</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82285.63</v>
      </c>
      <c r="S19" s="2180">
        <f t="shared" si="5"/>
        <v>5636.57</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82285.63</v>
      </c>
      <c r="E27" s="141">
        <f>IF(SUM(E19:E26)='数据-基础表'!BA5,SUM(E19:E26),IF(F27="地上面积有误","面积有误","地下面积有误"))</f>
        <v>5636.57</v>
      </c>
      <c r="F27" s="134">
        <f>IF(SUM(F19:F26)=E8,SUM(F19:F26),"地上面积有误")</f>
        <v>5636.57</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82285.63</v>
      </c>
      <c r="S27" s="273">
        <f>IF(SUM(S19:S26)=$E$3,SUM(S19:S26),SUM(S19:S26)&amp;"误差"&amp;ROUND(SUM(S19:S26)-E3,2))</f>
        <v>5636.57</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82285.63</v>
      </c>
      <c r="E31" s="1323">
        <f>E27+E30</f>
        <v>5636.57</v>
      </c>
      <c r="F31" s="1324">
        <f>F27+F30</f>
        <v>5636.57</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J7" sqref="J7"/>
    </sheetView>
  </sheetViews>
  <sheetFormatPr defaultColWidth="13.75" defaultRowHeight="12.75"/>
  <cols>
    <col min="1" max="1" width="20.875" style="1199" customWidth="1"/>
    <col min="2" max="3" width="12" style="1186" customWidth="1"/>
    <col min="4" max="4" width="9.125" style="1200" customWidth="1"/>
    <col min="5" max="5" width="21.125" style="1186"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44458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办公</v>
      </c>
      <c r="B6" s="2216" t="str">
        <f>IF(A6=0,"","经营性")</f>
        <v>经营性</v>
      </c>
      <c r="C6" s="171" t="s">
        <v>1668</v>
      </c>
      <c r="D6" s="2187">
        <f>SUMIF(项目基本情况!D$15:I$15,C6,项目基本情况!D$18:I$18)</f>
        <v>50</v>
      </c>
      <c r="E6" s="2188">
        <f>IF(B6="","",SUMIF(项目基本情况!D$15:I$15,C6,项目基本情况!D$17:I$17))</f>
        <v>56231</v>
      </c>
      <c r="F6" s="172">
        <f>SUMIF(项目基本情况!D$15:I$15,C6,项目基本情况!D$19:I$19)</f>
        <v>32.25</v>
      </c>
      <c r="G6" s="173">
        <f>IF(ISERROR(ROUND(POWER(1+H6,D6-F6)*(POWER(1+H6,F6)-1)/(POWER(1+H6,D6)-1),3)),0,ROUND(POWER(1+H6,D6-F6)*(POWER(1+H6,F6)-1)/(POWER(1+H6,D6)-1),3))</f>
        <v>0.83499999999999996</v>
      </c>
      <c r="H6" s="2738">
        <v>0.04</v>
      </c>
      <c r="I6" s="2738">
        <v>4.4999999999999998E-2</v>
      </c>
      <c r="J6" s="174">
        <v>0.05</v>
      </c>
      <c r="K6" s="177">
        <f>SUMIF('数据-汇总表'!C$19:C$33,'数据-取费表'!A6,'数据-汇总表'!E$19:E$33)</f>
        <v>5636.57</v>
      </c>
      <c r="L6" s="2739">
        <v>3500</v>
      </c>
      <c r="M6" s="175">
        <f t="shared" ref="M6:M14" si="0">ROUND(K6*L6/10000,0)</f>
        <v>1973</v>
      </c>
      <c r="N6" s="2740">
        <v>0</v>
      </c>
      <c r="O6" s="175">
        <f>IF($N$5="成新度","——",ROUND(M6*N6,0))</f>
        <v>0</v>
      </c>
      <c r="P6" s="176">
        <f>IF($N$5="成新度","——",M6-O6)</f>
        <v>1973</v>
      </c>
      <c r="Q6" s="2741">
        <v>0.25</v>
      </c>
      <c r="R6" s="177">
        <f>SUMIF('数据-汇总表'!C$19:C$33,A6,'数据-汇总表'!R$19:R$33)</f>
        <v>82285.63</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0.71799999999999997</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0.83499999999999996</v>
      </c>
      <c r="H16" s="201">
        <f>ROUND(SUMPRODUCT(H6:H13,K6:K13)/SUMPRODUCT((H6:H13&gt;0)*(K6:K13)),3)</f>
        <v>0.04</v>
      </c>
      <c r="I16" s="202"/>
      <c r="J16" s="202"/>
      <c r="K16" s="203">
        <f>SUM(K6:K15)</f>
        <v>5636.57</v>
      </c>
      <c r="L16" s="204">
        <f>ROUND(M16*10000/SUM(K6:K14),0)</f>
        <v>3500</v>
      </c>
      <c r="M16" s="204">
        <f>SUM(M6:M14)</f>
        <v>1973</v>
      </c>
      <c r="N16" s="205">
        <f>ROUND(SUMPRODUCT(M6:M14,N6:N14)/M16,3)</f>
        <v>0</v>
      </c>
      <c r="O16" s="204">
        <f>SUM(O6:O14)</f>
        <v>0</v>
      </c>
      <c r="P16" s="204">
        <f>SUM(P6:P14)</f>
        <v>1973</v>
      </c>
      <c r="Q16" s="206">
        <f>ROUND(SUMPRODUCT(Q6:Q13,K6:K13)/SUMPRODUCT((Q6:Q13&gt;0)*(K6:K13)),2)</f>
        <v>0.25</v>
      </c>
      <c r="R16" s="2190">
        <f>SUM(R6:R13)</f>
        <v>82285.63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0.71799999999999997</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1</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1</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2</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2873</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71" t="s">
        <v>1654</v>
      </c>
      <c r="B1" s="3372"/>
      <c r="C1" s="3372"/>
      <c r="D1" s="3372"/>
      <c r="E1" s="3372"/>
      <c r="F1" s="3372"/>
      <c r="G1" s="3372"/>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2824</v>
      </c>
      <c r="B1" s="3185">
        <f>SUM(B14:B23)</f>
        <v>5636.57</v>
      </c>
      <c r="C1" s="3194"/>
      <c r="D1" s="3194"/>
      <c r="E1" s="3194"/>
      <c r="F1" s="3194"/>
      <c r="G1" s="3195"/>
      <c r="H1" s="3195"/>
      <c r="I1" s="3195"/>
      <c r="J1" s="3195"/>
    </row>
    <row r="2" spans="1:10" ht="16.5">
      <c r="A2" s="3185" t="s">
        <v>2825</v>
      </c>
      <c r="B2" s="3185">
        <f>SUM(C14:C23)</f>
        <v>82285.63</v>
      </c>
      <c r="C2" s="3194"/>
      <c r="D2" s="3194"/>
      <c r="E2" s="3194"/>
      <c r="F2" s="3194"/>
      <c r="G2" s="3195"/>
      <c r="H2" s="3195"/>
      <c r="I2" s="3195"/>
      <c r="J2" s="3195"/>
    </row>
    <row r="3" spans="1:10" ht="16.5">
      <c r="A3" s="3185" t="s">
        <v>2826</v>
      </c>
      <c r="B3" s="3187">
        <f>项目基本情况!D3</f>
        <v>44458</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t="e">
        <f ca="1">SUM(D14:D23)</f>
        <v>#REF!</v>
      </c>
      <c r="C5" s="3185" t="e">
        <f ca="1">ROUND(B5*10000/$B$1,0)</f>
        <v>#REF!</v>
      </c>
      <c r="D5" s="3185" t="e">
        <f ca="1">ROUND(B5*10000/$B$2,0)</f>
        <v>#REF!</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5636.57</v>
      </c>
      <c r="C14" s="3191">
        <f>结果表!K38</f>
        <v>82285.63</v>
      </c>
      <c r="D14" s="3191" t="e">
        <f ca="1">结果表!C42</f>
        <v>#REF!</v>
      </c>
      <c r="E14" s="3191" t="e">
        <f ca="1">ROUND(D14*10000/B14,0)</f>
        <v>#REF!</v>
      </c>
      <c r="F14" s="3191" t="e">
        <f ca="1">ROUND(D14*10000/C14,0)</f>
        <v>#REF!</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4"/>
  <sheetViews>
    <sheetView tabSelected="1" workbookViewId="0">
      <selection activeCell="C2" sqref="C2"/>
    </sheetView>
  </sheetViews>
  <sheetFormatPr defaultRowHeight="13.5"/>
  <cols>
    <col min="1" max="1" width="11" bestFit="1" customWidth="1"/>
    <col min="2" max="2" width="11" customWidth="1"/>
    <col min="4" max="4" width="5.25" bestFit="1" customWidth="1"/>
    <col min="5" max="5" width="17.25" bestFit="1" customWidth="1"/>
  </cols>
  <sheetData>
    <row r="1" spans="1:7">
      <c r="A1" s="3589"/>
      <c r="B1" s="3590" t="s">
        <v>3056</v>
      </c>
      <c r="C1" s="3590" t="s">
        <v>3052</v>
      </c>
      <c r="D1" s="3590" t="s">
        <v>3017</v>
      </c>
      <c r="E1" s="3590" t="s">
        <v>3053</v>
      </c>
      <c r="F1" s="3590" t="s">
        <v>3055</v>
      </c>
      <c r="G1" s="3590" t="s">
        <v>3018</v>
      </c>
    </row>
    <row r="2" spans="1:7">
      <c r="A2" s="3590" t="s">
        <v>3014</v>
      </c>
      <c r="B2" s="3590">
        <f ca="1">基准地价!C29</f>
        <v>1609115</v>
      </c>
      <c r="C2" s="3589">
        <f ca="1">ROUND(基准地价!C29*'数据-汇总表'!I6,0)</f>
        <v>112638</v>
      </c>
      <c r="D2" s="3591">
        <v>0.3</v>
      </c>
      <c r="E2" s="3592">
        <f ca="1">ROUND(C2*D2+C3*D3+C4*D4,0)</f>
        <v>50430</v>
      </c>
      <c r="F2" s="3592">
        <f>'数据-汇总表'!D27</f>
        <v>82285.63</v>
      </c>
      <c r="G2" s="3592">
        <f ca="1">ROUND(F2*E2/10000,2)</f>
        <v>414966.43</v>
      </c>
    </row>
    <row r="3" spans="1:7">
      <c r="A3" s="3590" t="s">
        <v>3015</v>
      </c>
      <c r="B3" s="3590">
        <f ca="1">成本逼近法!B3</f>
        <v>70004</v>
      </c>
      <c r="C3" s="3589">
        <f ca="1">成本逼近法!B4</f>
        <v>4795</v>
      </c>
      <c r="D3" s="3591">
        <v>0.3</v>
      </c>
      <c r="E3" s="3592"/>
      <c r="F3" s="3592"/>
      <c r="G3" s="3592"/>
    </row>
    <row r="4" spans="1:7">
      <c r="A4" s="3590" t="s">
        <v>3016</v>
      </c>
      <c r="B4" s="3590">
        <v>13000</v>
      </c>
      <c r="C4" s="3589">
        <v>38000</v>
      </c>
      <c r="D4" s="3591">
        <f>1-D2-D3</f>
        <v>0.39999999999999997</v>
      </c>
      <c r="E4" s="3592"/>
      <c r="F4" s="3592"/>
      <c r="G4" s="3592"/>
    </row>
  </sheetData>
  <mergeCells count="3">
    <mergeCell ref="E2:E4"/>
    <mergeCell ref="F2:F4"/>
    <mergeCell ref="G2:G4"/>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17" t="str">
        <f>项目基本情况!K2</f>
        <v>出让国有建设用地使用权</v>
      </c>
      <c r="B2" s="3418"/>
      <c r="C2" s="3419"/>
      <c r="D2" s="3419"/>
      <c r="E2" s="3419"/>
      <c r="F2" s="3419"/>
      <c r="G2" s="3418"/>
      <c r="H2" s="3418"/>
      <c r="I2" s="3420"/>
      <c r="J2" s="1912"/>
      <c r="K2" s="1911"/>
      <c r="L2" s="1911"/>
      <c r="M2" s="1911"/>
      <c r="N2" s="1911"/>
      <c r="O2" s="1911"/>
      <c r="P2" s="1911"/>
      <c r="Q2" s="1911"/>
      <c r="R2" s="1911"/>
      <c r="S2" s="1911"/>
      <c r="T2" s="1911"/>
      <c r="U2" s="1911"/>
      <c r="V2" s="1911"/>
    </row>
    <row r="3" spans="1:22" ht="14.25">
      <c r="A3" s="3410" t="s">
        <v>298</v>
      </c>
      <c r="B3" s="3411"/>
      <c r="C3" s="3411"/>
      <c r="D3" s="3411"/>
      <c r="E3" s="3411"/>
      <c r="F3" s="3411"/>
      <c r="G3" s="3411"/>
      <c r="H3" s="3411"/>
      <c r="I3" s="3411"/>
      <c r="J3" s="1912"/>
      <c r="K3" s="1911"/>
      <c r="L3" s="1911"/>
      <c r="M3" s="1911"/>
      <c r="N3" s="1911"/>
      <c r="O3" s="1911"/>
      <c r="P3" s="1911"/>
      <c r="Q3" s="1911"/>
      <c r="R3" s="1911"/>
      <c r="S3" s="1911"/>
      <c r="T3" s="1911"/>
      <c r="U3" s="1911"/>
      <c r="V3" s="1911"/>
    </row>
    <row r="4" spans="1:22" ht="14.25">
      <c r="A4" s="256" t="s">
        <v>299</v>
      </c>
      <c r="B4" s="257" t="s">
        <v>300</v>
      </c>
      <c r="C4" s="258"/>
      <c r="D4" s="258"/>
      <c r="E4" s="3376" t="s">
        <v>301</v>
      </c>
      <c r="F4" s="3377"/>
      <c r="G4" s="3377"/>
      <c r="H4" s="3377"/>
      <c r="I4" s="3412"/>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375" t="s">
        <v>302</v>
      </c>
      <c r="B5" s="3404">
        <v>25</v>
      </c>
      <c r="C5" s="3402"/>
      <c r="D5" s="3406"/>
      <c r="E5" s="259" t="s">
        <v>303</v>
      </c>
      <c r="F5" s="260"/>
      <c r="G5" s="260"/>
      <c r="H5" s="260"/>
      <c r="I5" s="261"/>
      <c r="J5" s="1912"/>
      <c r="K5" s="1911"/>
      <c r="L5" s="1911"/>
      <c r="M5" s="1911"/>
      <c r="N5" s="1911"/>
      <c r="O5" s="1911"/>
      <c r="P5" s="1911"/>
      <c r="Q5" s="1911"/>
      <c r="R5" s="1911"/>
      <c r="S5" s="1911"/>
      <c r="T5" s="1911"/>
      <c r="U5" s="1911"/>
      <c r="V5" s="1911"/>
    </row>
    <row r="6" spans="1:22" ht="14.25">
      <c r="A6" s="3375"/>
      <c r="B6" s="3404"/>
      <c r="C6" s="3405"/>
      <c r="D6" s="3406"/>
      <c r="E6" s="259" t="s">
        <v>304</v>
      </c>
      <c r="F6" s="260"/>
      <c r="G6" s="260"/>
      <c r="H6" s="260"/>
      <c r="I6" s="261"/>
      <c r="J6" s="1912"/>
      <c r="K6" s="1911"/>
      <c r="L6" s="1911"/>
      <c r="M6" s="1911"/>
      <c r="N6" s="1911"/>
      <c r="O6" s="1911"/>
      <c r="P6" s="1911"/>
      <c r="Q6" s="1911"/>
      <c r="R6" s="1911"/>
      <c r="S6" s="1911"/>
      <c r="T6" s="1911"/>
      <c r="U6" s="1911"/>
      <c r="V6" s="1911"/>
    </row>
    <row r="7" spans="1:22" ht="14.25">
      <c r="A7" s="3375"/>
      <c r="B7" s="3404"/>
      <c r="C7" s="3403"/>
      <c r="D7" s="3406"/>
      <c r="E7" s="259" t="s">
        <v>305</v>
      </c>
      <c r="F7" s="260"/>
      <c r="G7" s="260"/>
      <c r="H7" s="260"/>
      <c r="I7" s="261"/>
      <c r="J7" s="1912"/>
      <c r="K7" s="1911"/>
      <c r="L7" s="1911"/>
      <c r="M7" s="1911"/>
      <c r="N7" s="1911"/>
      <c r="O7" s="1911"/>
      <c r="P7" s="1911"/>
      <c r="Q7" s="1911"/>
      <c r="R7" s="1911"/>
      <c r="S7" s="1911"/>
      <c r="T7" s="1911"/>
      <c r="U7" s="1911"/>
      <c r="V7" s="1911"/>
    </row>
    <row r="8" spans="1:22" ht="14.25">
      <c r="A8" s="3375" t="s">
        <v>306</v>
      </c>
      <c r="B8" s="3404">
        <v>15</v>
      </c>
      <c r="C8" s="3402"/>
      <c r="D8" s="3406"/>
      <c r="E8" s="259" t="s">
        <v>307</v>
      </c>
      <c r="F8" s="260"/>
      <c r="G8" s="260"/>
      <c r="H8" s="260"/>
      <c r="I8" s="261"/>
      <c r="J8" s="1912"/>
      <c r="K8" s="1911"/>
      <c r="L8" s="1911"/>
      <c r="M8" s="1911"/>
      <c r="N8" s="1911"/>
      <c r="O8" s="1911"/>
      <c r="P8" s="1911"/>
      <c r="Q8" s="1911"/>
      <c r="R8" s="1911"/>
      <c r="S8" s="1911"/>
      <c r="T8" s="1911"/>
      <c r="U8" s="1911"/>
      <c r="V8" s="1911"/>
    </row>
    <row r="9" spans="1:22" ht="14.25">
      <c r="A9" s="3375"/>
      <c r="B9" s="3404"/>
      <c r="C9" s="3403"/>
      <c r="D9" s="3406"/>
      <c r="E9" s="259" t="s">
        <v>308</v>
      </c>
      <c r="F9" s="260"/>
      <c r="G9" s="260"/>
      <c r="H9" s="260"/>
      <c r="I9" s="261"/>
      <c r="J9" s="1912"/>
      <c r="K9" s="1911"/>
      <c r="L9" s="1911"/>
      <c r="M9" s="1911"/>
      <c r="N9" s="1911"/>
      <c r="O9" s="1911"/>
      <c r="P9" s="1911"/>
      <c r="Q9" s="1911"/>
      <c r="R9" s="1911"/>
      <c r="S9" s="1911"/>
      <c r="T9" s="1911"/>
      <c r="U9" s="1911"/>
      <c r="V9" s="1911"/>
    </row>
    <row r="10" spans="1:22" ht="14.25">
      <c r="A10" s="3375" t="s">
        <v>309</v>
      </c>
      <c r="B10" s="3404">
        <v>15</v>
      </c>
      <c r="C10" s="3402"/>
      <c r="D10" s="3406"/>
      <c r="E10" s="259" t="s">
        <v>310</v>
      </c>
      <c r="F10" s="260"/>
      <c r="G10" s="260"/>
      <c r="H10" s="260"/>
      <c r="I10" s="261"/>
      <c r="J10" s="1912"/>
      <c r="K10" s="1911"/>
      <c r="L10" s="1911"/>
      <c r="M10" s="1911"/>
      <c r="N10" s="1911"/>
      <c r="O10" s="1911"/>
      <c r="P10" s="1911"/>
      <c r="Q10" s="1911"/>
      <c r="R10" s="1911"/>
      <c r="S10" s="1911"/>
      <c r="T10" s="1911"/>
      <c r="U10" s="1911"/>
      <c r="V10" s="1911"/>
    </row>
    <row r="11" spans="1:22" ht="14.25">
      <c r="A11" s="3375"/>
      <c r="B11" s="3404"/>
      <c r="C11" s="3403"/>
      <c r="D11" s="3406"/>
      <c r="E11" s="259" t="s">
        <v>311</v>
      </c>
      <c r="F11" s="260"/>
      <c r="G11" s="260"/>
      <c r="H11" s="260"/>
      <c r="I11" s="261"/>
      <c r="J11" s="1912"/>
      <c r="K11" s="1911"/>
      <c r="L11" s="1911"/>
      <c r="M11" s="1911"/>
      <c r="N11" s="1911"/>
      <c r="O11" s="1911"/>
      <c r="P11" s="1911"/>
      <c r="Q11" s="1911"/>
      <c r="R11" s="1911"/>
      <c r="S11" s="1911"/>
      <c r="T11" s="1911"/>
      <c r="U11" s="1911"/>
      <c r="V11" s="1911"/>
    </row>
    <row r="12" spans="1:22" ht="14.25">
      <c r="A12" s="3375" t="s">
        <v>312</v>
      </c>
      <c r="B12" s="3404">
        <v>15</v>
      </c>
      <c r="C12" s="3402"/>
      <c r="D12" s="3406"/>
      <c r="E12" s="259" t="s">
        <v>313</v>
      </c>
      <c r="F12" s="260"/>
      <c r="G12" s="260"/>
      <c r="H12" s="260"/>
      <c r="I12" s="261"/>
      <c r="J12" s="1912"/>
      <c r="K12" s="1911"/>
      <c r="L12" s="1911"/>
      <c r="M12" s="1911"/>
      <c r="N12" s="1911"/>
      <c r="O12" s="1911"/>
      <c r="P12" s="1911"/>
      <c r="Q12" s="1911"/>
      <c r="R12" s="1911"/>
      <c r="S12" s="1911"/>
      <c r="T12" s="1911"/>
      <c r="U12" s="1911"/>
      <c r="V12" s="1911"/>
    </row>
    <row r="13" spans="1:22" ht="14.25">
      <c r="A13" s="3375"/>
      <c r="B13" s="3404"/>
      <c r="C13" s="3403"/>
      <c r="D13" s="3406"/>
      <c r="E13" s="259" t="s">
        <v>314</v>
      </c>
      <c r="F13" s="260"/>
      <c r="G13" s="260"/>
      <c r="H13" s="260"/>
      <c r="I13" s="261"/>
      <c r="J13" s="1912"/>
      <c r="K13" s="1911"/>
      <c r="L13" s="1911"/>
      <c r="M13" s="1911"/>
      <c r="N13" s="1911"/>
      <c r="O13" s="1911"/>
      <c r="P13" s="1911"/>
      <c r="Q13" s="1911"/>
      <c r="R13" s="1911"/>
      <c r="S13" s="1911"/>
      <c r="T13" s="1911"/>
      <c r="U13" s="1911"/>
      <c r="V13" s="1911"/>
    </row>
    <row r="14" spans="1:22" ht="14.25">
      <c r="A14" s="3375" t="s">
        <v>315</v>
      </c>
      <c r="B14" s="3404">
        <v>30</v>
      </c>
      <c r="C14" s="3402"/>
      <c r="D14" s="3406"/>
      <c r="E14" s="259" t="s">
        <v>316</v>
      </c>
      <c r="F14" s="260"/>
      <c r="G14" s="260"/>
      <c r="H14" s="260"/>
      <c r="I14" s="261"/>
      <c r="J14" s="1912"/>
      <c r="K14" s="1911"/>
      <c r="L14" s="1911"/>
      <c r="M14" s="1911"/>
      <c r="N14" s="1911"/>
      <c r="O14" s="1911"/>
      <c r="P14" s="1911"/>
      <c r="Q14" s="1911"/>
      <c r="R14" s="1911"/>
      <c r="S14" s="1911"/>
      <c r="T14" s="1911"/>
      <c r="U14" s="1911"/>
      <c r="V14" s="1911"/>
    </row>
    <row r="15" spans="1:22" ht="14.25">
      <c r="A15" s="3375"/>
      <c r="B15" s="3404"/>
      <c r="C15" s="3405"/>
      <c r="D15" s="3406"/>
      <c r="E15" s="259" t="s">
        <v>317</v>
      </c>
      <c r="F15" s="260"/>
      <c r="G15" s="260"/>
      <c r="H15" s="260"/>
      <c r="I15" s="261"/>
      <c r="J15" s="1912"/>
      <c r="K15" s="1911"/>
      <c r="L15" s="1911"/>
      <c r="M15" s="1911"/>
      <c r="N15" s="1911"/>
      <c r="O15" s="1911"/>
      <c r="P15" s="1911"/>
      <c r="Q15" s="1911"/>
      <c r="R15" s="1911"/>
      <c r="S15" s="1911"/>
      <c r="T15" s="1911"/>
      <c r="U15" s="1911"/>
      <c r="V15" s="1911"/>
    </row>
    <row r="16" spans="1:22" ht="14.25">
      <c r="A16" s="3375"/>
      <c r="B16" s="3404"/>
      <c r="C16" s="3403"/>
      <c r="D16" s="3406"/>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407" t="s">
        <v>2962</v>
      </c>
      <c r="F18" s="3408"/>
      <c r="G18" s="3408"/>
      <c r="H18" s="3408"/>
      <c r="I18" s="3408"/>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381"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382"/>
      <c r="B25" s="1275" t="s">
        <v>331</v>
      </c>
      <c r="C25" s="288">
        <f>IF(B30=0,0,C30)</f>
        <v>0</v>
      </c>
      <c r="D25" s="289"/>
      <c r="E25" s="309"/>
      <c r="F25" s="309"/>
      <c r="G25" s="309"/>
      <c r="H25" s="309"/>
      <c r="I25" s="309"/>
      <c r="J25" s="1911"/>
      <c r="K25" s="1209" t="e">
        <f ca="1">项目基本情况!B16&amp;"国有建设用地使用权价格："&amp;O38&amp;"万元"</f>
        <v>#REF!</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e">
        <f ca="1">"大写金额：人民币"&amp;NUMBERSTRING(INT(O38*10000),2)&amp;"元整"</f>
        <v>#REF!</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e">
        <f ca="1">"单位面积地价："&amp;M38&amp;"元/平方米"</f>
        <v>#REF!</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e">
        <f ca="1">"楼面地价："&amp;N38&amp;"元/平方米"</f>
        <v>#REF!</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09" t="s">
        <v>2964</v>
      </c>
      <c r="B31" s="3409"/>
      <c r="C31" s="3409"/>
      <c r="D31" s="3409"/>
      <c r="E31" s="3409"/>
      <c r="F31" s="3409"/>
      <c r="G31" s="3409"/>
      <c r="H31" s="3409"/>
      <c r="I31" s="3409"/>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t="e">
        <f ca="1">G19-C24</f>
        <v>#REF!</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t="e">
        <f ca="1">ROUND(C32*10000/'数据-汇总表'!E3,0)</f>
        <v>#REF!</v>
      </c>
      <c r="D33" s="1334" t="s">
        <v>1682</v>
      </c>
      <c r="E33" s="3381"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t="e">
        <f ca="1">ROUND(C32*10000/'数据-汇总表'!D3,0)</f>
        <v>#REF!</v>
      </c>
      <c r="D34" s="1336" t="s">
        <v>1682</v>
      </c>
      <c r="E34" s="3425"/>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t="e">
        <f ca="1">ROUND(C32/('数据-汇总表'!D3/666.67),0)</f>
        <v>#REF!</v>
      </c>
      <c r="D35" s="1339" t="s">
        <v>1684</v>
      </c>
      <c r="E35" s="3426"/>
      <c r="F35" s="299" t="s">
        <v>342</v>
      </c>
      <c r="G35" s="970"/>
      <c r="H35" s="969" t="s">
        <v>343</v>
      </c>
      <c r="I35" s="309"/>
      <c r="J35" s="1911"/>
      <c r="K35" s="3399" t="s">
        <v>350</v>
      </c>
      <c r="L35" s="3399" t="s">
        <v>351</v>
      </c>
      <c r="M35" s="1218" t="s">
        <v>352</v>
      </c>
      <c r="N35" s="3399" t="s">
        <v>353</v>
      </c>
      <c r="O35" s="3399" t="s">
        <v>354</v>
      </c>
      <c r="P35" s="1911"/>
      <c r="V35" s="1911"/>
    </row>
    <row r="36" spans="1:26" ht="16.5" customHeight="1">
      <c r="A36" s="301" t="s">
        <v>344</v>
      </c>
      <c r="B36" s="302" t="s">
        <v>333</v>
      </c>
      <c r="C36" s="303" t="s">
        <v>345</v>
      </c>
      <c r="D36" s="303" t="s">
        <v>346</v>
      </c>
      <c r="E36" s="304" t="s">
        <v>347</v>
      </c>
      <c r="F36" s="309"/>
      <c r="G36" s="309"/>
      <c r="H36" s="309"/>
      <c r="I36" s="309"/>
      <c r="J36" s="1913"/>
      <c r="K36" s="3400"/>
      <c r="L36" s="3400"/>
      <c r="M36" s="1220" t="s">
        <v>355</v>
      </c>
      <c r="N36" s="3400"/>
      <c r="O36" s="3400"/>
      <c r="P36" s="1911"/>
      <c r="V36" s="1911"/>
    </row>
    <row r="37" spans="1:26" ht="16.5" customHeight="1" thickBot="1">
      <c r="A37" s="1214" t="s">
        <v>348</v>
      </c>
      <c r="B37" s="305"/>
      <c r="C37" s="292"/>
      <c r="D37" s="292"/>
      <c r="E37" s="293"/>
      <c r="F37" s="309"/>
      <c r="G37" s="309"/>
      <c r="H37" s="309"/>
      <c r="I37" s="309"/>
      <c r="J37" s="1913"/>
      <c r="K37" s="3401"/>
      <c r="L37" s="3401"/>
      <c r="M37" s="1221"/>
      <c r="N37" s="3401"/>
      <c r="O37" s="3401"/>
      <c r="P37" s="1911"/>
      <c r="V37" s="1911"/>
    </row>
    <row r="38" spans="1:26" ht="16.5" customHeight="1" thickBot="1">
      <c r="A38" s="1214" t="s">
        <v>349</v>
      </c>
      <c r="B38" s="305"/>
      <c r="C38" s="292"/>
      <c r="D38" s="292"/>
      <c r="E38" s="293"/>
      <c r="F38" s="309"/>
      <c r="G38" s="309"/>
      <c r="H38" s="309"/>
      <c r="I38" s="309"/>
      <c r="J38" s="1913"/>
      <c r="K38" s="1222">
        <f>'数据-汇总表'!D3</f>
        <v>82285.63</v>
      </c>
      <c r="L38" s="1223">
        <f>'数据-汇总表'!E3</f>
        <v>5636.57</v>
      </c>
      <c r="M38" s="1223" t="e">
        <f ca="1">C34</f>
        <v>#REF!</v>
      </c>
      <c r="N38" s="1223" t="e">
        <f ca="1">C33</f>
        <v>#REF!</v>
      </c>
      <c r="O38" s="1224" t="e">
        <f ca="1">C32</f>
        <v>#REF!</v>
      </c>
      <c r="P38" s="1911"/>
      <c r="V38" s="1911"/>
    </row>
    <row r="39" spans="1:26" ht="16.5" customHeight="1" thickBot="1">
      <c r="A39" s="1219"/>
      <c r="B39" s="306"/>
      <c r="C39" s="307"/>
      <c r="D39" s="307"/>
      <c r="E39" s="308"/>
      <c r="F39" s="309"/>
      <c r="G39" s="309"/>
      <c r="H39" s="309"/>
      <c r="I39" s="309"/>
      <c r="J39" s="1913"/>
      <c r="K39" s="3439" t="str">
        <f>MID(A44,3,LEN(A44)-2)</f>
        <v/>
      </c>
      <c r="L39" s="3440"/>
      <c r="M39" s="3440"/>
      <c r="N39" s="3441"/>
      <c r="O39" s="1341" t="str">
        <f>C44</f>
        <v>——</v>
      </c>
      <c r="P39" s="1911"/>
      <c r="V39" s="1911"/>
    </row>
    <row r="40" spans="1:26" ht="19.5" thickBot="1">
      <c r="A40" s="104" t="s">
        <v>864</v>
      </c>
      <c r="B40" s="309"/>
      <c r="C40" s="309"/>
      <c r="D40" s="309"/>
      <c r="E40" s="309"/>
      <c r="F40" s="309"/>
      <c r="G40" s="309"/>
      <c r="H40" s="309"/>
      <c r="I40" s="309"/>
      <c r="J40" s="1913"/>
      <c r="K40" s="3439" t="str">
        <f t="shared" ref="K40:K41" si="0">MID(A45,3,LEN(A45)-2)</f>
        <v/>
      </c>
      <c r="L40" s="3440"/>
      <c r="M40" s="3440"/>
      <c r="N40" s="3441"/>
      <c r="O40" s="1341" t="str">
        <f>C45</f>
        <v>——</v>
      </c>
      <c r="P40" s="1911"/>
      <c r="V40" s="1911"/>
    </row>
    <row r="41" spans="1:26" ht="16.5" thickBot="1">
      <c r="A41" s="310" t="s">
        <v>356</v>
      </c>
      <c r="B41" s="311"/>
      <c r="C41" s="312" t="s">
        <v>357</v>
      </c>
      <c r="D41" s="313" t="s">
        <v>358</v>
      </c>
      <c r="E41" s="313" t="s">
        <v>359</v>
      </c>
      <c r="F41" s="314" t="s">
        <v>360</v>
      </c>
      <c r="G41" s="309"/>
      <c r="H41" s="309"/>
      <c r="I41" s="309"/>
      <c r="J41" s="1913"/>
      <c r="K41" s="3439" t="str">
        <f t="shared" si="0"/>
        <v/>
      </c>
      <c r="L41" s="3440"/>
      <c r="M41" s="3440"/>
      <c r="N41" s="3441"/>
      <c r="O41" s="1341" t="str">
        <f>C46</f>
        <v>——</v>
      </c>
      <c r="P41" s="1911"/>
      <c r="V41" s="1911"/>
    </row>
    <row r="42" spans="1:26" ht="29.25">
      <c r="A42" s="3383" t="s">
        <v>2056</v>
      </c>
      <c r="B42" s="3384"/>
      <c r="C42" s="262" t="e">
        <f ca="1">C32</f>
        <v>#REF!</v>
      </c>
      <c r="D42" s="315" t="e">
        <f ca="1">C33</f>
        <v>#REF!</v>
      </c>
      <c r="E42" s="315" t="e">
        <f ca="1">C34</f>
        <v>#REF!</v>
      </c>
      <c r="F42" s="316" t="e">
        <f ca="1">C35</f>
        <v>#REF!</v>
      </c>
      <c r="G42" s="309"/>
      <c r="H42" s="309"/>
      <c r="I42" s="317"/>
      <c r="J42" s="1913"/>
      <c r="K42" s="1225" t="s">
        <v>361</v>
      </c>
      <c r="L42" s="1930" t="s">
        <v>362</v>
      </c>
      <c r="M42" s="1226" t="s">
        <v>363</v>
      </c>
      <c r="N42" s="1931" t="s">
        <v>364</v>
      </c>
      <c r="O42" s="1932" t="s">
        <v>365</v>
      </c>
      <c r="P42" s="1911"/>
      <c r="V42" s="1911"/>
    </row>
    <row r="43" spans="1:26" ht="18">
      <c r="A43" s="3394" t="s">
        <v>2711</v>
      </c>
      <c r="B43" s="3395"/>
      <c r="C43" s="262">
        <f>IF(H33="正常操作",G33+G34+G35,G34+G35)</f>
        <v>0</v>
      </c>
      <c r="D43" s="315" t="s">
        <v>43</v>
      </c>
      <c r="E43" s="315" t="s">
        <v>44</v>
      </c>
      <c r="F43" s="316" t="s">
        <v>44</v>
      </c>
      <c r="G43" s="2583" t="s">
        <v>943</v>
      </c>
      <c r="H43" s="309"/>
      <c r="I43" s="317"/>
      <c r="J43" s="1913"/>
      <c r="K43" s="1227">
        <f>C4</f>
        <v>0</v>
      </c>
      <c r="L43" s="1228" t="e">
        <f ca="1">IF(L42="估价结果/万元",C19,C20)</f>
        <v>#REF!</v>
      </c>
      <c r="M43" s="1229" t="e">
        <f>C18</f>
        <v>#DIV/0!</v>
      </c>
      <c r="N43" s="1230" t="e">
        <f ca="1">IF(N42="测算结果/万元",G19,G20)</f>
        <v>#REF!</v>
      </c>
      <c r="O43" s="1231" t="e">
        <f ca="1">IF(O42="最终结果/万元",C32,C33)</f>
        <v>#REF!</v>
      </c>
      <c r="P43" s="1911"/>
      <c r="V43" s="1911"/>
    </row>
    <row r="44" spans="1:26" ht="18.75" thickBot="1">
      <c r="A44" s="3383" t="str">
        <f>IF(OR(项目基本情况!E8="抵押价格",项目基本情况!E8="已注销及未注销"),"3.抵押价格","——")</f>
        <v>——</v>
      </c>
      <c r="B44" s="3384"/>
      <c r="C44" s="262" t="str">
        <f>IF(A44="——","——",C42-C43)</f>
        <v>——</v>
      </c>
      <c r="D44" s="315" t="e">
        <f>ROUND(C44*10000/'数据-汇总表'!E3,0)</f>
        <v>#VALUE!</v>
      </c>
      <c r="E44" s="315" t="e">
        <f>ROUND(C44*10000/'数据-汇总表'!D3,0)</f>
        <v>#VALUE!</v>
      </c>
      <c r="F44" s="316" t="e">
        <f>ROUND(C44/('数据-汇总表'!D3/666.67),0)</f>
        <v>#VALUE!</v>
      </c>
      <c r="G44" s="309"/>
      <c r="H44" s="309"/>
      <c r="I44" s="317"/>
      <c r="J44" s="1913"/>
      <c r="K44" s="1232">
        <f>D4</f>
        <v>0</v>
      </c>
      <c r="L44" s="1233" t="e">
        <f ca="1">IF(L42="估价结果/万元",D19,D20)</f>
        <v>#REF!</v>
      </c>
      <c r="M44" s="1234" t="e">
        <f>D18</f>
        <v>#DIV/0!</v>
      </c>
      <c r="N44" s="1235"/>
      <c r="O44" s="1236"/>
      <c r="P44" s="1911"/>
      <c r="V44" s="1911"/>
    </row>
    <row r="45" spans="1:26" ht="15">
      <c r="A45" s="3389" t="str">
        <f>IF(项目基本情况!E8="已注销及未注销","4.抵押担保权已注销时的抵押价格",IF(项目基本情况!E8="已注销","3.抵押担保权已注销时的抵押价格","——"))</f>
        <v>——</v>
      </c>
      <c r="B45" s="3390"/>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385" t="str">
        <f>IF(项目基本情况!E9="抵押净值",IF(A45="——","4.抵押净值","5.抵押净值"),"——")</f>
        <v>——</v>
      </c>
      <c r="B46" s="3386"/>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33" t="s">
        <v>374</v>
      </c>
      <c r="B63" s="3434"/>
      <c r="C63" s="3435"/>
      <c r="D63" s="339" t="e">
        <f ca="1">ROUND(C42*F63,0)</f>
        <v>#REF!</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391" t="s">
        <v>378</v>
      </c>
      <c r="B64" s="3392"/>
      <c r="C64" s="3392"/>
      <c r="D64" s="3392"/>
      <c r="E64" s="3392"/>
      <c r="F64" s="3392"/>
      <c r="G64" s="3393"/>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387" t="s">
        <v>386</v>
      </c>
      <c r="B66" s="3388"/>
      <c r="C66" s="3388"/>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448" t="s">
        <v>385</v>
      </c>
      <c r="M66" s="3449"/>
      <c r="N66" s="2312"/>
      <c r="O66" s="2313"/>
      <c r="P66" s="2314"/>
      <c r="Q66" s="1911"/>
      <c r="R66" s="1911"/>
      <c r="S66" s="1911"/>
      <c r="T66" s="1911"/>
      <c r="U66" s="1911"/>
      <c r="V66" s="1911"/>
    </row>
    <row r="67" spans="1:22" ht="25.5" customHeight="1">
      <c r="A67" s="350" t="s">
        <v>389</v>
      </c>
      <c r="B67" s="3378" t="s">
        <v>390</v>
      </c>
      <c r="C67" s="3378"/>
      <c r="D67" s="351">
        <v>0</v>
      </c>
      <c r="E67" s="41" t="s">
        <v>391</v>
      </c>
      <c r="F67" s="62" t="s">
        <v>21</v>
      </c>
      <c r="G67" s="3436"/>
      <c r="H67" s="3006" t="s">
        <v>2965</v>
      </c>
      <c r="I67" s="3008"/>
      <c r="J67" s="1918"/>
      <c r="K67" s="1890">
        <v>2</v>
      </c>
      <c r="L67" s="3442" t="s">
        <v>388</v>
      </c>
      <c r="M67" s="3442"/>
      <c r="N67" s="1279">
        <f>'数据-取费表'!B2</f>
        <v>44458</v>
      </c>
      <c r="O67" s="1279"/>
      <c r="P67" s="1279"/>
      <c r="Q67" s="1911"/>
      <c r="R67" s="1911"/>
      <c r="S67" s="1911"/>
      <c r="T67" s="1911"/>
      <c r="U67" s="1911"/>
      <c r="V67" s="1911"/>
    </row>
    <row r="68" spans="1:22" ht="25.5" customHeight="1">
      <c r="A68" s="352"/>
      <c r="B68" s="3378" t="s">
        <v>393</v>
      </c>
      <c r="C68" s="3378"/>
      <c r="D68" s="353"/>
      <c r="E68" s="77"/>
      <c r="F68" s="354"/>
      <c r="G68" s="3437"/>
      <c r="H68" s="3007" t="s">
        <v>2966</v>
      </c>
      <c r="I68" s="3008"/>
      <c r="J68" s="1918"/>
      <c r="K68" s="1890">
        <v>3</v>
      </c>
      <c r="L68" s="3442" t="s">
        <v>392</v>
      </c>
      <c r="M68" s="3442"/>
      <c r="N68" s="1247" t="e">
        <f ca="1">C42</f>
        <v>#REF!</v>
      </c>
      <c r="O68" s="1247"/>
      <c r="P68" s="1247"/>
      <c r="Q68" s="1911"/>
      <c r="R68" s="1911"/>
      <c r="S68" s="1911"/>
      <c r="T68" s="1911"/>
      <c r="U68" s="1911"/>
      <c r="V68" s="1911"/>
    </row>
    <row r="69" spans="1:22" ht="23.45" customHeight="1">
      <c r="A69" s="355"/>
      <c r="B69" s="3378" t="s">
        <v>394</v>
      </c>
      <c r="C69" s="3378"/>
      <c r="D69" s="356"/>
      <c r="E69" s="73"/>
      <c r="F69" s="354"/>
      <c r="G69" s="3438"/>
      <c r="H69" s="3007" t="s">
        <v>2967</v>
      </c>
      <c r="I69" s="3008"/>
      <c r="J69" s="1918"/>
      <c r="K69" s="1248">
        <v>4</v>
      </c>
      <c r="L69" s="3452" t="s">
        <v>2863</v>
      </c>
      <c r="M69" s="3453"/>
      <c r="N69" s="1249" t="str">
        <f>C44</f>
        <v>——</v>
      </c>
      <c r="O69" s="1249"/>
      <c r="P69" s="1249"/>
      <c r="Q69" s="1911"/>
      <c r="R69" s="1911"/>
      <c r="S69" s="1911"/>
      <c r="T69" s="1911"/>
      <c r="U69" s="1911"/>
      <c r="V69" s="1911"/>
    </row>
    <row r="70" spans="1:22" ht="24" customHeight="1">
      <c r="A70" s="357" t="s">
        <v>395</v>
      </c>
      <c r="B70" s="3378" t="s">
        <v>396</v>
      </c>
      <c r="C70" s="3378"/>
      <c r="D70" s="356" t="e">
        <f ca="1">ROUND(D63*'数据-取费表'!B41/(1+'数据-取费表'!C42),0)</f>
        <v>#REF!</v>
      </c>
      <c r="E70" s="17" t="s">
        <v>397</v>
      </c>
      <c r="F70" s="358">
        <f>'数据-取费表'!B41</f>
        <v>5.5000000000000007E-2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379" t="s">
        <v>2996</v>
      </c>
      <c r="C71" s="3380"/>
      <c r="D71" s="356" t="e">
        <f ca="1">ROUND(D63*'数据-取费表'!B41/(1+'数据-取费表'!C42),0)</f>
        <v>#REF!</v>
      </c>
      <c r="E71" s="17" t="s">
        <v>397</v>
      </c>
      <c r="F71" s="358">
        <f>'数据-取费表'!B41</f>
        <v>5.5000000000000007E-2</v>
      </c>
      <c r="G71" s="359"/>
      <c r="H71" s="309"/>
      <c r="I71" s="1246"/>
      <c r="J71" s="1918"/>
      <c r="K71" s="2764" t="s">
        <v>398</v>
      </c>
      <c r="L71" s="3454" t="s">
        <v>399</v>
      </c>
      <c r="M71" s="3454"/>
      <c r="N71" s="2764" t="s">
        <v>400</v>
      </c>
      <c r="O71" s="2764" t="s">
        <v>401</v>
      </c>
      <c r="P71" s="2764" t="s">
        <v>402</v>
      </c>
      <c r="Q71" s="1911"/>
      <c r="R71" s="1911"/>
      <c r="S71" s="1911"/>
      <c r="T71" s="1911"/>
      <c r="U71" s="1911"/>
      <c r="V71" s="1911"/>
    </row>
    <row r="72" spans="1:22" ht="12" customHeight="1">
      <c r="A72" s="357" t="s">
        <v>405</v>
      </c>
      <c r="B72" s="3379" t="s">
        <v>2997</v>
      </c>
      <c r="C72" s="3380"/>
      <c r="D72" s="356" t="e">
        <f ca="1">C86</f>
        <v>#REF!</v>
      </c>
      <c r="E72" s="73" t="s">
        <v>406</v>
      </c>
      <c r="F72" s="358">
        <f>'数据-取费表'!B41</f>
        <v>5.5000000000000007E-2</v>
      </c>
      <c r="G72" s="359"/>
      <c r="H72" s="1252"/>
      <c r="I72" s="1246"/>
      <c r="J72" s="1918"/>
      <c r="K72" s="1890">
        <v>1</v>
      </c>
      <c r="L72" s="3429" t="s">
        <v>404</v>
      </c>
      <c r="M72" s="3429"/>
      <c r="N72" s="1250" t="b">
        <f>D66</f>
        <v>0</v>
      </c>
      <c r="O72" s="1773" t="str">
        <f>E66</f>
        <v>销售额×税（费）率</v>
      </c>
      <c r="P72" s="1251">
        <f>F66</f>
        <v>5.5000000000000007E-2</v>
      </c>
      <c r="Q72" s="1911"/>
      <c r="R72" s="1911"/>
      <c r="S72" s="1911"/>
      <c r="T72" s="1911"/>
      <c r="U72" s="1911"/>
      <c r="V72" s="1911"/>
    </row>
    <row r="73" spans="1:22" ht="24" customHeight="1">
      <c r="A73" s="3424" t="s">
        <v>408</v>
      </c>
      <c r="B73" s="3388"/>
      <c r="C73" s="3388"/>
      <c r="D73" s="360" t="e">
        <f ca="1">IF(H73="个人住宅",0,ROUND(D63*I73,0))</f>
        <v>#REF!</v>
      </c>
      <c r="E73" s="17" t="s">
        <v>409</v>
      </c>
      <c r="F73" s="358" t="str">
        <f>IF(H73="正常",I73,"免征")</f>
        <v>免征</v>
      </c>
      <c r="G73" s="359"/>
      <c r="H73" s="189"/>
      <c r="I73" s="358">
        <f>'数据-取费表'!B49</f>
        <v>5.0000000000000001E-4</v>
      </c>
      <c r="J73" s="1918"/>
      <c r="K73" s="1890">
        <v>2</v>
      </c>
      <c r="L73" s="3429" t="s">
        <v>407</v>
      </c>
      <c r="M73" s="3429"/>
      <c r="N73" s="1250" t="e">
        <f t="shared" ref="N73:P74" ca="1" si="1">D73</f>
        <v>#REF!</v>
      </c>
      <c r="O73" s="1773" t="str">
        <f t="shared" si="1"/>
        <v>销售额×税（费）率</v>
      </c>
      <c r="P73" s="1251" t="str">
        <f t="shared" si="1"/>
        <v>免征</v>
      </c>
      <c r="Q73" s="1911"/>
      <c r="R73" s="1911"/>
      <c r="S73" s="1911"/>
      <c r="T73" s="1911"/>
      <c r="U73" s="1911"/>
      <c r="V73" s="1911"/>
    </row>
    <row r="74" spans="1:22" ht="24.75">
      <c r="A74" s="3424" t="s">
        <v>411</v>
      </c>
      <c r="B74" s="3388"/>
      <c r="C74" s="3388"/>
      <c r="D74" s="360" t="e">
        <f ca="1">IF(H74="个人住宅",D75,D76)</f>
        <v>#REF!</v>
      </c>
      <c r="E74" s="17" t="s">
        <v>412</v>
      </c>
      <c r="F74" s="358" t="str">
        <f>IF(H74="正常",F76,"免征")</f>
        <v>免征</v>
      </c>
      <c r="G74" s="971" t="s">
        <v>413</v>
      </c>
      <c r="H74" s="361"/>
      <c r="I74" s="42"/>
      <c r="J74" s="1918"/>
      <c r="K74" s="1890">
        <v>3</v>
      </c>
      <c r="L74" s="3429" t="s">
        <v>410</v>
      </c>
      <c r="M74" s="3429"/>
      <c r="N74" s="1250" t="e">
        <f t="shared" ca="1" si="1"/>
        <v>#REF!</v>
      </c>
      <c r="O74" s="1773" t="str">
        <f t="shared" si="1"/>
        <v>增值额×税（费）率</v>
      </c>
      <c r="P74" s="1253" t="str">
        <f t="shared" si="1"/>
        <v>免征</v>
      </c>
      <c r="Q74" s="1911"/>
      <c r="R74" s="1911"/>
      <c r="S74" s="1911"/>
      <c r="T74" s="1911"/>
      <c r="U74" s="1911"/>
      <c r="V74" s="1911"/>
    </row>
    <row r="75" spans="1:22" ht="12.75">
      <c r="A75" s="357" t="s">
        <v>414</v>
      </c>
      <c r="B75" s="3376" t="s">
        <v>415</v>
      </c>
      <c r="C75" s="3412"/>
      <c r="D75" s="362">
        <v>0</v>
      </c>
      <c r="E75" s="41" t="s">
        <v>416</v>
      </c>
      <c r="F75" s="363"/>
      <c r="G75" s="359"/>
      <c r="H75" s="42"/>
      <c r="I75" s="42"/>
      <c r="J75" s="1918"/>
      <c r="K75" s="2758">
        <f>IF(H77="非个人房产","",4)</f>
        <v>4</v>
      </c>
      <c r="L75" s="3429" t="str">
        <f>IF(H77="非个人房产","——","个人所得税")</f>
        <v>个人所得税</v>
      </c>
      <c r="M75" s="3429"/>
      <c r="N75" s="1254">
        <f>D77</f>
        <v>0</v>
      </c>
      <c r="O75" s="1786" t="str">
        <f>E77</f>
        <v>差额计税</v>
      </c>
      <c r="P75" s="1255">
        <f>F77</f>
        <v>0.01</v>
      </c>
      <c r="Q75" s="1911"/>
      <c r="R75" s="1911"/>
      <c r="S75" s="1911"/>
      <c r="T75" s="1911"/>
      <c r="U75" s="1911"/>
      <c r="V75" s="1911"/>
    </row>
    <row r="76" spans="1:22" ht="24.75">
      <c r="A76" s="357" t="s">
        <v>395</v>
      </c>
      <c r="B76" s="3376" t="s">
        <v>418</v>
      </c>
      <c r="C76" s="3377"/>
      <c r="D76" s="360" t="e">
        <f ca="1">IF(H76="转让取得",C99,C115)</f>
        <v>#REF!</v>
      </c>
      <c r="E76" s="17" t="s">
        <v>419</v>
      </c>
      <c r="F76" s="53" t="s">
        <v>21</v>
      </c>
      <c r="G76" s="359"/>
      <c r="H76" s="361"/>
      <c r="I76" s="42"/>
      <c r="J76" s="1918"/>
      <c r="K76" s="2758" t="str">
        <f>IF(项目基本情况!K6="上海银行",IF(K75="",4,K75+1),"")</f>
        <v/>
      </c>
      <c r="L76" s="3444" t="str">
        <f>IF(项目基本情况!K6="上海银行","其他处置费用","")</f>
        <v/>
      </c>
      <c r="M76" s="3445"/>
      <c r="N76" s="1250" t="str">
        <f>IF(项目基本情况!K6="上海银行",N89,"")</f>
        <v/>
      </c>
      <c r="O76" s="3446" t="str">
        <f>IF(项目基本情况!K6="上海银行","包含处置中涉及的律师、诉讼、拍卖、评估等费用","")</f>
        <v/>
      </c>
      <c r="P76" s="3447"/>
      <c r="Q76" s="1911"/>
      <c r="R76" s="1911"/>
      <c r="S76" s="1911"/>
      <c r="T76" s="1911"/>
      <c r="U76" s="1911"/>
      <c r="V76" s="1911"/>
    </row>
    <row r="77" spans="1:22" ht="24.75" thickBot="1">
      <c r="A77" s="3431" t="s">
        <v>421</v>
      </c>
      <c r="B77" s="3432"/>
      <c r="C77" s="3432"/>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430">
        <f>IF(AND(K75="",K76=""),4,IF(项目基本情况!K6="上海银行",K76+1,K75+1))</f>
        <v>5</v>
      </c>
      <c r="L77" s="3429" t="s">
        <v>2864</v>
      </c>
      <c r="M77" s="2763" t="s">
        <v>417</v>
      </c>
      <c r="N77" s="1256"/>
      <c r="O77" s="1257">
        <f ca="1">SUMIF(N72:N76,"&lt;9e307")</f>
        <v>0</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30"/>
      <c r="L78" s="3429"/>
      <c r="M78" s="2763" t="s">
        <v>420</v>
      </c>
      <c r="N78" s="1256"/>
      <c r="O78" s="1257" t="str">
        <f ca="1">NUMBERSTRING(INT(O77*10000),2)&amp;"元整"</f>
        <v>零元整</v>
      </c>
      <c r="P78" s="1258"/>
      <c r="Q78" s="1911"/>
      <c r="R78" s="1911"/>
      <c r="S78" s="1911"/>
      <c r="T78" s="1911"/>
      <c r="U78" s="1911"/>
      <c r="V78" s="1911"/>
    </row>
    <row r="79" spans="1:22" ht="13.5" thickBot="1">
      <c r="A79" s="3396" t="s">
        <v>422</v>
      </c>
      <c r="B79" s="3396"/>
      <c r="C79" s="3396"/>
      <c r="D79" s="3396"/>
      <c r="E79" s="3396"/>
      <c r="F79" s="42"/>
      <c r="G79" s="42"/>
      <c r="H79" s="991"/>
      <c r="I79" s="309"/>
      <c r="J79" s="1918"/>
      <c r="K79" s="3450">
        <f>K77+1</f>
        <v>6</v>
      </c>
      <c r="L79" s="3429" t="s">
        <v>2865</v>
      </c>
      <c r="M79" s="2763" t="s">
        <v>417</v>
      </c>
      <c r="N79" s="1256"/>
      <c r="O79" s="1257" t="e">
        <f ca="1">N69-O77</f>
        <v>#VALUE!</v>
      </c>
      <c r="P79" s="1258"/>
      <c r="Q79" s="1911"/>
      <c r="R79" s="1911"/>
      <c r="S79" s="1911"/>
      <c r="T79" s="1911"/>
      <c r="U79" s="1911"/>
      <c r="V79" s="1911"/>
    </row>
    <row r="80" spans="1:22" ht="12.75">
      <c r="A80" s="3397" t="s">
        <v>423</v>
      </c>
      <c r="B80" s="3398"/>
      <c r="C80" s="982"/>
      <c r="D80" s="982" t="s">
        <v>424</v>
      </c>
      <c r="E80" s="364" t="s">
        <v>425</v>
      </c>
      <c r="F80" s="42"/>
      <c r="G80" s="42"/>
      <c r="H80" s="991"/>
      <c r="I80" s="309"/>
      <c r="J80" s="1911"/>
      <c r="K80" s="3451"/>
      <c r="L80" s="3429"/>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t="e">
        <f ca="1">ROUND((C82+C83)/(1+'数据-取费表'!C42),0)</f>
        <v>#REF!</v>
      </c>
      <c r="D81" s="367"/>
      <c r="E81" s="368"/>
      <c r="F81" s="42"/>
      <c r="G81" s="42"/>
      <c r="H81" s="991"/>
      <c r="I81" s="309"/>
      <c r="J81" s="1911"/>
      <c r="K81" s="2758">
        <f>K79+1</f>
        <v>7</v>
      </c>
      <c r="L81" s="3427" t="s">
        <v>2866</v>
      </c>
      <c r="M81" s="3428"/>
      <c r="N81" s="1260"/>
      <c r="O81" s="1261" t="e">
        <f ca="1">ROUND(O79*10000/'数据-汇总表'!E3,0)</f>
        <v>#VALUE!</v>
      </c>
      <c r="P81" s="1262"/>
      <c r="Q81" s="1911"/>
      <c r="R81" s="1911"/>
      <c r="S81" s="1911"/>
      <c r="T81" s="1911"/>
      <c r="U81" s="1911"/>
      <c r="V81" s="1911"/>
    </row>
    <row r="82" spans="1:26" ht="13.5" thickTop="1">
      <c r="A82" s="369" t="s">
        <v>1815</v>
      </c>
      <c r="B82" s="370" t="s">
        <v>427</v>
      </c>
      <c r="C82" s="371" t="e">
        <f ca="1">D63</f>
        <v>#REF!</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43"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2909</v>
      </c>
      <c r="F84" s="42"/>
      <c r="G84" s="42"/>
      <c r="H84" s="991"/>
      <c r="I84" s="309"/>
      <c r="J84" s="1911"/>
      <c r="K84" s="3443"/>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t="e">
        <f ca="1">C81-C84</f>
        <v>#REF!</v>
      </c>
      <c r="D85" s="372" t="s">
        <v>19</v>
      </c>
      <c r="E85" s="373"/>
      <c r="F85" s="42"/>
      <c r="G85" s="42"/>
      <c r="H85" s="991"/>
      <c r="I85" s="309"/>
      <c r="J85" s="1911"/>
      <c r="K85" s="3443"/>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t="e">
        <f ca="1">IF(C85&lt;=0,0,ROUND(C85*D86,0))</f>
        <v>#REF!</v>
      </c>
      <c r="D86" s="383">
        <f>'数据-取费表'!B41</f>
        <v>5.5000000000000007E-2</v>
      </c>
      <c r="E86" s="384"/>
      <c r="F86" s="42"/>
      <c r="G86" s="42"/>
      <c r="H86" s="991"/>
      <c r="I86" s="309"/>
      <c r="J86" s="1911"/>
      <c r="K86" s="3443"/>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43"/>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22" t="s">
        <v>432</v>
      </c>
      <c r="B88" s="3423"/>
      <c r="C88" s="3423"/>
      <c r="D88" s="3423"/>
      <c r="E88" s="3423"/>
      <c r="F88" s="3423"/>
      <c r="G88" s="3423"/>
      <c r="H88" s="3423"/>
      <c r="I88" s="1269"/>
      <c r="J88" s="1919"/>
      <c r="K88" s="3443"/>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397" t="s">
        <v>423</v>
      </c>
      <c r="B89" s="3398"/>
      <c r="C89" s="982"/>
      <c r="D89" s="982" t="s">
        <v>424</v>
      </c>
      <c r="E89" s="385" t="s">
        <v>433</v>
      </c>
      <c r="F89" s="386"/>
      <c r="G89" s="386"/>
      <c r="H89" s="387"/>
      <c r="I89" s="1270"/>
      <c r="J89" s="1921"/>
      <c r="K89" s="3443"/>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t="e">
        <f ca="1">ROUND(D63/(1+'数据-取费表'!C42),0)</f>
        <v>#REF!</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t="e">
        <f ca="1">C92+C96</f>
        <v>#REF!</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379" t="s">
        <v>441</v>
      </c>
      <c r="F94" s="3378"/>
      <c r="G94" s="3378"/>
      <c r="H94" s="3421"/>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t="e">
        <f ca="1">ROUND(D63*D96/(1+'数据-取费表'!C42),0)</f>
        <v>#REF!</v>
      </c>
      <c r="D96" s="400">
        <f>'数据-取费表'!B43</f>
        <v>5.000000000000001E-3</v>
      </c>
      <c r="E96" s="3413" t="s">
        <v>2413</v>
      </c>
      <c r="F96" s="3414"/>
      <c r="G96" s="3414"/>
      <c r="H96" s="3415"/>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t="e">
        <f ca="1">C90-C91</f>
        <v>#REF!</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22" t="s">
        <v>448</v>
      </c>
      <c r="B101" s="3423"/>
      <c r="C101" s="3423"/>
      <c r="D101" s="3423"/>
      <c r="E101" s="3423"/>
      <c r="F101" s="3423"/>
      <c r="G101" s="3423"/>
      <c r="H101" s="3423"/>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397" t="s">
        <v>423</v>
      </c>
      <c r="B102" s="3398"/>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t="e">
        <f ca="1">ROUND(D63/(1+'数据-取费表'!C42),0)</f>
        <v>#REF!</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t="e">
        <f ca="1">IF(H106="仅含出让金",C105+C108+C109+C110+C111+C112,C105+C109+C110+C111+C112)</f>
        <v>#REF!</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373" t="s">
        <v>2960</v>
      </c>
      <c r="H108" s="3374"/>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16" t="s">
        <v>456</v>
      </c>
      <c r="F109" s="3414"/>
      <c r="G109" s="3414"/>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16" t="s">
        <v>458</v>
      </c>
      <c r="F110" s="3414"/>
      <c r="G110" s="3414"/>
      <c r="H110" s="3415"/>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t="e">
        <f ca="1">ROUND(D63*D111/(1+'数据-取费表'!C42),0)</f>
        <v>#REF!</v>
      </c>
      <c r="D111" s="400">
        <f>'数据-取费表'!B43</f>
        <v>5.000000000000001E-3</v>
      </c>
      <c r="E111" s="3413" t="s">
        <v>2413</v>
      </c>
      <c r="F111" s="3414"/>
      <c r="G111" s="3414"/>
      <c r="H111" s="3415"/>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16" t="s">
        <v>2436</v>
      </c>
      <c r="F112" s="3414"/>
      <c r="G112" s="3414"/>
      <c r="H112" s="3415"/>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t="e">
        <f ca="1">ROUND(C103-C104,0)</f>
        <v>#REF!</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-2154</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-3821</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-262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-17</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1973</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59</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113</v>
      </c>
      <c r="D16" s="2561">
        <f ca="1">IF(B1="",'数据-汇总表'!E3,INDIRECT("'数据-取费表'!K"&amp;$K$1)+INDIRECT("'数据-取费表'!S"&amp;$K$1))</f>
        <v>5636.57</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30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2175</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5636.57</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0</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0</v>
      </c>
      <c r="D22" s="2561">
        <f ca="1">IF(B1="",'数据-汇总表'!E6,IF(INDIRECT("'数据-取费表'!c"&amp;$K$1)="住宅",INDIRECT("'数据-取费表'!s"&amp;$K$1),INDIRECT("'数据-取费表'!k"&amp;$K$1)+INDIRECT("'数据-取费表'!s"&amp;$K$1)))</f>
        <v>5636.57</v>
      </c>
      <c r="E22" s="53">
        <f>'数据-取费表'!B28</f>
        <v>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44</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0</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3.0499999999999999E-2</v>
      </c>
      <c r="D25" s="456" t="s">
        <v>2809</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2219</v>
      </c>
      <c r="D30" s="471">
        <f ca="1">C32</f>
        <v>3.0499999999999999E-2</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2219</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3.0499999999999999E-2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f ca="1">C35</f>
        <v>555</v>
      </c>
      <c r="D33" s="461">
        <f ca="1">C34</f>
        <v>0.2576</v>
      </c>
      <c r="E33" s="463" t="s">
        <v>489</v>
      </c>
      <c r="F33" s="473">
        <f ca="1">IF(B1="",'数据-取费表'!Q16,INDIRECT("'数据-取费表'!q"&amp;$K$1))</f>
        <v>0.25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0.2576</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f ca="1">ROUND((C18+C19+C20+C23+C24)*F33,0)</f>
        <v>555</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-2154</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2" t="str">
        <f>项目基本情况!B1</f>
        <v>出让国有建设用地使用权预评估</v>
      </c>
      <c r="C37" s="3282"/>
      <c r="D37" s="3282"/>
      <c r="E37" s="3282"/>
      <c r="F37" s="3282"/>
      <c r="G37" s="3282"/>
      <c r="H37" s="3282"/>
      <c r="I37" s="3282"/>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1973</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59</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113</v>
      </c>
      <c r="D16" s="445">
        <f ca="1">IF(B1="",'数据-汇总表'!E3,INDIRECT("'数据-取费表'!K"&amp;$K$1)+INDIRECT("'数据-取费表'!S"&amp;$K$1))</f>
        <v>5636.57</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30</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2175</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44</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52</v>
      </c>
      <c r="D21" s="461">
        <f ca="1">C23</f>
        <v>5.0000000000000001E-4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52</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5.0000000000000001E-4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f ca="1">C25</f>
        <v>555</v>
      </c>
      <c r="D24" s="483">
        <f ca="1">C26</f>
        <v>5.0000000000000001E-3</v>
      </c>
      <c r="E24" s="463" t="s">
        <v>501</v>
      </c>
      <c r="F24" s="473">
        <f ca="1">IF(B1="",'数据-取费表'!Q16,INDIRECT("'数据-取费表'!q"&amp;$K$1))</f>
        <v>0.25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f ca="1">ROUND((C18+C19)*F24,0)</f>
        <v>555</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f ca="1">ROUND(F20*F24,4)</f>
        <v>5.0000000000000001E-3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2810</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f ca="1">ROUND((C18+C19+C21+C24)/(1-C20-D21-D24-C27),0)</f>
        <v>3065</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J19" sqref="J19"/>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457" t="s">
        <v>2445</v>
      </c>
      <c r="C6" s="773">
        <f ca="1">ROUND(F6*F8*F7*(1-F9)/10000,0)</f>
        <v>0</v>
      </c>
      <c r="D6" s="2350" t="s">
        <v>2444</v>
      </c>
      <c r="E6" s="774" t="s">
        <v>1729</v>
      </c>
      <c r="F6" s="775">
        <f ca="1">INDIRECT("'数据-取费表'!u"&amp;$G$1)</f>
        <v>0</v>
      </c>
      <c r="G6" s="1945"/>
      <c r="H6" s="2357" t="s">
        <v>2450</v>
      </c>
      <c r="I6" s="3457" t="s">
        <v>2445</v>
      </c>
      <c r="J6" s="773">
        <f ca="1">ROUND(M6*M8*M7*(1-M9)/10000,0)</f>
        <v>0</v>
      </c>
      <c r="K6" s="339" t="s">
        <v>1728</v>
      </c>
      <c r="L6" s="774" t="s">
        <v>1729</v>
      </c>
      <c r="M6" s="775">
        <f ca="1">INDIRECT("'数据-取费表'!z"&amp;$G$1)</f>
        <v>0</v>
      </c>
    </row>
    <row r="7" spans="1:33" ht="18" customHeight="1">
      <c r="A7" s="2353"/>
      <c r="B7" s="3458"/>
      <c r="C7" s="778"/>
      <c r="D7" s="779"/>
      <c r="E7" s="774" t="s">
        <v>1730</v>
      </c>
      <c r="F7" s="775">
        <f ca="1">IF(INDIRECT("'数据-取费表'!ah"&amp;$G$1)="",INDIRECT("'数据-取费表'!k"&amp;$G$1),INDIRECT("'数据-取费表'!ah"&amp;$G$1))</f>
        <v>0</v>
      </c>
      <c r="G7" s="1945"/>
      <c r="H7" s="2342"/>
      <c r="I7" s="3458"/>
      <c r="J7" s="778"/>
      <c r="K7" s="779"/>
      <c r="L7" s="774" t="s">
        <v>1730</v>
      </c>
      <c r="M7" s="775">
        <f ca="1">F7</f>
        <v>0</v>
      </c>
    </row>
    <row r="8" spans="1:33" ht="18" customHeight="1">
      <c r="A8" s="2346"/>
      <c r="B8" s="3459"/>
      <c r="C8" s="778"/>
      <c r="D8" s="779"/>
      <c r="E8" s="774" t="s">
        <v>1731</v>
      </c>
      <c r="F8" s="775">
        <f ca="1">INDIRECT("'数据-取费表'!ai"&amp;$G$1)</f>
        <v>0</v>
      </c>
      <c r="G8" s="1945"/>
      <c r="H8" s="2342"/>
      <c r="I8" s="3459"/>
      <c r="J8" s="778"/>
      <c r="K8" s="779"/>
      <c r="L8" s="774" t="s">
        <v>1731</v>
      </c>
      <c r="M8" s="775">
        <f ca="1">INDIRECT("'数据-取费表'!ai"&amp;$G$1)</f>
        <v>0</v>
      </c>
    </row>
    <row r="9" spans="1:33" ht="18" customHeight="1">
      <c r="A9" s="776"/>
      <c r="B9" s="3460"/>
      <c r="C9" s="778"/>
      <c r="D9" s="779"/>
      <c r="E9" s="774" t="s">
        <v>1732</v>
      </c>
      <c r="F9" s="784">
        <f ca="1">INDIRECT("'数据-取费表'!w"&amp;$G$1)</f>
        <v>0</v>
      </c>
      <c r="G9" s="1945"/>
      <c r="H9" s="2358"/>
      <c r="I9" s="3459"/>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200</v>
      </c>
      <c r="G17" s="3261"/>
      <c r="H17" s="1578" t="s">
        <v>1821</v>
      </c>
      <c r="I17" s="774" t="s">
        <v>650</v>
      </c>
      <c r="J17" s="3019">
        <f ca="1">ROUND(IF(AND(项目基本情况!B11="自然人",项目基本情况!B10="北京市"),J6*M17/(1+'数据-取费表'!C42),J18+J19+J20),0)</f>
        <v>0</v>
      </c>
      <c r="K17" s="2338" t="s">
        <v>1744</v>
      </c>
      <c r="L17" s="2337" t="s">
        <v>1745</v>
      </c>
      <c r="M17" s="3018">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2517</v>
      </c>
      <c r="C23" s="53">
        <f ca="1">ROUND(IF('数据-取费表'!B22&lt;=1,(C19+C20)*F24*F23/2,(C19+C20)*(POWER((1+F24),F23/2)-1)),0)</f>
        <v>0</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5.0000000000000001E-4</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f ca="1">IF(项目基本情况!B11="企业","——",IF('数据-取费表'!B10="住宅",IF(F6*F7*F8/12/(1+'数据-取费表'!F30)&gt;100000,4%,2.5%),IF(F6*F7*F8/12/(1+'数据-取费表'!F30)&gt;100000,12%,7%)))</f>
        <v>7.0000000000000007E-2</v>
      </c>
      <c r="G31" s="1945"/>
      <c r="H31" s="3258" t="s">
        <v>2994</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0</v>
      </c>
      <c r="K53" s="3455" t="s">
        <v>2932</v>
      </c>
      <c r="L53" s="3456"/>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f ca="1">IF(项目基本情况!B11="企业","——",IF('数据-取费表'!B10="住宅",IF(F48*F49*F50/12/(1+'数据-取费表'!F30)&gt;100000,4%,2.5%),IF(F48*F49*F50/12/(1+'数据-取费表'!F30)&gt;100000,12%,7%)))</f>
        <v>7.0000000000000007E-2</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IF(D60="按租金收入计税",ROUND(C48*F60/(1+'数据-取费表'!C42),1),IF(D60="按房产原值计税",ROUND(C56*F60*0.7,1),INDIRECT("'数据-取费表'!Aj"&amp;$G$1)))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2911</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67" priority="7">
      <formula>$L$48&gt;$J$51</formula>
    </cfRule>
  </conditionalFormatting>
  <conditionalFormatting sqref="I55">
    <cfRule type="expression" dxfId="166" priority="8">
      <formula>$J$51&gt;$L$48</formula>
    </cfRule>
  </conditionalFormatting>
  <conditionalFormatting sqref="I60">
    <cfRule type="expression" dxfId="165" priority="6">
      <formula>$J$51&gt;$L$48</formula>
    </cfRule>
  </conditionalFormatting>
  <conditionalFormatting sqref="K60">
    <cfRule type="expression" dxfId="164" priority="5">
      <formula>$L$48&gt;$J$51</formula>
    </cfRule>
  </conditionalFormatting>
  <conditionalFormatting sqref="C11">
    <cfRule type="expression" dxfId="163" priority="4">
      <formula>$F$10="自定义"</formula>
    </cfRule>
  </conditionalFormatting>
  <conditionalFormatting sqref="J11">
    <cfRule type="expression" dxfId="162" priority="2">
      <formula>$M$10="自定义"</formula>
    </cfRule>
  </conditionalFormatting>
  <conditionalFormatting sqref="C53">
    <cfRule type="expression" dxfId="16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70" t="s">
        <v>516</v>
      </c>
      <c r="D6" s="3471"/>
      <c r="E6" s="3470" t="s">
        <v>517</v>
      </c>
      <c r="F6" s="3471"/>
      <c r="G6" s="3470" t="s">
        <v>518</v>
      </c>
      <c r="H6" s="3471"/>
      <c r="I6" s="3470" t="s">
        <v>519</v>
      </c>
      <c r="J6" s="3471"/>
      <c r="K6" s="508" t="s">
        <v>520</v>
      </c>
      <c r="L6" s="2015"/>
      <c r="M6" s="2014"/>
      <c r="N6" s="2014"/>
      <c r="O6" s="2016"/>
      <c r="P6" s="3472" t="s">
        <v>521</v>
      </c>
      <c r="Q6" s="3473"/>
      <c r="R6" s="3478" t="s">
        <v>517</v>
      </c>
      <c r="S6" s="3479"/>
      <c r="T6" s="3478" t="s">
        <v>518</v>
      </c>
      <c r="U6" s="3479"/>
      <c r="V6" s="3465" t="s">
        <v>519</v>
      </c>
      <c r="W6" s="3465"/>
      <c r="X6" s="1502"/>
      <c r="Y6" s="3478" t="s">
        <v>521</v>
      </c>
      <c r="Z6" s="3479"/>
      <c r="AA6" s="3467" t="s">
        <v>517</v>
      </c>
      <c r="AB6" s="3468" t="s">
        <v>518</v>
      </c>
      <c r="AC6" s="3467" t="s">
        <v>519</v>
      </c>
    </row>
    <row r="7" spans="1:30" ht="20.25">
      <c r="A7" s="509"/>
      <c r="B7" s="510"/>
      <c r="C7" s="3486" t="s">
        <v>2898</v>
      </c>
      <c r="D7" s="3487"/>
      <c r="E7" s="3486" t="s">
        <v>2899</v>
      </c>
      <c r="F7" s="3487"/>
      <c r="G7" s="3486" t="s">
        <v>2900</v>
      </c>
      <c r="H7" s="3487"/>
      <c r="I7" s="3486" t="s">
        <v>2901</v>
      </c>
      <c r="J7" s="3487"/>
      <c r="K7" s="508"/>
      <c r="L7" s="2015"/>
      <c r="M7" s="2014"/>
      <c r="N7" s="2014"/>
      <c r="O7" s="2016"/>
      <c r="P7" s="3474"/>
      <c r="Q7" s="3475"/>
      <c r="R7" s="3480"/>
      <c r="S7" s="3481"/>
      <c r="T7" s="3480"/>
      <c r="U7" s="3481"/>
      <c r="V7" s="3465"/>
      <c r="W7" s="3465"/>
      <c r="X7" s="1502"/>
      <c r="Y7" s="3480"/>
      <c r="Z7" s="3481"/>
      <c r="AA7" s="3468"/>
      <c r="AB7" s="3468"/>
      <c r="AC7" s="3468"/>
    </row>
    <row r="8" spans="1:30" ht="21" thickBot="1">
      <c r="A8" s="509"/>
      <c r="B8" s="510"/>
      <c r="C8" s="3488" t="s">
        <v>2902</v>
      </c>
      <c r="D8" s="3489"/>
      <c r="E8" s="3488" t="s">
        <v>2902</v>
      </c>
      <c r="F8" s="3489"/>
      <c r="G8" s="3484" t="s">
        <v>2902</v>
      </c>
      <c r="H8" s="3485"/>
      <c r="I8" s="3484" t="s">
        <v>2902</v>
      </c>
      <c r="J8" s="3485"/>
      <c r="K8" s="508" t="s">
        <v>522</v>
      </c>
      <c r="L8" s="2015"/>
      <c r="M8" s="2014"/>
      <c r="N8" s="2014"/>
      <c r="O8" s="2016"/>
      <c r="P8" s="3476"/>
      <c r="Q8" s="3477"/>
      <c r="R8" s="3480"/>
      <c r="S8" s="3481"/>
      <c r="T8" s="3482"/>
      <c r="U8" s="3483"/>
      <c r="V8" s="3465"/>
      <c r="W8" s="3465"/>
      <c r="X8" s="1502"/>
      <c r="Y8" s="3482"/>
      <c r="Z8" s="3483"/>
      <c r="AA8" s="3469"/>
      <c r="AB8" s="3469"/>
      <c r="AC8" s="3469"/>
    </row>
    <row r="9" spans="1:30" s="1203" customFormat="1" ht="21" thickBot="1">
      <c r="A9" s="2629"/>
      <c r="B9" s="2636" t="s">
        <v>523</v>
      </c>
      <c r="C9" s="2628">
        <f>'数据-取费表'!B2</f>
        <v>44458</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495" t="s">
        <v>524</v>
      </c>
      <c r="Q9" s="3497"/>
      <c r="R9" s="1503" t="s">
        <v>8</v>
      </c>
      <c r="S9" s="1504">
        <f t="shared" ref="S9:S17" si="0">F9</f>
        <v>0</v>
      </c>
      <c r="T9" s="1503" t="s">
        <v>8</v>
      </c>
      <c r="U9" s="1504">
        <f t="shared" ref="U9:U17" si="1">H9</f>
        <v>0</v>
      </c>
      <c r="V9" s="1503" t="s">
        <v>8</v>
      </c>
      <c r="W9" s="1504">
        <f t="shared" ref="W9:W17" si="2">J9</f>
        <v>0</v>
      </c>
      <c r="X9" s="1505"/>
      <c r="Y9" s="3495" t="s">
        <v>524</v>
      </c>
      <c r="Z9" s="3496"/>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495" t="s">
        <v>527</v>
      </c>
      <c r="Q10" s="3496"/>
      <c r="R10" s="1503" t="s">
        <v>8</v>
      </c>
      <c r="S10" s="1504">
        <f t="shared" si="0"/>
        <v>0</v>
      </c>
      <c r="T10" s="1503" t="s">
        <v>8</v>
      </c>
      <c r="U10" s="1504">
        <f t="shared" si="1"/>
        <v>0</v>
      </c>
      <c r="V10" s="1503" t="s">
        <v>8</v>
      </c>
      <c r="W10" s="1504">
        <f t="shared" si="2"/>
        <v>0</v>
      </c>
      <c r="X10" s="1505"/>
      <c r="Y10" s="3495" t="s">
        <v>527</v>
      </c>
      <c r="Z10" s="3496"/>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64" t="s">
        <v>529</v>
      </c>
      <c r="Q11" s="1134" t="str">
        <f t="shared" ref="Q11:Q17" si="6">B11</f>
        <v>用途</v>
      </c>
      <c r="R11" s="1503" t="s">
        <v>8</v>
      </c>
      <c r="S11" s="1504">
        <f t="shared" si="0"/>
        <v>100</v>
      </c>
      <c r="T11" s="1503" t="s">
        <v>8</v>
      </c>
      <c r="U11" s="1504">
        <f t="shared" si="1"/>
        <v>100</v>
      </c>
      <c r="V11" s="1503" t="s">
        <v>8</v>
      </c>
      <c r="W11" s="1504">
        <f t="shared" si="2"/>
        <v>100</v>
      </c>
      <c r="X11" s="1505"/>
      <c r="Y11" s="3404"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120</v>
      </c>
      <c r="G12" s="524"/>
      <c r="H12" s="253">
        <f>ROUND(100/'数据-取费表'!G16,0)</f>
        <v>120</v>
      </c>
      <c r="I12" s="524"/>
      <c r="J12" s="253">
        <f>ROUND(100/'数据-取费表'!G16,0)</f>
        <v>120</v>
      </c>
      <c r="K12" s="525"/>
      <c r="L12" s="2020"/>
      <c r="M12" s="2014"/>
      <c r="N12" s="2014"/>
      <c r="O12" s="2021"/>
      <c r="P12" s="3464"/>
      <c r="Q12" s="1134" t="str">
        <f t="shared" si="6"/>
        <v>土地使用年限（年）</v>
      </c>
      <c r="R12" s="1503" t="s">
        <v>8</v>
      </c>
      <c r="S12" s="1504">
        <f t="shared" si="0"/>
        <v>120</v>
      </c>
      <c r="T12" s="1503" t="s">
        <v>8</v>
      </c>
      <c r="U12" s="1504">
        <f t="shared" si="1"/>
        <v>120</v>
      </c>
      <c r="V12" s="1503" t="s">
        <v>8</v>
      </c>
      <c r="W12" s="1504">
        <f t="shared" si="2"/>
        <v>120</v>
      </c>
      <c r="X12" s="1505"/>
      <c r="Y12" s="3404"/>
      <c r="Z12" s="1133" t="str">
        <f t="shared" si="7"/>
        <v>土地使用年限（年）</v>
      </c>
      <c r="AA12" s="1506">
        <f t="shared" si="3"/>
        <v>0.83333333333333337</v>
      </c>
      <c r="AB12" s="1506">
        <f t="shared" si="4"/>
        <v>0.83333333333333337</v>
      </c>
      <c r="AC12" s="1506">
        <f t="shared" si="5"/>
        <v>0.83333333333333337</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464"/>
      <c r="Q13" s="1134" t="str">
        <f t="shared" si="6"/>
        <v>容积率</v>
      </c>
      <c r="R13" s="1503" t="s">
        <v>8</v>
      </c>
      <c r="S13" s="1504" t="e">
        <f t="shared" si="0"/>
        <v>#N/A</v>
      </c>
      <c r="T13" s="1503" t="s">
        <v>8</v>
      </c>
      <c r="U13" s="1504" t="e">
        <f t="shared" si="1"/>
        <v>#N/A</v>
      </c>
      <c r="V13" s="1503" t="s">
        <v>8</v>
      </c>
      <c r="W13" s="1504" t="e">
        <f t="shared" si="2"/>
        <v>#N/A</v>
      </c>
      <c r="X13" s="1505"/>
      <c r="Y13" s="3404"/>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464"/>
      <c r="Q14" s="1134" t="str">
        <f t="shared" si="6"/>
        <v>配建</v>
      </c>
      <c r="R14" s="1503" t="s">
        <v>8</v>
      </c>
      <c r="S14" s="1504">
        <f t="shared" si="0"/>
        <v>100</v>
      </c>
      <c r="T14" s="1503" t="s">
        <v>8</v>
      </c>
      <c r="U14" s="1504">
        <f t="shared" si="1"/>
        <v>100</v>
      </c>
      <c r="V14" s="1503" t="s">
        <v>8</v>
      </c>
      <c r="W14" s="1504">
        <f t="shared" si="2"/>
        <v>100</v>
      </c>
      <c r="X14" s="1505"/>
      <c r="Y14" s="3404"/>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64"/>
      <c r="Q15" s="1134">
        <f t="shared" si="6"/>
        <v>111</v>
      </c>
      <c r="R15" s="1503" t="s">
        <v>8</v>
      </c>
      <c r="S15" s="1504">
        <f t="shared" si="0"/>
        <v>100</v>
      </c>
      <c r="T15" s="1503" t="s">
        <v>8</v>
      </c>
      <c r="U15" s="1504">
        <f t="shared" si="1"/>
        <v>100</v>
      </c>
      <c r="V15" s="1503" t="s">
        <v>8</v>
      </c>
      <c r="W15" s="1504">
        <f t="shared" si="2"/>
        <v>100</v>
      </c>
      <c r="X15" s="1505"/>
      <c r="Y15" s="3404"/>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64"/>
      <c r="Q16" s="1134">
        <f t="shared" si="6"/>
        <v>111</v>
      </c>
      <c r="R16" s="1503" t="s">
        <v>8</v>
      </c>
      <c r="S16" s="1504">
        <f t="shared" si="0"/>
        <v>100</v>
      </c>
      <c r="T16" s="1503" t="s">
        <v>8</v>
      </c>
      <c r="U16" s="1504">
        <f t="shared" si="1"/>
        <v>100</v>
      </c>
      <c r="V16" s="1503" t="s">
        <v>8</v>
      </c>
      <c r="W16" s="1504">
        <f t="shared" si="2"/>
        <v>100</v>
      </c>
      <c r="X16" s="1505"/>
      <c r="Y16" s="3404"/>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98" t="s">
        <v>534</v>
      </c>
      <c r="Q17" s="1507" t="str">
        <f t="shared" si="6"/>
        <v>居住社区成熟度</v>
      </c>
      <c r="R17" s="1508" t="s">
        <v>8</v>
      </c>
      <c r="S17" s="1509">
        <f t="shared" si="0"/>
        <v>100</v>
      </c>
      <c r="T17" s="1508" t="s">
        <v>8</v>
      </c>
      <c r="U17" s="1509">
        <f t="shared" si="1"/>
        <v>100</v>
      </c>
      <c r="V17" s="1508" t="s">
        <v>8</v>
      </c>
      <c r="W17" s="1509">
        <f t="shared" si="2"/>
        <v>100</v>
      </c>
      <c r="X17" s="1502"/>
      <c r="Y17" s="3498"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499"/>
      <c r="Q18" s="1507"/>
      <c r="R18" s="1508"/>
      <c r="S18" s="1509"/>
      <c r="T18" s="1508"/>
      <c r="U18" s="1509"/>
      <c r="V18" s="1508"/>
      <c r="W18" s="1509"/>
      <c r="X18" s="1502"/>
      <c r="Y18" s="3499"/>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499"/>
      <c r="Q19" s="1507" t="str">
        <f>B19</f>
        <v>商业繁华度</v>
      </c>
      <c r="R19" s="1508" t="s">
        <v>8</v>
      </c>
      <c r="S19" s="1509">
        <f>F19</f>
        <v>100</v>
      </c>
      <c r="T19" s="1508" t="s">
        <v>8</v>
      </c>
      <c r="U19" s="1509">
        <f>H19</f>
        <v>100</v>
      </c>
      <c r="V19" s="1508" t="s">
        <v>8</v>
      </c>
      <c r="W19" s="1509">
        <f>J19</f>
        <v>100</v>
      </c>
      <c r="X19" s="1502"/>
      <c r="Y19" s="3499"/>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499"/>
      <c r="Q20" s="1507"/>
      <c r="R20" s="1508"/>
      <c r="S20" s="1509"/>
      <c r="T20" s="1508"/>
      <c r="U20" s="1509"/>
      <c r="V20" s="1508"/>
      <c r="W20" s="1509"/>
      <c r="X20" s="1502"/>
      <c r="Y20" s="3499"/>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99"/>
      <c r="Q21" s="1507" t="str">
        <f>B21</f>
        <v>办公集聚程度</v>
      </c>
      <c r="R21" s="1508" t="s">
        <v>8</v>
      </c>
      <c r="S21" s="1509">
        <f>F21</f>
        <v>100</v>
      </c>
      <c r="T21" s="1508" t="s">
        <v>8</v>
      </c>
      <c r="U21" s="1509">
        <f>H21</f>
        <v>100</v>
      </c>
      <c r="V21" s="1508" t="s">
        <v>8</v>
      </c>
      <c r="W21" s="1509">
        <f>J21</f>
        <v>100</v>
      </c>
      <c r="X21" s="1502"/>
      <c r="Y21" s="3499"/>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499"/>
      <c r="Q22" s="1507"/>
      <c r="R22" s="1508"/>
      <c r="S22" s="1509"/>
      <c r="T22" s="1508"/>
      <c r="U22" s="1509"/>
      <c r="V22" s="1508"/>
      <c r="W22" s="1509"/>
      <c r="X22" s="1502"/>
      <c r="Y22" s="3499"/>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499"/>
      <c r="Q23" s="1507" t="str">
        <f>B23</f>
        <v>交通便捷度</v>
      </c>
      <c r="R23" s="1508" t="s">
        <v>8</v>
      </c>
      <c r="S23" s="1509">
        <f>F23</f>
        <v>100</v>
      </c>
      <c r="T23" s="1508" t="s">
        <v>8</v>
      </c>
      <c r="U23" s="1509">
        <f>H23</f>
        <v>100</v>
      </c>
      <c r="V23" s="1508" t="s">
        <v>8</v>
      </c>
      <c r="W23" s="1509">
        <f>J23</f>
        <v>100</v>
      </c>
      <c r="X23" s="1502"/>
      <c r="Y23" s="3499"/>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499"/>
      <c r="Q24" s="1507"/>
      <c r="R24" s="1508"/>
      <c r="S24" s="1509"/>
      <c r="T24" s="1508"/>
      <c r="U24" s="1509"/>
      <c r="V24" s="1508"/>
      <c r="W24" s="1509"/>
      <c r="X24" s="1502"/>
      <c r="Y24" s="3499"/>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99"/>
      <c r="Q25" s="1507" t="str">
        <f t="shared" ref="Q25:Q39" si="8">B25</f>
        <v>区域土地利用方向</v>
      </c>
      <c r="R25" s="1508" t="s">
        <v>8</v>
      </c>
      <c r="S25" s="1509">
        <f>F25</f>
        <v>100</v>
      </c>
      <c r="T25" s="1508" t="s">
        <v>8</v>
      </c>
      <c r="U25" s="1509">
        <f>H25</f>
        <v>100</v>
      </c>
      <c r="V25" s="1508" t="s">
        <v>8</v>
      </c>
      <c r="W25" s="1509">
        <f>J25</f>
        <v>100</v>
      </c>
      <c r="X25" s="1502"/>
      <c r="Y25" s="3499"/>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499"/>
      <c r="Q26" s="1507"/>
      <c r="R26" s="1508"/>
      <c r="S26" s="1509"/>
      <c r="T26" s="1508"/>
      <c r="U26" s="1509"/>
      <c r="V26" s="1508"/>
      <c r="W26" s="1509"/>
      <c r="X26" s="1502"/>
      <c r="Y26" s="3499"/>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499"/>
      <c r="Q27" s="1507" t="str">
        <f t="shared" si="8"/>
        <v>自然及人文环境状况</v>
      </c>
      <c r="R27" s="1508" t="s">
        <v>8</v>
      </c>
      <c r="S27" s="1509">
        <f>F27</f>
        <v>100</v>
      </c>
      <c r="T27" s="1508" t="s">
        <v>8</v>
      </c>
      <c r="U27" s="1509">
        <f>H27</f>
        <v>100</v>
      </c>
      <c r="V27" s="1508" t="s">
        <v>8</v>
      </c>
      <c r="W27" s="1509">
        <f>J27</f>
        <v>100</v>
      </c>
      <c r="X27" s="1502"/>
      <c r="Y27" s="3499"/>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499"/>
      <c r="Q28" s="1507"/>
      <c r="R28" s="1508"/>
      <c r="S28" s="1509"/>
      <c r="T28" s="1508"/>
      <c r="U28" s="1509"/>
      <c r="V28" s="1508"/>
      <c r="W28" s="1509"/>
      <c r="X28" s="1502"/>
      <c r="Y28" s="3499"/>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99"/>
      <c r="Q29" s="1134" t="str">
        <f t="shared" si="8"/>
        <v>公共配套设施</v>
      </c>
      <c r="R29" s="1503" t="s">
        <v>8</v>
      </c>
      <c r="S29" s="1504">
        <f>F29</f>
        <v>100</v>
      </c>
      <c r="T29" s="1503" t="s">
        <v>8</v>
      </c>
      <c r="U29" s="1504">
        <f>H29</f>
        <v>100</v>
      </c>
      <c r="V29" s="1503" t="s">
        <v>8</v>
      </c>
      <c r="W29" s="1504">
        <f>J29</f>
        <v>100</v>
      </c>
      <c r="X29" s="1505"/>
      <c r="Y29" s="3499"/>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499"/>
      <c r="Q30" s="1134"/>
      <c r="R30" s="1503"/>
      <c r="S30" s="1504"/>
      <c r="T30" s="1503"/>
      <c r="U30" s="1504"/>
      <c r="V30" s="1503"/>
      <c r="W30" s="1504"/>
      <c r="X30" s="1505"/>
      <c r="Y30" s="3499"/>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99"/>
      <c r="Q31" s="2428" t="str">
        <f t="shared" ref="Q31" si="9">B31</f>
        <v>基础设施水平</v>
      </c>
      <c r="R31" s="1503" t="s">
        <v>8</v>
      </c>
      <c r="S31" s="1504">
        <f>F31</f>
        <v>100</v>
      </c>
      <c r="T31" s="1503" t="s">
        <v>8</v>
      </c>
      <c r="U31" s="1504">
        <f>H31</f>
        <v>100</v>
      </c>
      <c r="V31" s="1503" t="s">
        <v>8</v>
      </c>
      <c r="W31" s="1504">
        <f>J31</f>
        <v>100</v>
      </c>
      <c r="X31" s="1505"/>
      <c r="Y31" s="3499"/>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499"/>
      <c r="Q32" s="2428"/>
      <c r="R32" s="1503"/>
      <c r="S32" s="1504"/>
      <c r="T32" s="1503"/>
      <c r="U32" s="1504"/>
      <c r="V32" s="1503"/>
      <c r="W32" s="1504"/>
      <c r="X32" s="1505"/>
      <c r="Y32" s="3499"/>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99"/>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99"/>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99"/>
      <c r="Q34" s="1507" t="str">
        <f t="shared" si="8"/>
        <v>毗邻道路的类型与等级</v>
      </c>
      <c r="R34" s="1508" t="s">
        <v>8</v>
      </c>
      <c r="S34" s="1509">
        <f t="shared" si="10"/>
        <v>100</v>
      </c>
      <c r="T34" s="1508" t="s">
        <v>8</v>
      </c>
      <c r="U34" s="1509">
        <f t="shared" si="11"/>
        <v>100</v>
      </c>
      <c r="V34" s="1508" t="s">
        <v>8</v>
      </c>
      <c r="W34" s="1509">
        <f t="shared" si="12"/>
        <v>100</v>
      </c>
      <c r="X34" s="1502"/>
      <c r="Y34" s="3499"/>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499"/>
      <c r="Q35" s="1507"/>
      <c r="R35" s="1508"/>
      <c r="S35" s="1509"/>
      <c r="T35" s="1508"/>
      <c r="U35" s="1509"/>
      <c r="V35" s="1508"/>
      <c r="W35" s="1509"/>
      <c r="X35" s="1502"/>
      <c r="Y35" s="3499"/>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99"/>
      <c r="Q36" s="1507" t="str">
        <f t="shared" si="8"/>
        <v>土地级别</v>
      </c>
      <c r="R36" s="1508" t="s">
        <v>8</v>
      </c>
      <c r="S36" s="1509">
        <f t="shared" si="10"/>
        <v>100</v>
      </c>
      <c r="T36" s="1508" t="s">
        <v>8</v>
      </c>
      <c r="U36" s="1509">
        <f t="shared" si="11"/>
        <v>100</v>
      </c>
      <c r="V36" s="1508" t="s">
        <v>8</v>
      </c>
      <c r="W36" s="1509">
        <f t="shared" si="12"/>
        <v>100</v>
      </c>
      <c r="X36" s="1502"/>
      <c r="Y36" s="3499"/>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99"/>
      <c r="Q37" s="1507">
        <f t="shared" si="8"/>
        <v>111</v>
      </c>
      <c r="R37" s="1508" t="s">
        <v>8</v>
      </c>
      <c r="S37" s="1509">
        <f t="shared" si="10"/>
        <v>100</v>
      </c>
      <c r="T37" s="1508" t="s">
        <v>8</v>
      </c>
      <c r="U37" s="1509">
        <f t="shared" si="11"/>
        <v>100</v>
      </c>
      <c r="V37" s="1508" t="s">
        <v>8</v>
      </c>
      <c r="W37" s="1509">
        <f t="shared" si="12"/>
        <v>100</v>
      </c>
      <c r="X37" s="1502"/>
      <c r="Y37" s="3499"/>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00" t="s">
        <v>544</v>
      </c>
      <c r="Q38" s="1507">
        <f t="shared" si="8"/>
        <v>111</v>
      </c>
      <c r="R38" s="1508" t="s">
        <v>8</v>
      </c>
      <c r="S38" s="1509">
        <f t="shared" si="10"/>
        <v>100</v>
      </c>
      <c r="T38" s="1508" t="s">
        <v>8</v>
      </c>
      <c r="U38" s="1509">
        <f t="shared" si="11"/>
        <v>100</v>
      </c>
      <c r="V38" s="1508" t="s">
        <v>8</v>
      </c>
      <c r="W38" s="1509">
        <f t="shared" si="12"/>
        <v>100</v>
      </c>
      <c r="X38" s="1502"/>
      <c r="Y38" s="3501"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01"/>
      <c r="Q39" s="1507">
        <f t="shared" si="8"/>
        <v>111</v>
      </c>
      <c r="R39" s="1512" t="s">
        <v>8</v>
      </c>
      <c r="S39" s="1513">
        <f t="shared" si="10"/>
        <v>100</v>
      </c>
      <c r="T39" s="1512" t="s">
        <v>8</v>
      </c>
      <c r="U39" s="1513">
        <f t="shared" si="11"/>
        <v>100</v>
      </c>
      <c r="V39" s="1512" t="s">
        <v>8</v>
      </c>
      <c r="W39" s="1513">
        <f t="shared" si="12"/>
        <v>100</v>
      </c>
      <c r="X39" s="1514"/>
      <c r="Y39" s="3501"/>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01"/>
      <c r="Q40" s="1507" t="str">
        <f>B40</f>
        <v>宗地面积</v>
      </c>
      <c r="R40" s="1508" t="s">
        <v>8</v>
      </c>
      <c r="S40" s="1509" t="e">
        <f t="shared" si="10"/>
        <v>#N/A</v>
      </c>
      <c r="T40" s="1508" t="s">
        <v>8</v>
      </c>
      <c r="U40" s="1509" t="e">
        <f t="shared" si="11"/>
        <v>#N/A</v>
      </c>
      <c r="V40" s="1508" t="s">
        <v>8</v>
      </c>
      <c r="W40" s="1509" t="e">
        <f t="shared" si="12"/>
        <v>#N/A</v>
      </c>
      <c r="X40" s="1502"/>
      <c r="Y40" s="3501"/>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01"/>
      <c r="Q41" s="1507" t="str">
        <f t="shared" ref="Q41:Q47" si="14">B41</f>
        <v>宗地形状</v>
      </c>
      <c r="R41" s="1508" t="s">
        <v>8</v>
      </c>
      <c r="S41" s="1509">
        <f t="shared" si="10"/>
        <v>100</v>
      </c>
      <c r="T41" s="1508" t="s">
        <v>8</v>
      </c>
      <c r="U41" s="1509">
        <f t="shared" si="11"/>
        <v>100</v>
      </c>
      <c r="V41" s="1508" t="s">
        <v>8</v>
      </c>
      <c r="W41" s="1509">
        <f t="shared" si="12"/>
        <v>100</v>
      </c>
      <c r="X41" s="1502"/>
      <c r="Y41" s="3501"/>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01"/>
      <c r="Q42" s="1507" t="str">
        <f t="shared" si="14"/>
        <v>临街宽度及深度</v>
      </c>
      <c r="R42" s="1508" t="s">
        <v>8</v>
      </c>
      <c r="S42" s="1509">
        <f t="shared" si="10"/>
        <v>100</v>
      </c>
      <c r="T42" s="1508" t="s">
        <v>8</v>
      </c>
      <c r="U42" s="1509">
        <f t="shared" si="11"/>
        <v>100</v>
      </c>
      <c r="V42" s="1508" t="s">
        <v>8</v>
      </c>
      <c r="W42" s="1509">
        <f t="shared" si="12"/>
        <v>100</v>
      </c>
      <c r="X42" s="1502"/>
      <c r="Y42" s="3501"/>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01"/>
      <c r="Q43" s="1507" t="str">
        <f t="shared" si="14"/>
        <v>宗地开发程度</v>
      </c>
      <c r="R43" s="1503" t="s">
        <v>8</v>
      </c>
      <c r="S43" s="1504">
        <f t="shared" si="10"/>
        <v>100</v>
      </c>
      <c r="T43" s="1503" t="s">
        <v>8</v>
      </c>
      <c r="U43" s="1504">
        <f t="shared" si="11"/>
        <v>100</v>
      </c>
      <c r="V43" s="1503" t="s">
        <v>8</v>
      </c>
      <c r="W43" s="1504">
        <f t="shared" si="12"/>
        <v>100</v>
      </c>
      <c r="X43" s="1505"/>
      <c r="Y43" s="3501"/>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01" t="s">
        <v>544</v>
      </c>
      <c r="Q44" s="1507" t="str">
        <f t="shared" si="14"/>
        <v>工程地质条件</v>
      </c>
      <c r="R44" s="1508" t="s">
        <v>8</v>
      </c>
      <c r="S44" s="1509">
        <f t="shared" si="10"/>
        <v>100</v>
      </c>
      <c r="T44" s="1508" t="s">
        <v>8</v>
      </c>
      <c r="U44" s="1509">
        <f t="shared" si="11"/>
        <v>100</v>
      </c>
      <c r="V44" s="1508" t="s">
        <v>8</v>
      </c>
      <c r="W44" s="1509">
        <f t="shared" si="12"/>
        <v>100</v>
      </c>
      <c r="X44" s="1502"/>
      <c r="Y44" s="3501"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01"/>
      <c r="Q45" s="1507">
        <f t="shared" si="14"/>
        <v>111</v>
      </c>
      <c r="R45" s="1508" t="s">
        <v>8</v>
      </c>
      <c r="S45" s="1509">
        <f t="shared" si="10"/>
        <v>100</v>
      </c>
      <c r="T45" s="1508" t="s">
        <v>8</v>
      </c>
      <c r="U45" s="1509">
        <f t="shared" si="11"/>
        <v>100</v>
      </c>
      <c r="V45" s="1508" t="s">
        <v>8</v>
      </c>
      <c r="W45" s="1509">
        <f t="shared" si="12"/>
        <v>100</v>
      </c>
      <c r="X45" s="1502"/>
      <c r="Y45" s="3501"/>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01"/>
      <c r="Q46" s="1507">
        <f t="shared" si="14"/>
        <v>111</v>
      </c>
      <c r="R46" s="1508" t="s">
        <v>8</v>
      </c>
      <c r="S46" s="1509">
        <f t="shared" si="10"/>
        <v>100</v>
      </c>
      <c r="T46" s="1508" t="s">
        <v>8</v>
      </c>
      <c r="U46" s="1509">
        <f t="shared" si="11"/>
        <v>100</v>
      </c>
      <c r="V46" s="1508" t="s">
        <v>8</v>
      </c>
      <c r="W46" s="1509">
        <f t="shared" si="12"/>
        <v>100</v>
      </c>
      <c r="X46" s="1502"/>
      <c r="Y46" s="3501"/>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01"/>
      <c r="Q47" s="1507">
        <f t="shared" si="14"/>
        <v>111</v>
      </c>
      <c r="R47" s="1512" t="s">
        <v>8</v>
      </c>
      <c r="S47" s="1513">
        <f t="shared" si="10"/>
        <v>100</v>
      </c>
      <c r="T47" s="1512" t="s">
        <v>8</v>
      </c>
      <c r="U47" s="1513">
        <f t="shared" si="11"/>
        <v>100</v>
      </c>
      <c r="V47" s="1512" t="s">
        <v>8</v>
      </c>
      <c r="W47" s="1513">
        <f t="shared" si="12"/>
        <v>100</v>
      </c>
      <c r="X47" s="1514"/>
      <c r="Y47" s="3501"/>
      <c r="Z47" s="1515">
        <f t="shared" si="13"/>
        <v>111</v>
      </c>
      <c r="AA47" s="1511">
        <f t="shared" si="3"/>
        <v>1</v>
      </c>
      <c r="AB47" s="1511">
        <f t="shared" si="4"/>
        <v>1</v>
      </c>
      <c r="AC47" s="1511">
        <f t="shared" si="5"/>
        <v>1</v>
      </c>
    </row>
    <row r="48" spans="1:29" ht="20.25">
      <c r="A48" s="601" t="s">
        <v>550</v>
      </c>
      <c r="B48" s="602" t="s">
        <v>2903</v>
      </c>
      <c r="C48" s="603" t="s">
        <v>1</v>
      </c>
      <c r="D48" s="604"/>
      <c r="E48" s="605"/>
      <c r="F48" s="606"/>
      <c r="G48" s="607"/>
      <c r="H48" s="608"/>
      <c r="I48" s="605"/>
      <c r="J48" s="608"/>
      <c r="K48" s="1294"/>
      <c r="L48" s="2026"/>
      <c r="M48" s="2014"/>
      <c r="N48" s="2014"/>
      <c r="O48" s="2027"/>
      <c r="P48" s="3464" t="str">
        <f>A48</f>
        <v>成交单价</v>
      </c>
      <c r="Q48" s="3464"/>
      <c r="R48" s="3465">
        <f>E48</f>
        <v>0</v>
      </c>
      <c r="S48" s="3465"/>
      <c r="T48" s="3465">
        <f>G48</f>
        <v>0</v>
      </c>
      <c r="U48" s="3465"/>
      <c r="V48" s="3465">
        <f>I48</f>
        <v>0</v>
      </c>
      <c r="W48" s="3465"/>
      <c r="X48" s="1497"/>
      <c r="Y48" s="1516"/>
      <c r="Z48" s="1497"/>
      <c r="AA48" s="1497"/>
      <c r="AB48" s="1497"/>
      <c r="AC48" s="1497"/>
    </row>
    <row r="49" spans="1:29" ht="21"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464" t="str">
        <f>A49</f>
        <v>比较价格（元/平方米）</v>
      </c>
      <c r="Q49" s="3464"/>
      <c r="R49" s="3466" t="e">
        <f>ROUND(PRODUCT(R48,AA9:AA47),0)</f>
        <v>#DIV/0!</v>
      </c>
      <c r="S49" s="3466"/>
      <c r="T49" s="3466" t="e">
        <f>ROUND(PRODUCT(T48,AB9:AB47),0)</f>
        <v>#DIV/0!</v>
      </c>
      <c r="U49" s="3466"/>
      <c r="V49" s="3466" t="e">
        <f>ROUND(PRODUCT(V48,AC9:AC47),0)</f>
        <v>#DIV/0!</v>
      </c>
      <c r="W49" s="3466"/>
      <c r="X49" s="1497"/>
      <c r="Y49" s="1497"/>
      <c r="Z49" s="1497"/>
      <c r="AA49" s="1497"/>
      <c r="AB49" s="1497"/>
      <c r="AC49" s="1497"/>
    </row>
    <row r="50" spans="1:29" ht="21" thickBot="1">
      <c r="A50" s="613" t="s">
        <v>2904</v>
      </c>
      <c r="B50" s="614"/>
      <c r="C50" s="615" t="e">
        <f>R50</f>
        <v>#DIV/0!</v>
      </c>
      <c r="D50" s="615"/>
      <c r="E50" s="615"/>
      <c r="F50" s="615"/>
      <c r="G50" s="615"/>
      <c r="H50" s="615"/>
      <c r="I50" s="615"/>
      <c r="J50" s="615"/>
      <c r="K50" s="1295"/>
      <c r="L50" s="2026"/>
      <c r="M50" s="2014"/>
      <c r="N50" s="2014"/>
      <c r="O50" s="2027"/>
      <c r="P50" s="3461" t="str">
        <f>A50</f>
        <v>估价对象XX用房的比较价格（楼面单价，元/平方米）</v>
      </c>
      <c r="Q50" s="3462"/>
      <c r="R50" s="3463" t="e">
        <f>ROUND(IF(D49="简单平均",AVERAGE(R49:W49),R49*F49+T49*H49+V49*J49),0)</f>
        <v>#DIV/0!</v>
      </c>
      <c r="S50" s="3463"/>
      <c r="T50" s="3463"/>
      <c r="U50" s="3463"/>
      <c r="V50" s="3463"/>
      <c r="W50" s="3463"/>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490" t="s">
        <v>2269</v>
      </c>
      <c r="H57" s="3491"/>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5636.57</v>
      </c>
      <c r="F58" s="628" t="e">
        <f t="shared" ref="F58:F67" si="15">ROUND(B58*E58/10000,0)</f>
        <v>#DIV/0!</v>
      </c>
      <c r="G58" s="3492"/>
      <c r="H58" s="3493"/>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494"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494"/>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494"/>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494"/>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0.25</v>
      </c>
      <c r="D63" s="2109">
        <v>0.25</v>
      </c>
      <c r="E63" s="633">
        <f>'数据-汇总表'!E11</f>
        <v>0</v>
      </c>
      <c r="F63" s="628" t="e">
        <f t="shared" si="15"/>
        <v>#DIV/0!</v>
      </c>
      <c r="G63" s="1859" t="s">
        <v>2271</v>
      </c>
      <c r="H63" s="1862" t="str">
        <f>项目基本情况!C43</f>
        <v>七级</v>
      </c>
      <c r="I63" s="1495">
        <f>SUMIF(修正!$A$45:$A$56,H63,修正!F45:F56)</f>
        <v>0.25</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0.25</v>
      </c>
      <c r="D64" s="2109">
        <v>0.25</v>
      </c>
      <c r="E64" s="633">
        <f>'数据-汇总表'!E12</f>
        <v>0</v>
      </c>
      <c r="F64" s="628" t="e">
        <f t="shared" si="15"/>
        <v>#DIV/0!</v>
      </c>
      <c r="G64" s="1860" t="s">
        <v>1668</v>
      </c>
      <c r="H64" s="1858" t="str">
        <f>IF(G64="商业",项目基本情况!B43,IF(G64="办公",项目基本情况!C43,IF(G64="住宅",项目基本情况!D43,项目基本情况!E43)))</f>
        <v>七级</v>
      </c>
      <c r="I64" s="1495">
        <f>SUMIF(修正!$A$45:$A$56,H64,修正!G45:G56)</f>
        <v>0.25</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0.2</v>
      </c>
      <c r="D67" s="2109">
        <v>0.25</v>
      </c>
      <c r="E67" s="633">
        <f>'数据-汇总表'!E15</f>
        <v>0</v>
      </c>
      <c r="F67" s="628" t="e">
        <f t="shared" si="15"/>
        <v>#DIV/0!</v>
      </c>
      <c r="G67" s="1861" t="s">
        <v>2271</v>
      </c>
      <c r="H67" s="1863" t="str">
        <f>项目基本情况!C43</f>
        <v>七级</v>
      </c>
      <c r="I67" s="1495">
        <f>SUMIF(修正!$A$45:$A$56,H67,修正!H45:H56)</f>
        <v>0.2</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82285.63</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2021-9-1</v>
      </c>
      <c r="D70" s="2516">
        <f>EDATE(C70,-3)</f>
        <v>44348</v>
      </c>
      <c r="E70" s="2516">
        <f t="shared" ref="E70:N70" si="18">EDATE(D70,-3)</f>
        <v>44256</v>
      </c>
      <c r="F70" s="2516">
        <f t="shared" si="18"/>
        <v>44166</v>
      </c>
      <c r="G70" s="2516">
        <f t="shared" si="18"/>
        <v>44075</v>
      </c>
      <c r="H70" s="2516">
        <f t="shared" si="18"/>
        <v>43983</v>
      </c>
      <c r="I70" s="2516">
        <f t="shared" si="18"/>
        <v>43891</v>
      </c>
      <c r="J70" s="2516">
        <f t="shared" si="18"/>
        <v>43800</v>
      </c>
      <c r="K70" s="2516">
        <f t="shared" si="18"/>
        <v>43709</v>
      </c>
      <c r="L70" s="2516">
        <f t="shared" si="18"/>
        <v>43617</v>
      </c>
      <c r="M70" s="2516">
        <f t="shared" si="18"/>
        <v>43525</v>
      </c>
      <c r="N70" s="2516">
        <f t="shared" si="18"/>
        <v>43435</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2021-3</v>
      </c>
      <c r="D72" s="2518" t="str">
        <f>YEAR(D70)&amp;"-"&amp;ROUNDUP(MONTH(D70)/3,0)</f>
        <v>2021-2</v>
      </c>
      <c r="E72" s="2518" t="str">
        <f t="shared" ref="E72:N72" si="19">YEAR(E70)&amp;"-"&amp;ROUNDUP(MONTH(E70)/3,0)</f>
        <v>2021-1</v>
      </c>
      <c r="F72" s="2518" t="str">
        <f t="shared" si="19"/>
        <v>2020-4</v>
      </c>
      <c r="G72" s="2518" t="str">
        <f t="shared" si="19"/>
        <v>2020-3</v>
      </c>
      <c r="H72" s="2518" t="str">
        <f t="shared" si="19"/>
        <v>2020-2</v>
      </c>
      <c r="I72" s="2518" t="str">
        <f t="shared" si="19"/>
        <v>2020-1</v>
      </c>
      <c r="J72" s="2518" t="str">
        <f t="shared" si="19"/>
        <v>2019-4</v>
      </c>
      <c r="K72" s="2518" t="str">
        <f t="shared" si="19"/>
        <v>2019-3</v>
      </c>
      <c r="L72" s="2518" t="str">
        <f t="shared" si="19"/>
        <v>2019-2</v>
      </c>
      <c r="M72" s="2518" t="str">
        <f t="shared" si="19"/>
        <v>2019-1</v>
      </c>
      <c r="N72" s="2518" t="str">
        <f t="shared" si="19"/>
        <v>2018-4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北京市平均增长率1.70%</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0" priority="18" stopIfTrue="1" operator="containsText" text="超过">
      <formula>NOT(ISERROR(SEARCH("超过",F53)))</formula>
    </cfRule>
  </conditionalFormatting>
  <conditionalFormatting sqref="J55">
    <cfRule type="containsText" dxfId="159" priority="17" stopIfTrue="1" operator="containsText" text="超过">
      <formula>NOT(ISERROR(SEARCH("超过",J55)))</formula>
    </cfRule>
  </conditionalFormatting>
  <conditionalFormatting sqref="H55">
    <cfRule type="containsText" dxfId="158" priority="16" stopIfTrue="1" operator="containsText" text="超过">
      <formula>NOT(ISERROR(SEARCH("超过",H55)))</formula>
    </cfRule>
  </conditionalFormatting>
  <conditionalFormatting sqref="F55">
    <cfRule type="containsText" dxfId="157" priority="15" stopIfTrue="1" operator="containsText" text="超过">
      <formula>NOT(ISERROR(SEARCH("超过",F55)))</formula>
    </cfRule>
  </conditionalFormatting>
  <conditionalFormatting sqref="F54 H54 J54">
    <cfRule type="containsText" dxfId="156" priority="14" stopIfTrue="1" operator="containsText" text="超过">
      <formula>NOT(ISERROR(SEARCH("超过",F54)))</formula>
    </cfRule>
  </conditionalFormatting>
  <conditionalFormatting sqref="E53">
    <cfRule type="expression" dxfId="155" priority="13" stopIfTrue="1">
      <formula>$F$53="超过30%"</formula>
    </cfRule>
  </conditionalFormatting>
  <conditionalFormatting sqref="G55">
    <cfRule type="expression" dxfId="154" priority="12" stopIfTrue="1">
      <formula>$H$55="超过30%"</formula>
    </cfRule>
  </conditionalFormatting>
  <conditionalFormatting sqref="E54">
    <cfRule type="expression" dxfId="153" priority="11" stopIfTrue="1">
      <formula>$F$54="超过20%"</formula>
    </cfRule>
  </conditionalFormatting>
  <conditionalFormatting sqref="E55">
    <cfRule type="expression" dxfId="152" priority="10" stopIfTrue="1">
      <formula>$F$55="超过30%"</formula>
    </cfRule>
  </conditionalFormatting>
  <conditionalFormatting sqref="G53">
    <cfRule type="expression" dxfId="151" priority="9" stopIfTrue="1">
      <formula>$H$55+$H$53="超过30%"</formula>
    </cfRule>
  </conditionalFormatting>
  <conditionalFormatting sqref="G54">
    <cfRule type="expression" dxfId="150" priority="8" stopIfTrue="1">
      <formula>$H$54="超过20%"</formula>
    </cfRule>
  </conditionalFormatting>
  <conditionalFormatting sqref="I53">
    <cfRule type="expression" dxfId="149" priority="7" stopIfTrue="1">
      <formula>$J$53="超过30%"</formula>
    </cfRule>
  </conditionalFormatting>
  <conditionalFormatting sqref="I54">
    <cfRule type="expression" dxfId="148" priority="6" stopIfTrue="1">
      <formula>$J$54="超过20%"</formula>
    </cfRule>
  </conditionalFormatting>
  <conditionalFormatting sqref="I55">
    <cfRule type="expression" dxfId="147" priority="5" stopIfTrue="1">
      <formula>$J$55="超过30%"</formula>
    </cfRule>
  </conditionalFormatting>
  <conditionalFormatting sqref="F49">
    <cfRule type="expression" dxfId="146" priority="4">
      <formula>$D$49="简单平均"</formula>
    </cfRule>
  </conditionalFormatting>
  <conditionalFormatting sqref="H49">
    <cfRule type="expression" dxfId="145" priority="3">
      <formula>$D$49="简单平均"</formula>
    </cfRule>
  </conditionalFormatting>
  <conditionalFormatting sqref="J49">
    <cfRule type="expression" dxfId="144" priority="2">
      <formula>$D$49="简单平均"</formula>
    </cfRule>
  </conditionalFormatting>
  <conditionalFormatting sqref="F9:F47 H9:H47 J9:J47">
    <cfRule type="cellIs" dxfId="14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7"/>
  <sheetViews>
    <sheetView workbookViewId="0">
      <selection activeCell="O4" sqref="O4"/>
    </sheetView>
  </sheetViews>
  <sheetFormatPr defaultRowHeight="13.5"/>
  <cols>
    <col min="15" max="15" width="14.25" customWidth="1"/>
  </cols>
  <sheetData>
    <row r="1" spans="1:18" s="2656" customFormat="1">
      <c r="A1" s="2656" t="s">
        <v>3019</v>
      </c>
      <c r="B1" s="2656" t="s">
        <v>3020</v>
      </c>
      <c r="C1" s="2656" t="s">
        <v>3021</v>
      </c>
      <c r="D1" s="2656" t="s">
        <v>3022</v>
      </c>
      <c r="E1" s="2656" t="s">
        <v>3023</v>
      </c>
      <c r="F1" s="2656" t="s">
        <v>2021</v>
      </c>
      <c r="G1" s="2656" t="s">
        <v>3024</v>
      </c>
      <c r="H1" s="2656" t="s">
        <v>3025</v>
      </c>
      <c r="I1" s="2656" t="s">
        <v>3026</v>
      </c>
      <c r="J1" s="2656" t="s">
        <v>3027</v>
      </c>
      <c r="K1" s="2656" t="s">
        <v>3028</v>
      </c>
      <c r="L1" s="2656" t="s">
        <v>3029</v>
      </c>
      <c r="M1" s="2656" t="s">
        <v>3030</v>
      </c>
      <c r="N1" s="2656" t="s">
        <v>3031</v>
      </c>
      <c r="O1" s="3588" t="s">
        <v>3054</v>
      </c>
      <c r="P1" s="2656" t="s">
        <v>3032</v>
      </c>
      <c r="Q1" s="2656" t="s">
        <v>3033</v>
      </c>
      <c r="R1" s="2656" t="s">
        <v>3034</v>
      </c>
    </row>
    <row r="2" spans="1:18" s="2656" customFormat="1">
      <c r="A2" s="2656" t="s">
        <v>3035</v>
      </c>
      <c r="B2" s="2656" t="s">
        <v>1934</v>
      </c>
      <c r="C2" s="2656" t="s">
        <v>3036</v>
      </c>
      <c r="D2" s="2656">
        <v>17147.95</v>
      </c>
      <c r="E2" s="2656">
        <v>53158.65</v>
      </c>
      <c r="F2" s="2656" t="s">
        <v>3037</v>
      </c>
      <c r="G2" s="2656" t="s">
        <v>3038</v>
      </c>
      <c r="H2" s="2656" t="s">
        <v>3039</v>
      </c>
      <c r="I2" s="2656">
        <v>0</v>
      </c>
      <c r="J2" s="2656" t="s">
        <v>3040</v>
      </c>
      <c r="K2" s="2656" t="s">
        <v>3040</v>
      </c>
      <c r="L2" s="2656">
        <v>69200</v>
      </c>
      <c r="M2" s="2656">
        <v>69200</v>
      </c>
      <c r="N2" s="2656">
        <v>13017.63</v>
      </c>
      <c r="O2" s="2656">
        <f>M2*10000/D2</f>
        <v>40354.677964421404</v>
      </c>
      <c r="P2" s="2656">
        <v>0</v>
      </c>
      <c r="Q2" s="2656" t="s">
        <v>3041</v>
      </c>
      <c r="R2" s="2656" t="s">
        <v>3042</v>
      </c>
    </row>
    <row r="3" spans="1:18" s="2656" customFormat="1">
      <c r="A3" s="2656" t="s">
        <v>3043</v>
      </c>
      <c r="B3" s="2656" t="s">
        <v>1934</v>
      </c>
      <c r="C3" s="2656" t="s">
        <v>3036</v>
      </c>
      <c r="D3" s="2656">
        <v>22058.78</v>
      </c>
      <c r="E3" s="2656">
        <v>47390</v>
      </c>
      <c r="F3" s="2656" t="s">
        <v>3044</v>
      </c>
      <c r="G3" s="2656" t="s">
        <v>3038</v>
      </c>
      <c r="H3" s="2656" t="s">
        <v>3045</v>
      </c>
      <c r="I3" s="2656">
        <v>0</v>
      </c>
      <c r="J3" s="2656" t="s">
        <v>3046</v>
      </c>
      <c r="K3" s="2656" t="s">
        <v>3046</v>
      </c>
      <c r="L3" s="2656">
        <v>32700</v>
      </c>
      <c r="M3" s="2656">
        <f>6000+32700</f>
        <v>38700</v>
      </c>
      <c r="N3" s="2656">
        <v>6900.18</v>
      </c>
      <c r="O3" s="2656">
        <f t="shared" ref="O3:O4" si="0">M3*10000/D3</f>
        <v>17544.034620228318</v>
      </c>
      <c r="P3" s="2656">
        <v>0</v>
      </c>
      <c r="Q3" s="2656" t="s">
        <v>3047</v>
      </c>
      <c r="R3" s="2656" t="s">
        <v>3042</v>
      </c>
    </row>
    <row r="4" spans="1:18" s="2656" customFormat="1">
      <c r="A4" s="2656" t="s">
        <v>3048</v>
      </c>
      <c r="B4" s="2656" t="s">
        <v>1934</v>
      </c>
      <c r="C4" s="2656" t="s">
        <v>3036</v>
      </c>
      <c r="D4" s="2656">
        <v>28003.32</v>
      </c>
      <c r="E4" s="2656">
        <v>70008</v>
      </c>
      <c r="F4" s="2656" t="s">
        <v>3049</v>
      </c>
      <c r="G4" s="2656" t="s">
        <v>3038</v>
      </c>
      <c r="H4" s="2656" t="s">
        <v>3045</v>
      </c>
      <c r="I4" s="2656">
        <v>0</v>
      </c>
      <c r="J4" s="2656" t="s">
        <v>3050</v>
      </c>
      <c r="K4" s="2656" t="s">
        <v>3050</v>
      </c>
      <c r="L4" s="2656">
        <v>96800</v>
      </c>
      <c r="M4" s="2656">
        <v>97800</v>
      </c>
      <c r="N4" s="2656">
        <v>13969.82</v>
      </c>
      <c r="O4" s="2656">
        <f t="shared" si="0"/>
        <v>34924.430388968169</v>
      </c>
      <c r="P4" s="2656">
        <v>1.03</v>
      </c>
      <c r="Q4" s="2656" t="s">
        <v>3051</v>
      </c>
      <c r="R4" s="2656" t="s">
        <v>3042</v>
      </c>
    </row>
    <row r="7" spans="1:18">
      <c r="N7">
        <f>M3*10000/E3</f>
        <v>8166.2798058662165</v>
      </c>
    </row>
  </sheetData>
  <phoneticPr fontId="228"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470" t="s">
        <v>516</v>
      </c>
      <c r="D6" s="3471"/>
      <c r="E6" s="3504" t="s">
        <v>517</v>
      </c>
      <c r="F6" s="3505"/>
      <c r="G6" s="3470" t="s">
        <v>518</v>
      </c>
      <c r="H6" s="3471"/>
      <c r="I6" s="3470" t="s">
        <v>519</v>
      </c>
      <c r="J6" s="3471"/>
      <c r="K6" s="508" t="s">
        <v>520</v>
      </c>
      <c r="L6" s="2015"/>
      <c r="M6" s="2016"/>
      <c r="N6" s="2016"/>
      <c r="O6" s="2016"/>
      <c r="P6" s="3472" t="s">
        <v>521</v>
      </c>
      <c r="Q6" s="3473"/>
      <c r="R6" s="3478" t="s">
        <v>517</v>
      </c>
      <c r="S6" s="3479"/>
      <c r="T6" s="3478" t="s">
        <v>518</v>
      </c>
      <c r="U6" s="3479"/>
      <c r="V6" s="3465" t="s">
        <v>519</v>
      </c>
      <c r="W6" s="3465"/>
      <c r="X6" s="1502"/>
      <c r="Y6" s="3478" t="s">
        <v>521</v>
      </c>
      <c r="Z6" s="3479"/>
      <c r="AA6" s="3467" t="s">
        <v>517</v>
      </c>
      <c r="AB6" s="3468" t="s">
        <v>518</v>
      </c>
      <c r="AC6" s="3467" t="s">
        <v>519</v>
      </c>
    </row>
    <row r="7" spans="1:29" ht="15">
      <c r="A7" s="509"/>
      <c r="B7" s="510"/>
      <c r="C7" s="3486" t="s">
        <v>2898</v>
      </c>
      <c r="D7" s="3487"/>
      <c r="E7" s="3506" t="s">
        <v>2899</v>
      </c>
      <c r="F7" s="3507"/>
      <c r="G7" s="3486" t="s">
        <v>2900</v>
      </c>
      <c r="H7" s="3487"/>
      <c r="I7" s="3486" t="s">
        <v>2901</v>
      </c>
      <c r="J7" s="3487"/>
      <c r="K7" s="508"/>
      <c r="L7" s="2015"/>
      <c r="M7" s="2016"/>
      <c r="N7" s="2016"/>
      <c r="O7" s="2016"/>
      <c r="P7" s="3474"/>
      <c r="Q7" s="3475"/>
      <c r="R7" s="3480"/>
      <c r="S7" s="3481"/>
      <c r="T7" s="3480"/>
      <c r="U7" s="3481"/>
      <c r="V7" s="3465"/>
      <c r="W7" s="3465"/>
      <c r="X7" s="1502"/>
      <c r="Y7" s="3480"/>
      <c r="Z7" s="3481"/>
      <c r="AA7" s="3468"/>
      <c r="AB7" s="3468"/>
      <c r="AC7" s="3468"/>
    </row>
    <row r="8" spans="1:29" ht="15.75" thickBot="1">
      <c r="A8" s="511"/>
      <c r="B8" s="512"/>
      <c r="C8" s="3484" t="s">
        <v>2902</v>
      </c>
      <c r="D8" s="3485"/>
      <c r="E8" s="3502" t="s">
        <v>2902</v>
      </c>
      <c r="F8" s="3503"/>
      <c r="G8" s="3484" t="s">
        <v>2902</v>
      </c>
      <c r="H8" s="3485"/>
      <c r="I8" s="3484" t="s">
        <v>2902</v>
      </c>
      <c r="J8" s="3485"/>
      <c r="K8" s="508" t="s">
        <v>522</v>
      </c>
      <c r="L8" s="2015"/>
      <c r="M8" s="2016"/>
      <c r="N8" s="2016"/>
      <c r="O8" s="2016"/>
      <c r="P8" s="3476"/>
      <c r="Q8" s="3477"/>
      <c r="R8" s="3480"/>
      <c r="S8" s="3481"/>
      <c r="T8" s="3482"/>
      <c r="U8" s="3483"/>
      <c r="V8" s="3465"/>
      <c r="W8" s="3465"/>
      <c r="X8" s="1502"/>
      <c r="Y8" s="3482"/>
      <c r="Z8" s="3483"/>
      <c r="AA8" s="3469"/>
      <c r="AB8" s="3469"/>
      <c r="AC8" s="3469"/>
    </row>
    <row r="9" spans="1:29" s="1203" customFormat="1" ht="15.75" thickBot="1">
      <c r="A9" s="2629"/>
      <c r="B9" s="2636" t="s">
        <v>523</v>
      </c>
      <c r="C9" s="513">
        <f>'数据-取费表'!B2</f>
        <v>44458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95" t="s">
        <v>524</v>
      </c>
      <c r="Q9" s="3497"/>
      <c r="R9" s="1503" t="s">
        <v>8</v>
      </c>
      <c r="S9" s="1504">
        <f t="shared" ref="S9:S17" si="0">F9</f>
        <v>0</v>
      </c>
      <c r="T9" s="1503" t="s">
        <v>8</v>
      </c>
      <c r="U9" s="1504">
        <f t="shared" ref="U9:U17" si="1">H9</f>
        <v>0</v>
      </c>
      <c r="V9" s="1503" t="s">
        <v>8</v>
      </c>
      <c r="W9" s="1504">
        <f t="shared" ref="W9:W17" si="2">J9</f>
        <v>0</v>
      </c>
      <c r="X9" s="1505"/>
      <c r="Y9" s="3495" t="s">
        <v>524</v>
      </c>
      <c r="Z9" s="3496"/>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95" t="s">
        <v>527</v>
      </c>
      <c r="Q10" s="3496"/>
      <c r="R10" s="1503" t="s">
        <v>8</v>
      </c>
      <c r="S10" s="1504">
        <f t="shared" si="0"/>
        <v>0</v>
      </c>
      <c r="T10" s="1503" t="s">
        <v>8</v>
      </c>
      <c r="U10" s="1504">
        <f t="shared" si="1"/>
        <v>0</v>
      </c>
      <c r="V10" s="1503" t="s">
        <v>8</v>
      </c>
      <c r="W10" s="1504">
        <f t="shared" si="2"/>
        <v>0</v>
      </c>
      <c r="X10" s="1505"/>
      <c r="Y10" s="3495" t="s">
        <v>527</v>
      </c>
      <c r="Z10" s="3496"/>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64" t="s">
        <v>529</v>
      </c>
      <c r="Q11" s="1134" t="str">
        <f t="shared" ref="Q11:Q17" si="6">B11</f>
        <v>用途</v>
      </c>
      <c r="R11" s="1503" t="s">
        <v>8</v>
      </c>
      <c r="S11" s="1504">
        <f t="shared" si="0"/>
        <v>100</v>
      </c>
      <c r="T11" s="1503" t="s">
        <v>8</v>
      </c>
      <c r="U11" s="1504">
        <f t="shared" si="1"/>
        <v>100</v>
      </c>
      <c r="V11" s="1503" t="s">
        <v>8</v>
      </c>
      <c r="W11" s="1504">
        <f t="shared" si="2"/>
        <v>100</v>
      </c>
      <c r="X11" s="1505"/>
      <c r="Y11" s="3404"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120</v>
      </c>
      <c r="G12" s="522"/>
      <c r="H12" s="253">
        <f>ROUND(100/'数据-取费表'!G16,0)</f>
        <v>120</v>
      </c>
      <c r="I12" s="522"/>
      <c r="J12" s="253">
        <f>ROUND(100/'数据-取费表'!G16,0)</f>
        <v>120</v>
      </c>
      <c r="K12" s="525"/>
      <c r="L12" s="2020"/>
      <c r="M12" s="2059"/>
      <c r="N12" s="2059"/>
      <c r="O12" s="2021"/>
      <c r="P12" s="3464"/>
      <c r="Q12" s="1134" t="str">
        <f t="shared" si="6"/>
        <v>土地使用年限（年）</v>
      </c>
      <c r="R12" s="1503" t="s">
        <v>8</v>
      </c>
      <c r="S12" s="1504">
        <f t="shared" si="0"/>
        <v>120</v>
      </c>
      <c r="T12" s="1503" t="s">
        <v>8</v>
      </c>
      <c r="U12" s="1504">
        <f t="shared" si="1"/>
        <v>120</v>
      </c>
      <c r="V12" s="1503" t="s">
        <v>8</v>
      </c>
      <c r="W12" s="1504">
        <f t="shared" si="2"/>
        <v>120</v>
      </c>
      <c r="X12" s="1505"/>
      <c r="Y12" s="3404"/>
      <c r="Z12" s="1133" t="str">
        <f t="shared" si="7"/>
        <v>土地使用年限（年）</v>
      </c>
      <c r="AA12" s="1506">
        <f t="shared" si="3"/>
        <v>0.83333333333333337</v>
      </c>
      <c r="AB12" s="1506">
        <f t="shared" si="4"/>
        <v>0.83333333333333337</v>
      </c>
      <c r="AC12" s="1506">
        <f t="shared" si="5"/>
        <v>0.83333333333333337</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64"/>
      <c r="Q13" s="1134" t="str">
        <f t="shared" si="6"/>
        <v>容积率</v>
      </c>
      <c r="R13" s="1503" t="s">
        <v>8</v>
      </c>
      <c r="S13" s="1504" t="e">
        <f t="shared" si="0"/>
        <v>#N/A</v>
      </c>
      <c r="T13" s="1503" t="s">
        <v>8</v>
      </c>
      <c r="U13" s="1504" t="e">
        <f t="shared" si="1"/>
        <v>#N/A</v>
      </c>
      <c r="V13" s="1503" t="s">
        <v>8</v>
      </c>
      <c r="W13" s="1504" t="e">
        <f t="shared" si="2"/>
        <v>#N/A</v>
      </c>
      <c r="X13" s="1505"/>
      <c r="Y13" s="3404"/>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64"/>
      <c r="Q14" s="1134">
        <f t="shared" si="6"/>
        <v>111</v>
      </c>
      <c r="R14" s="1503" t="s">
        <v>8</v>
      </c>
      <c r="S14" s="1504">
        <f t="shared" si="0"/>
        <v>100</v>
      </c>
      <c r="T14" s="1503" t="s">
        <v>8</v>
      </c>
      <c r="U14" s="1504">
        <f t="shared" si="1"/>
        <v>100</v>
      </c>
      <c r="V14" s="1503" t="s">
        <v>8</v>
      </c>
      <c r="W14" s="1504">
        <f t="shared" si="2"/>
        <v>100</v>
      </c>
      <c r="X14" s="1505"/>
      <c r="Y14" s="3404"/>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64"/>
      <c r="Q15" s="1134">
        <f t="shared" si="6"/>
        <v>111</v>
      </c>
      <c r="R15" s="1503" t="s">
        <v>8</v>
      </c>
      <c r="S15" s="1504">
        <f t="shared" si="0"/>
        <v>100</v>
      </c>
      <c r="T15" s="1503" t="s">
        <v>8</v>
      </c>
      <c r="U15" s="1504">
        <f t="shared" si="1"/>
        <v>100</v>
      </c>
      <c r="V15" s="1503" t="s">
        <v>8</v>
      </c>
      <c r="W15" s="1504">
        <f t="shared" si="2"/>
        <v>100</v>
      </c>
      <c r="X15" s="1505"/>
      <c r="Y15" s="3404"/>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64"/>
      <c r="Q16" s="1134">
        <f t="shared" si="6"/>
        <v>111</v>
      </c>
      <c r="R16" s="1503" t="s">
        <v>8</v>
      </c>
      <c r="S16" s="1504">
        <f t="shared" si="0"/>
        <v>100</v>
      </c>
      <c r="T16" s="1503" t="s">
        <v>8</v>
      </c>
      <c r="U16" s="1504">
        <f t="shared" si="1"/>
        <v>100</v>
      </c>
      <c r="V16" s="1503" t="s">
        <v>8</v>
      </c>
      <c r="W16" s="1504">
        <f t="shared" si="2"/>
        <v>100</v>
      </c>
      <c r="X16" s="1505"/>
      <c r="Y16" s="3404"/>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98" t="s">
        <v>534</v>
      </c>
      <c r="Q17" s="1507" t="str">
        <f t="shared" si="6"/>
        <v>产业集聚程度</v>
      </c>
      <c r="R17" s="1508" t="s">
        <v>8</v>
      </c>
      <c r="S17" s="1509">
        <f t="shared" si="0"/>
        <v>100</v>
      </c>
      <c r="T17" s="1508" t="s">
        <v>8</v>
      </c>
      <c r="U17" s="1509">
        <f t="shared" si="1"/>
        <v>100</v>
      </c>
      <c r="V17" s="1508" t="s">
        <v>8</v>
      </c>
      <c r="W17" s="1509">
        <f t="shared" si="2"/>
        <v>100</v>
      </c>
      <c r="X17" s="1502"/>
      <c r="Y17" s="3498"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499"/>
      <c r="Q18" s="1507"/>
      <c r="R18" s="1508"/>
      <c r="S18" s="1509"/>
      <c r="T18" s="1508"/>
      <c r="U18" s="1509"/>
      <c r="V18" s="1508"/>
      <c r="W18" s="1509"/>
      <c r="X18" s="1502"/>
      <c r="Y18" s="3499"/>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99"/>
      <c r="Q19" s="1507" t="str">
        <f>B19</f>
        <v>交通便捷度</v>
      </c>
      <c r="R19" s="1508" t="s">
        <v>8</v>
      </c>
      <c r="S19" s="1509">
        <f>F19</f>
        <v>100</v>
      </c>
      <c r="T19" s="1508" t="s">
        <v>8</v>
      </c>
      <c r="U19" s="1509">
        <f>H19</f>
        <v>100</v>
      </c>
      <c r="V19" s="1508" t="s">
        <v>8</v>
      </c>
      <c r="W19" s="1509">
        <f>J19</f>
        <v>100</v>
      </c>
      <c r="X19" s="1502"/>
      <c r="Y19" s="3499"/>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499"/>
      <c r="Q20" s="1507"/>
      <c r="R20" s="1508"/>
      <c r="S20" s="1509"/>
      <c r="T20" s="1508"/>
      <c r="U20" s="1509"/>
      <c r="V20" s="1508"/>
      <c r="W20" s="1509"/>
      <c r="X20" s="1502"/>
      <c r="Y20" s="3499"/>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499"/>
      <c r="Q21" s="1507" t="str">
        <f t="shared" ref="Q21:Q35" si="8">B21</f>
        <v>区域土地利用方向</v>
      </c>
      <c r="R21" s="1508" t="s">
        <v>8</v>
      </c>
      <c r="S21" s="1509">
        <f>F21</f>
        <v>100</v>
      </c>
      <c r="T21" s="1508" t="s">
        <v>8</v>
      </c>
      <c r="U21" s="1509">
        <f>H21</f>
        <v>100</v>
      </c>
      <c r="V21" s="1508" t="s">
        <v>8</v>
      </c>
      <c r="W21" s="1509">
        <f>J21</f>
        <v>100</v>
      </c>
      <c r="X21" s="1502"/>
      <c r="Y21" s="3499"/>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499"/>
      <c r="Q22" s="1507"/>
      <c r="R22" s="1508"/>
      <c r="S22" s="1509"/>
      <c r="T22" s="1508"/>
      <c r="U22" s="1509"/>
      <c r="V22" s="1508"/>
      <c r="W22" s="1509"/>
      <c r="X22" s="1502"/>
      <c r="Y22" s="3499"/>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99"/>
      <c r="Q23" s="1507" t="str">
        <f t="shared" si="8"/>
        <v>环境状况</v>
      </c>
      <c r="R23" s="1508" t="s">
        <v>8</v>
      </c>
      <c r="S23" s="1509">
        <f>F23</f>
        <v>100</v>
      </c>
      <c r="T23" s="1508" t="s">
        <v>8</v>
      </c>
      <c r="U23" s="1509">
        <f>H23</f>
        <v>100</v>
      </c>
      <c r="V23" s="1508" t="s">
        <v>8</v>
      </c>
      <c r="W23" s="1509">
        <f>J23</f>
        <v>100</v>
      </c>
      <c r="X23" s="1502"/>
      <c r="Y23" s="3499"/>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499"/>
      <c r="Q24" s="1507"/>
      <c r="R24" s="1508"/>
      <c r="S24" s="1509"/>
      <c r="T24" s="1508"/>
      <c r="U24" s="1509"/>
      <c r="V24" s="1508"/>
      <c r="W24" s="1509"/>
      <c r="X24" s="1502"/>
      <c r="Y24" s="3499"/>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99"/>
      <c r="Q25" s="1134" t="str">
        <f t="shared" si="8"/>
        <v>公共配套设施</v>
      </c>
      <c r="R25" s="1503" t="s">
        <v>8</v>
      </c>
      <c r="S25" s="1504">
        <f>F25</f>
        <v>100</v>
      </c>
      <c r="T25" s="1503" t="s">
        <v>8</v>
      </c>
      <c r="U25" s="1504">
        <f>H25</f>
        <v>100</v>
      </c>
      <c r="V25" s="1503" t="s">
        <v>8</v>
      </c>
      <c r="W25" s="1504">
        <f>J25</f>
        <v>100</v>
      </c>
      <c r="X25" s="1505"/>
      <c r="Y25" s="3499"/>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499"/>
      <c r="Q26" s="1134"/>
      <c r="R26" s="1503"/>
      <c r="S26" s="1504"/>
      <c r="T26" s="1503"/>
      <c r="U26" s="1504"/>
      <c r="V26" s="1503"/>
      <c r="W26" s="1504"/>
      <c r="X26" s="1505"/>
      <c r="Y26" s="3499"/>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99"/>
      <c r="Q27" s="2428" t="str">
        <f t="shared" ref="Q27" si="9">B27</f>
        <v>基础设施水平</v>
      </c>
      <c r="R27" s="1503" t="s">
        <v>8</v>
      </c>
      <c r="S27" s="1504">
        <f>F27</f>
        <v>100</v>
      </c>
      <c r="T27" s="1503" t="s">
        <v>8</v>
      </c>
      <c r="U27" s="1504">
        <f>H27</f>
        <v>100</v>
      </c>
      <c r="V27" s="1503" t="s">
        <v>8</v>
      </c>
      <c r="W27" s="1504">
        <f>J27</f>
        <v>100</v>
      </c>
      <c r="X27" s="1505"/>
      <c r="Y27" s="3499"/>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499"/>
      <c r="Q28" s="2428"/>
      <c r="R28" s="1503"/>
      <c r="S28" s="1504"/>
      <c r="T28" s="1503"/>
      <c r="U28" s="1504"/>
      <c r="V28" s="1503"/>
      <c r="W28" s="1504"/>
      <c r="X28" s="1505"/>
      <c r="Y28" s="3499"/>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99"/>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99"/>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99"/>
      <c r="Q30" s="1507" t="str">
        <f t="shared" si="8"/>
        <v>毗邻道路的类型与等级</v>
      </c>
      <c r="R30" s="1508" t="s">
        <v>8</v>
      </c>
      <c r="S30" s="1509">
        <f t="shared" si="10"/>
        <v>100</v>
      </c>
      <c r="T30" s="1508" t="s">
        <v>8</v>
      </c>
      <c r="U30" s="1509">
        <f t="shared" si="11"/>
        <v>100</v>
      </c>
      <c r="V30" s="1508" t="s">
        <v>8</v>
      </c>
      <c r="W30" s="1509">
        <f t="shared" si="12"/>
        <v>100</v>
      </c>
      <c r="X30" s="1502"/>
      <c r="Y30" s="3499"/>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499"/>
      <c r="Q31" s="1507"/>
      <c r="R31" s="1508"/>
      <c r="S31" s="1509"/>
      <c r="T31" s="1508"/>
      <c r="U31" s="1509"/>
      <c r="V31" s="1508"/>
      <c r="W31" s="1509"/>
      <c r="X31" s="1502"/>
      <c r="Y31" s="3499"/>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99"/>
      <c r="Q32" s="1507" t="str">
        <f t="shared" si="8"/>
        <v>土地级别</v>
      </c>
      <c r="R32" s="1508" t="s">
        <v>8</v>
      </c>
      <c r="S32" s="1509">
        <f t="shared" si="10"/>
        <v>100</v>
      </c>
      <c r="T32" s="1508" t="s">
        <v>8</v>
      </c>
      <c r="U32" s="1509">
        <f t="shared" si="11"/>
        <v>100</v>
      </c>
      <c r="V32" s="1508" t="s">
        <v>8</v>
      </c>
      <c r="W32" s="1509">
        <f t="shared" si="12"/>
        <v>100</v>
      </c>
      <c r="X32" s="1502"/>
      <c r="Y32" s="3499"/>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99"/>
      <c r="Q33" s="1507">
        <f t="shared" si="8"/>
        <v>111</v>
      </c>
      <c r="R33" s="1508" t="s">
        <v>8</v>
      </c>
      <c r="S33" s="1509">
        <f t="shared" si="10"/>
        <v>100</v>
      </c>
      <c r="T33" s="1508" t="s">
        <v>8</v>
      </c>
      <c r="U33" s="1509">
        <f t="shared" si="11"/>
        <v>100</v>
      </c>
      <c r="V33" s="1508" t="s">
        <v>8</v>
      </c>
      <c r="W33" s="1509">
        <f t="shared" si="12"/>
        <v>100</v>
      </c>
      <c r="X33" s="1502"/>
      <c r="Y33" s="3499"/>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00" t="s">
        <v>544</v>
      </c>
      <c r="Q34" s="1507">
        <f t="shared" si="8"/>
        <v>111</v>
      </c>
      <c r="R34" s="1508" t="s">
        <v>8</v>
      </c>
      <c r="S34" s="1509">
        <f t="shared" si="10"/>
        <v>100</v>
      </c>
      <c r="T34" s="1508" t="s">
        <v>8</v>
      </c>
      <c r="U34" s="1509">
        <f t="shared" si="11"/>
        <v>100</v>
      </c>
      <c r="V34" s="1508" t="s">
        <v>8</v>
      </c>
      <c r="W34" s="1509">
        <f t="shared" si="12"/>
        <v>100</v>
      </c>
      <c r="X34" s="1502"/>
      <c r="Y34" s="3501"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01"/>
      <c r="Q35" s="1507">
        <f t="shared" si="8"/>
        <v>111</v>
      </c>
      <c r="R35" s="1512" t="s">
        <v>8</v>
      </c>
      <c r="S35" s="1513">
        <f t="shared" si="10"/>
        <v>100</v>
      </c>
      <c r="T35" s="1512" t="s">
        <v>8</v>
      </c>
      <c r="U35" s="1513">
        <f t="shared" si="11"/>
        <v>100</v>
      </c>
      <c r="V35" s="1512" t="s">
        <v>8</v>
      </c>
      <c r="W35" s="1513">
        <f t="shared" si="12"/>
        <v>100</v>
      </c>
      <c r="X35" s="1514"/>
      <c r="Y35" s="3501"/>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01"/>
      <c r="Q36" s="1507" t="str">
        <f>B36</f>
        <v>宗地面积</v>
      </c>
      <c r="R36" s="1508" t="s">
        <v>8</v>
      </c>
      <c r="S36" s="1509" t="e">
        <f t="shared" si="10"/>
        <v>#N/A</v>
      </c>
      <c r="T36" s="1508" t="s">
        <v>8</v>
      </c>
      <c r="U36" s="1509" t="e">
        <f t="shared" si="11"/>
        <v>#N/A</v>
      </c>
      <c r="V36" s="1508" t="s">
        <v>8</v>
      </c>
      <c r="W36" s="1509" t="e">
        <f t="shared" si="12"/>
        <v>#N/A</v>
      </c>
      <c r="X36" s="1502"/>
      <c r="Y36" s="3501"/>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01"/>
      <c r="Q37" s="1507" t="str">
        <f t="shared" ref="Q37:Q42" si="14">B37</f>
        <v>宗地形状</v>
      </c>
      <c r="R37" s="1508" t="s">
        <v>8</v>
      </c>
      <c r="S37" s="1509">
        <f t="shared" si="10"/>
        <v>100</v>
      </c>
      <c r="T37" s="1508" t="s">
        <v>8</v>
      </c>
      <c r="U37" s="1509">
        <f t="shared" si="11"/>
        <v>100</v>
      </c>
      <c r="V37" s="1508" t="s">
        <v>8</v>
      </c>
      <c r="W37" s="1509">
        <f t="shared" si="12"/>
        <v>100</v>
      </c>
      <c r="X37" s="1502"/>
      <c r="Y37" s="3501"/>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01"/>
      <c r="Q38" s="1507" t="str">
        <f t="shared" si="14"/>
        <v>宗地开发程度</v>
      </c>
      <c r="R38" s="1503" t="s">
        <v>8</v>
      </c>
      <c r="S38" s="1504">
        <f t="shared" si="10"/>
        <v>100</v>
      </c>
      <c r="T38" s="1503" t="s">
        <v>8</v>
      </c>
      <c r="U38" s="1504">
        <f t="shared" si="11"/>
        <v>100</v>
      </c>
      <c r="V38" s="1503" t="s">
        <v>8</v>
      </c>
      <c r="W38" s="1504">
        <f t="shared" si="12"/>
        <v>100</v>
      </c>
      <c r="X38" s="1505"/>
      <c r="Y38" s="3501"/>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01" t="s">
        <v>595</v>
      </c>
      <c r="Q39" s="1507" t="str">
        <f t="shared" si="14"/>
        <v>工程地质条件</v>
      </c>
      <c r="R39" s="1508" t="s">
        <v>8</v>
      </c>
      <c r="S39" s="1509">
        <f t="shared" si="10"/>
        <v>100</v>
      </c>
      <c r="T39" s="1508" t="s">
        <v>8</v>
      </c>
      <c r="U39" s="1509">
        <f t="shared" si="11"/>
        <v>100</v>
      </c>
      <c r="V39" s="1508" t="s">
        <v>8</v>
      </c>
      <c r="W39" s="1509">
        <f t="shared" si="12"/>
        <v>100</v>
      </c>
      <c r="X39" s="1502"/>
      <c r="Y39" s="3501"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01"/>
      <c r="Q40" s="1507">
        <f t="shared" si="14"/>
        <v>111</v>
      </c>
      <c r="R40" s="1508" t="s">
        <v>8</v>
      </c>
      <c r="S40" s="1509">
        <f t="shared" si="10"/>
        <v>100</v>
      </c>
      <c r="T40" s="1508" t="s">
        <v>8</v>
      </c>
      <c r="U40" s="1509">
        <f t="shared" si="11"/>
        <v>100</v>
      </c>
      <c r="V40" s="1508" t="s">
        <v>8</v>
      </c>
      <c r="W40" s="1509">
        <f t="shared" si="12"/>
        <v>100</v>
      </c>
      <c r="X40" s="1502"/>
      <c r="Y40" s="3501"/>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01"/>
      <c r="Q41" s="1507">
        <f t="shared" si="14"/>
        <v>111</v>
      </c>
      <c r="R41" s="1508" t="s">
        <v>8</v>
      </c>
      <c r="S41" s="1509">
        <f t="shared" si="10"/>
        <v>100</v>
      </c>
      <c r="T41" s="1508" t="s">
        <v>8</v>
      </c>
      <c r="U41" s="1509">
        <f t="shared" si="11"/>
        <v>100</v>
      </c>
      <c r="V41" s="1508" t="s">
        <v>8</v>
      </c>
      <c r="W41" s="1509">
        <f t="shared" si="12"/>
        <v>100</v>
      </c>
      <c r="X41" s="1502"/>
      <c r="Y41" s="3501"/>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01"/>
      <c r="Q42" s="1507">
        <f t="shared" si="14"/>
        <v>111</v>
      </c>
      <c r="R42" s="1512" t="s">
        <v>8</v>
      </c>
      <c r="S42" s="1513">
        <f t="shared" si="10"/>
        <v>100</v>
      </c>
      <c r="T42" s="1512" t="s">
        <v>8</v>
      </c>
      <c r="U42" s="1513">
        <f t="shared" si="11"/>
        <v>100</v>
      </c>
      <c r="V42" s="1512" t="s">
        <v>8</v>
      </c>
      <c r="W42" s="1513">
        <f t="shared" si="12"/>
        <v>100</v>
      </c>
      <c r="X42" s="1514"/>
      <c r="Y42" s="3501"/>
      <c r="Z42" s="1515">
        <f t="shared" si="13"/>
        <v>111</v>
      </c>
      <c r="AA42" s="1511">
        <f t="shared" si="3"/>
        <v>1</v>
      </c>
      <c r="AB42" s="1511">
        <f t="shared" si="4"/>
        <v>1</v>
      </c>
      <c r="AC42" s="1511">
        <f t="shared" si="5"/>
        <v>1</v>
      </c>
    </row>
    <row r="43" spans="1:29" ht="15">
      <c r="A43" s="601" t="s">
        <v>550</v>
      </c>
      <c r="B43" s="602" t="s">
        <v>2903</v>
      </c>
      <c r="C43" s="603" t="s">
        <v>1</v>
      </c>
      <c r="D43" s="604"/>
      <c r="E43" s="605"/>
      <c r="F43" s="606"/>
      <c r="G43" s="607"/>
      <c r="H43" s="608"/>
      <c r="I43" s="605"/>
      <c r="J43" s="608"/>
      <c r="K43" s="1294"/>
      <c r="L43" s="2026"/>
      <c r="M43" s="2016"/>
      <c r="N43" s="2016"/>
      <c r="O43" s="2027"/>
      <c r="P43" s="3464" t="str">
        <f>A43</f>
        <v>成交单价</v>
      </c>
      <c r="Q43" s="3464"/>
      <c r="R43" s="3465">
        <f>E43</f>
        <v>0</v>
      </c>
      <c r="S43" s="3465"/>
      <c r="T43" s="3465">
        <f>G43</f>
        <v>0</v>
      </c>
      <c r="U43" s="3465"/>
      <c r="V43" s="3465">
        <f>I43</f>
        <v>0</v>
      </c>
      <c r="W43" s="3465"/>
      <c r="X43" s="1497"/>
      <c r="Y43" s="1516"/>
      <c r="Z43" s="1497"/>
      <c r="AA43" s="1497"/>
      <c r="AB43" s="1497"/>
      <c r="AC43" s="1497"/>
    </row>
    <row r="44" spans="1:29" ht="15.75" thickBot="1">
      <c r="A44" s="609" t="s">
        <v>2674</v>
      </c>
      <c r="B44" s="610"/>
      <c r="C44" s="611" t="e">
        <f>R45</f>
        <v>#DIV/0!</v>
      </c>
      <c r="D44" s="3014" t="s">
        <v>2969</v>
      </c>
      <c r="E44" s="611" t="e">
        <f>R44</f>
        <v>#DIV/0!</v>
      </c>
      <c r="F44" s="3015"/>
      <c r="G44" s="612" t="e">
        <f>T44</f>
        <v>#DIV/0!</v>
      </c>
      <c r="H44" s="3015"/>
      <c r="I44" s="611" t="e">
        <f>V44</f>
        <v>#DIV/0!</v>
      </c>
      <c r="J44" s="3015"/>
      <c r="K44" s="3016">
        <f>F44+H44+J44</f>
        <v>0</v>
      </c>
      <c r="L44" s="2026"/>
      <c r="M44" s="2016"/>
      <c r="N44" s="2016"/>
      <c r="O44" s="2027"/>
      <c r="P44" s="3464" t="str">
        <f>A44</f>
        <v>比较价格（元/平方米）</v>
      </c>
      <c r="Q44" s="3464"/>
      <c r="R44" s="3466" t="e">
        <f>ROUND(PRODUCT(R43,AA9:AA42),0)</f>
        <v>#DIV/0!</v>
      </c>
      <c r="S44" s="3466"/>
      <c r="T44" s="3466" t="e">
        <f>ROUND(PRODUCT(T43,AB9:AB42),0)</f>
        <v>#DIV/0!</v>
      </c>
      <c r="U44" s="3466"/>
      <c r="V44" s="3466" t="e">
        <f>ROUND(PRODUCT(V43,AC9:AC42),0)</f>
        <v>#DIV/0!</v>
      </c>
      <c r="W44" s="3466"/>
      <c r="X44" s="1497"/>
      <c r="Y44" s="1497"/>
      <c r="Z44" s="1497"/>
      <c r="AA44" s="1497"/>
      <c r="AB44" s="1497"/>
      <c r="AC44" s="1497"/>
    </row>
    <row r="45" spans="1:29" ht="15.75" thickBot="1">
      <c r="A45" s="613" t="s">
        <v>2904</v>
      </c>
      <c r="B45" s="614"/>
      <c r="C45" s="615" t="e">
        <f>R45</f>
        <v>#DIV/0!</v>
      </c>
      <c r="D45" s="615"/>
      <c r="E45" s="615"/>
      <c r="F45" s="615"/>
      <c r="G45" s="615"/>
      <c r="H45" s="615"/>
      <c r="I45" s="615"/>
      <c r="J45" s="615"/>
      <c r="K45" s="1295"/>
      <c r="L45" s="2026"/>
      <c r="M45" s="2016"/>
      <c r="N45" s="2016"/>
      <c r="O45" s="2027"/>
      <c r="P45" s="3461" t="str">
        <f>A45</f>
        <v>估价对象XX用房的比较价格（楼面单价，元/平方米）</v>
      </c>
      <c r="Q45" s="3462"/>
      <c r="R45" s="3513" t="e">
        <f>ROUND(IF(D44="简单平均",AVERAGE(R44:W44),R44*F44+T44*H44+V44*J44),0)</f>
        <v>#DIV/0!</v>
      </c>
      <c r="S45" s="3513"/>
      <c r="T45" s="3513"/>
      <c r="U45" s="3513"/>
      <c r="V45" s="3513"/>
      <c r="W45" s="3513"/>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08" t="s">
        <v>2272</v>
      </c>
      <c r="H52" s="3509"/>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5636.57</v>
      </c>
      <c r="F53" s="1864" t="e">
        <f t="shared" ref="F53:F62" si="15">ROUND(B53*E53/10000,0)</f>
        <v>#DIV/0!</v>
      </c>
      <c r="G53" s="3510"/>
      <c r="H53" s="3511"/>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512"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512"/>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512"/>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512"/>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0.25</v>
      </c>
      <c r="D58" s="2109">
        <v>0.25</v>
      </c>
      <c r="E58" s="633">
        <f>'数据-汇总表'!E11</f>
        <v>0</v>
      </c>
      <c r="F58" s="1864" t="e">
        <f t="shared" si="15"/>
        <v>#DIV/0!</v>
      </c>
      <c r="G58" s="1870" t="s">
        <v>2274</v>
      </c>
      <c r="H58" s="1869" t="str">
        <f>项目基本情况!C43</f>
        <v>七级</v>
      </c>
      <c r="I58" s="1867">
        <f>SUMIF(修正!$A$45:$A$56,H58,修正!F45:F56)</f>
        <v>0.25</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0.25</v>
      </c>
      <c r="D59" s="2109">
        <v>0.25</v>
      </c>
      <c r="E59" s="633">
        <f>'数据-汇总表'!E12</f>
        <v>0</v>
      </c>
      <c r="F59" s="1864" t="e">
        <f t="shared" si="15"/>
        <v>#DIV/0!</v>
      </c>
      <c r="G59" s="1860" t="s">
        <v>1668</v>
      </c>
      <c r="H59" s="1868" t="str">
        <f>IF(G59="商业",项目基本情况!B43,IF(G59="办公",项目基本情况!C43,IF(G59="住宅",项目基本情况!D43,项目基本情况!E43)))</f>
        <v>七级</v>
      </c>
      <c r="I59" s="1867">
        <f>SUMIF(修正!$A$45:$A$56,H59,修正!G45:G56)</f>
        <v>0.25</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0.2</v>
      </c>
      <c r="D62" s="2109">
        <v>0.25</v>
      </c>
      <c r="E62" s="633">
        <f>'数据-汇总表'!E15</f>
        <v>0</v>
      </c>
      <c r="F62" s="1864" t="e">
        <f t="shared" si="15"/>
        <v>#DIV/0!</v>
      </c>
      <c r="G62" s="1871" t="s">
        <v>2274</v>
      </c>
      <c r="H62" s="1872" t="str">
        <f>项目基本情况!C43</f>
        <v>七级</v>
      </c>
      <c r="I62" s="1867">
        <f>SUMIF(修正!$A$45:$A$56,H62,修正!H45:H56)</f>
        <v>0.2</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82285.63</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2021-9-1</v>
      </c>
      <c r="D65" s="2516">
        <f>EDATE(C65,-3)</f>
        <v>44348</v>
      </c>
      <c r="E65" s="2516">
        <f t="shared" ref="E65:N65" si="18">EDATE(D65,-3)</f>
        <v>44256</v>
      </c>
      <c r="F65" s="2516">
        <f t="shared" si="18"/>
        <v>44166</v>
      </c>
      <c r="G65" s="2516">
        <f t="shared" si="18"/>
        <v>44075</v>
      </c>
      <c r="H65" s="2516">
        <f t="shared" si="18"/>
        <v>43983</v>
      </c>
      <c r="I65" s="2516">
        <f t="shared" si="18"/>
        <v>43891</v>
      </c>
      <c r="J65" s="2516">
        <f t="shared" si="18"/>
        <v>43800</v>
      </c>
      <c r="K65" s="2516">
        <f t="shared" si="18"/>
        <v>43709</v>
      </c>
      <c r="L65" s="2516">
        <f t="shared" si="18"/>
        <v>43617</v>
      </c>
      <c r="M65" s="2516">
        <f t="shared" si="18"/>
        <v>43525</v>
      </c>
      <c r="N65" s="2516">
        <f t="shared" si="18"/>
        <v>43435</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2021-3</v>
      </c>
      <c r="D67" s="2518" t="str">
        <f t="shared" ref="D67:N67" si="19">YEAR(D65)&amp;"-"&amp;ROUNDUP(MONTH(D65)/3,0)</f>
        <v>2021-2</v>
      </c>
      <c r="E67" s="2518" t="str">
        <f t="shared" si="19"/>
        <v>2021-1</v>
      </c>
      <c r="F67" s="2518" t="str">
        <f t="shared" si="19"/>
        <v>2020-4</v>
      </c>
      <c r="G67" s="2518" t="str">
        <f t="shared" si="19"/>
        <v>2020-3</v>
      </c>
      <c r="H67" s="2518" t="str">
        <f t="shared" si="19"/>
        <v>2020-2</v>
      </c>
      <c r="I67" s="2518" t="str">
        <f t="shared" si="19"/>
        <v>2020-1</v>
      </c>
      <c r="J67" s="2518" t="str">
        <f t="shared" si="19"/>
        <v>2019-4</v>
      </c>
      <c r="K67" s="2518" t="str">
        <f t="shared" si="19"/>
        <v>2019-3</v>
      </c>
      <c r="L67" s="2518" t="str">
        <f t="shared" si="19"/>
        <v>2019-2</v>
      </c>
      <c r="M67" s="2518" t="str">
        <f t="shared" si="19"/>
        <v>2019-1</v>
      </c>
      <c r="N67" s="2518" t="str">
        <f t="shared" si="19"/>
        <v>2018-4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北京市平均增长率1.24%</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8" stopIfTrue="1" operator="containsText" text="超过">
      <formula>NOT(ISERROR(SEARCH("超过",F48)))</formula>
    </cfRule>
  </conditionalFormatting>
  <conditionalFormatting sqref="J50">
    <cfRule type="containsText" dxfId="141" priority="17" stopIfTrue="1" operator="containsText" text="超过">
      <formula>NOT(ISERROR(SEARCH("超过",J50)))</formula>
    </cfRule>
  </conditionalFormatting>
  <conditionalFormatting sqref="H50">
    <cfRule type="containsText" dxfId="140" priority="16" stopIfTrue="1" operator="containsText" text="超过">
      <formula>NOT(ISERROR(SEARCH("超过",H50)))</formula>
    </cfRule>
  </conditionalFormatting>
  <conditionalFormatting sqref="F50">
    <cfRule type="containsText" dxfId="139" priority="15" stopIfTrue="1" operator="containsText" text="超过">
      <formula>NOT(ISERROR(SEARCH("超过",F50)))</formula>
    </cfRule>
  </conditionalFormatting>
  <conditionalFormatting sqref="F49 H49 J49">
    <cfRule type="containsText" dxfId="138" priority="14" stopIfTrue="1" operator="containsText" text="超过">
      <formula>NOT(ISERROR(SEARCH("超过",F49)))</formula>
    </cfRule>
  </conditionalFormatting>
  <conditionalFormatting sqref="E48">
    <cfRule type="expression" dxfId="137" priority="13" stopIfTrue="1">
      <formula>$F$48="超过30%"</formula>
    </cfRule>
  </conditionalFormatting>
  <conditionalFormatting sqref="G50">
    <cfRule type="expression" dxfId="136" priority="12" stopIfTrue="1">
      <formula>$H$50="超过30%"</formula>
    </cfRule>
  </conditionalFormatting>
  <conditionalFormatting sqref="E50">
    <cfRule type="expression" dxfId="135" priority="10" stopIfTrue="1">
      <formula>$F$50="超过30%"</formula>
    </cfRule>
  </conditionalFormatting>
  <conditionalFormatting sqref="G48">
    <cfRule type="expression" dxfId="134" priority="9" stopIfTrue="1">
      <formula>$H$48="超过30%"</formula>
    </cfRule>
  </conditionalFormatting>
  <conditionalFormatting sqref="G49">
    <cfRule type="expression" dxfId="133" priority="8" stopIfTrue="1">
      <formula>$H$49="超过20%"</formula>
    </cfRule>
  </conditionalFormatting>
  <conditionalFormatting sqref="I48">
    <cfRule type="expression" dxfId="132" priority="7" stopIfTrue="1">
      <formula>$J$48="超过30%"</formula>
    </cfRule>
  </conditionalFormatting>
  <conditionalFormatting sqref="I49">
    <cfRule type="expression" dxfId="131" priority="6" stopIfTrue="1">
      <formula>$J$49="超过20%"</formula>
    </cfRule>
  </conditionalFormatting>
  <conditionalFormatting sqref="I50">
    <cfRule type="expression" dxfId="130" priority="5" stopIfTrue="1">
      <formula>$J$50="超过30%"</formula>
    </cfRule>
  </conditionalFormatting>
  <conditionalFormatting sqref="E49">
    <cfRule type="expression" dxfId="129" priority="51" stopIfTrue="1">
      <formula>#REF!+$F$49="超过20%"</formula>
    </cfRule>
  </conditionalFormatting>
  <conditionalFormatting sqref="F44">
    <cfRule type="expression" dxfId="128" priority="4">
      <formula>$D$44="简单平均"</formula>
    </cfRule>
  </conditionalFormatting>
  <conditionalFormatting sqref="H44">
    <cfRule type="expression" dxfId="127" priority="3">
      <formula>$D$44="简单平均"</formula>
    </cfRule>
  </conditionalFormatting>
  <conditionalFormatting sqref="J44">
    <cfRule type="expression" dxfId="126" priority="2">
      <formula>$D$44="简单平均"</formula>
    </cfRule>
  </conditionalFormatting>
  <conditionalFormatting sqref="F9:F42 H9:H42 J9:J42">
    <cfRule type="cellIs" dxfId="125"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7" zoomScale="80" zoomScaleNormal="60" zoomScaleSheetLayoutView="80" workbookViewId="0">
      <selection activeCell="C21" sqref="C21"/>
    </sheetView>
  </sheetViews>
  <sheetFormatPr defaultColWidth="12" defaultRowHeight="12"/>
  <cols>
    <col min="1" max="1" width="9.75" style="1353" customWidth="1"/>
    <col min="2" max="2" width="20.875" style="1468" customWidth="1"/>
    <col min="3" max="3" width="13.75" style="1354" bestFit="1" customWidth="1"/>
    <col min="4"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5636.57</v>
      </c>
      <c r="E1" s="1355" t="s">
        <v>2412</v>
      </c>
      <c r="F1" s="2307"/>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906989</v>
      </c>
      <c r="C2" s="1356" t="s">
        <v>912</v>
      </c>
      <c r="D2" s="1357" t="s">
        <v>913</v>
      </c>
      <c r="E2" s="1358" t="s">
        <v>1668</v>
      </c>
      <c r="F2" s="1357" t="s">
        <v>915</v>
      </c>
      <c r="G2" s="1581" t="str">
        <f>IF(E2="商业",项目基本情况!B43,IF(E2="办公",项目基本情况!C43,IF(E2="住宅",项目基本情况!D43,项目基本情况!E43)))</f>
        <v>七级</v>
      </c>
      <c r="H2" s="1357" t="s">
        <v>917</v>
      </c>
      <c r="I2" s="1582" t="str">
        <f>IF(E2="商业",项目基本情况!B44,IF(E2="办公",项目基本情况!C44,IF(E2="住宅",项目基本情况!D44,项目基本情况!E44)))</f>
        <v>Ⅶ-通1</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26.6129</v>
      </c>
      <c r="T2" s="2654">
        <f ca="1">ROUND($C$5*$C$18*$C$19*$C$20*S2*$C$24,0)</f>
        <v>229404</v>
      </c>
      <c r="U2" s="2643"/>
      <c r="V2" s="2654">
        <f ca="1">ROUND(T2*U2/10000,0)</f>
        <v>0</v>
      </c>
      <c r="W2" s="2070"/>
      <c r="X2" s="2070"/>
      <c r="Y2" s="2070"/>
      <c r="Z2" s="2070"/>
      <c r="AA2" s="2070"/>
      <c r="AB2" s="2070"/>
      <c r="AC2" s="2071"/>
    </row>
    <row r="3" spans="1:39" ht="24">
      <c r="A3" s="1360" t="s">
        <v>1678</v>
      </c>
      <c r="B3" s="1025">
        <f ca="1">ROUND(B2*10000/D1,0)</f>
        <v>1609115</v>
      </c>
      <c r="C3" s="1356" t="s">
        <v>918</v>
      </c>
      <c r="D3" s="1357" t="s">
        <v>919</v>
      </c>
      <c r="E3" s="1361" t="s">
        <v>3009</v>
      </c>
      <c r="F3" s="1362" t="s">
        <v>3010</v>
      </c>
      <c r="G3" s="1026">
        <f>IF(F3="宗地容积率",'数据-汇总表'!I4,IF(F3="估价对象容积率",'数据-汇总表'!I6,'数据-汇总表'!I7))</f>
        <v>7.0000000000000007E-2</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19.102900000000002</v>
      </c>
      <c r="T3" s="2654">
        <f t="shared" ref="T3:T16" ca="1" si="0">ROUND($C$5*$C$18*$C$19*$C$20*S3*$C$24,0)</f>
        <v>164668</v>
      </c>
      <c r="U3" s="2643"/>
      <c r="V3" s="2654">
        <f t="shared" ref="V3:V16" ca="1" si="1">ROUND(T3*U3/10000,0)</f>
        <v>0</v>
      </c>
      <c r="W3" s="2070"/>
      <c r="X3" s="2070"/>
      <c r="Y3" s="2070"/>
      <c r="Z3" s="2070"/>
      <c r="AA3" s="2070"/>
      <c r="AB3" s="2070"/>
      <c r="AC3" s="2071"/>
    </row>
    <row r="4" spans="1:39" ht="28.5">
      <c r="A4" s="1805" t="s">
        <v>2268</v>
      </c>
      <c r="B4" s="2308" t="e">
        <f ca="1">ROUND(B2*10000/F1,0)</f>
        <v>#DIV/0!</v>
      </c>
      <c r="C4" s="1808" t="s">
        <v>2243</v>
      </c>
      <c r="D4" s="1808" t="e">
        <f ca="1">ROUND(B2/(F1/666.67),0)</f>
        <v>#DIV/0!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15.4114</v>
      </c>
      <c r="T4" s="2654">
        <f t="shared" ca="1" si="0"/>
        <v>132847</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7090</v>
      </c>
      <c r="D5" s="2793">
        <f>ROUND(C6+C16,0)</f>
        <v>7090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12.3657</v>
      </c>
      <c r="T5" s="2654">
        <f t="shared" ca="1" si="0"/>
        <v>106593</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7090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10.53</v>
      </c>
      <c r="T6" s="2654">
        <f t="shared" ca="1" si="0"/>
        <v>90769</v>
      </c>
      <c r="U6" s="2643"/>
      <c r="V6" s="2654">
        <f t="shared" ca="1" si="1"/>
        <v>0</v>
      </c>
      <c r="W6" s="2070"/>
      <c r="X6" s="2070"/>
      <c r="Y6" s="2070"/>
      <c r="Z6" s="2070"/>
      <c r="AA6" s="2070"/>
      <c r="AB6" s="2070"/>
      <c r="AC6" s="2072"/>
      <c r="AD6" s="1368"/>
      <c r="AE6" s="1368"/>
      <c r="AF6" s="1368"/>
      <c r="AG6" s="1368"/>
      <c r="AH6" s="1368"/>
      <c r="AI6" s="1368"/>
      <c r="AJ6" s="1369"/>
    </row>
    <row r="7" spans="1:39" ht="24">
      <c r="A7" s="3528"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7090</v>
      </c>
      <c r="N7" s="1801">
        <f>SUMPRODUCT((因素修正幅度!B158:B205=I2)*(因素修正幅度!C3:F3=E2)*(因素修正幅度!C158:F205))</f>
        <v>0.13</v>
      </c>
      <c r="O7" s="3235"/>
      <c r="P7" s="3238"/>
      <c r="Q7" s="2070"/>
      <c r="R7" s="2654">
        <v>6</v>
      </c>
      <c r="S7" s="2654">
        <f>ROUND(IF(G3&gt;1,IF(R7&lt;7,SUMPRODUCT((B93:B98=R7)*(C92:N92=G2)*(C93:N98)),SUMIF(C92:N92,G2,C100:N100)),IF(R7&lt;7,SUMPRODUCT((B102:B107=R7)*(C92:N92=G2)*(C102:N107)),SUMIF(C92:N92,G2,C109:N109))),4)</f>
        <v>9.26</v>
      </c>
      <c r="T7" s="2654">
        <f t="shared" ca="1" si="0"/>
        <v>79822</v>
      </c>
      <c r="U7" s="2643"/>
      <c r="V7" s="2654">
        <f t="shared" ca="1" si="1"/>
        <v>0</v>
      </c>
      <c r="W7" s="2652" t="s">
        <v>2745</v>
      </c>
      <c r="X7" s="2644" t="str">
        <f>G2</f>
        <v>七级</v>
      </c>
      <c r="Y7" s="2644" t="s">
        <v>2746</v>
      </c>
      <c r="Z7" s="2645">
        <f>G3</f>
        <v>7.0000000000000007E-2</v>
      </c>
      <c r="AA7" s="2073"/>
      <c r="AB7" s="2073"/>
      <c r="AC7" s="2074"/>
      <c r="AD7" s="2646"/>
      <c r="AE7" s="2646"/>
      <c r="AF7" s="2646"/>
      <c r="AG7" s="2646"/>
      <c r="AH7" s="2646"/>
      <c r="AI7" s="2646"/>
      <c r="AJ7" s="2647"/>
    </row>
    <row r="8" spans="1:39" ht="15">
      <c r="A8" s="3529"/>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15" t="s">
        <v>2763</v>
      </c>
      <c r="X8" s="3516"/>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29"/>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14"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29"/>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14"/>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29"/>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14" t="s">
        <v>2761</v>
      </c>
      <c r="X11" s="1035" t="s">
        <v>2746</v>
      </c>
      <c r="Y11" s="1582">
        <f>$G$3</f>
        <v>7.0000000000000007E-2</v>
      </c>
      <c r="Z11" s="1582">
        <f t="shared" ref="Z11:AJ11" si="3">$G$3</f>
        <v>7.0000000000000007E-2</v>
      </c>
      <c r="AA11" s="1582">
        <f t="shared" si="3"/>
        <v>7.0000000000000007E-2</v>
      </c>
      <c r="AB11" s="1582">
        <f t="shared" si="3"/>
        <v>7.0000000000000007E-2</v>
      </c>
      <c r="AC11" s="1582">
        <f t="shared" si="3"/>
        <v>7.0000000000000007E-2</v>
      </c>
      <c r="AD11" s="1582">
        <f t="shared" si="3"/>
        <v>7.0000000000000007E-2</v>
      </c>
      <c r="AE11" s="1582">
        <f t="shared" si="3"/>
        <v>7.0000000000000007E-2</v>
      </c>
      <c r="AF11" s="1582">
        <f t="shared" si="3"/>
        <v>7.0000000000000007E-2</v>
      </c>
      <c r="AG11" s="1582">
        <f t="shared" si="3"/>
        <v>7.0000000000000007E-2</v>
      </c>
      <c r="AH11" s="1582">
        <f t="shared" si="3"/>
        <v>7.0000000000000007E-2</v>
      </c>
      <c r="AI11" s="1582">
        <f t="shared" si="3"/>
        <v>7.0000000000000007E-2</v>
      </c>
      <c r="AJ11" s="1582">
        <f t="shared" si="3"/>
        <v>7.0000000000000007E-2</v>
      </c>
    </row>
    <row r="12" spans="1:39" ht="25.5" thickBot="1">
      <c r="A12" s="3528"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14"/>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30"/>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14"/>
      <c r="X13" s="2651"/>
      <c r="Y13" s="2650">
        <f>(-0.163*(Y12^2)-0.59*Y12+7617)*(10^(-4))/Y11</f>
        <v>10.881428571428572</v>
      </c>
      <c r="Z13" s="2650">
        <f t="shared" ref="Z13:AJ13" si="5">(-0.163*(Z12^2)-0.59*Z12+7617)*(10^(-4))/Z11</f>
        <v>10.881428571428572</v>
      </c>
      <c r="AA13" s="2650">
        <f t="shared" si="5"/>
        <v>10.881428571428572</v>
      </c>
      <c r="AB13" s="2650">
        <f t="shared" si="5"/>
        <v>10.881428571428572</v>
      </c>
      <c r="AC13" s="2650">
        <f t="shared" si="5"/>
        <v>10.881428571428572</v>
      </c>
      <c r="AD13" s="2650">
        <f t="shared" si="5"/>
        <v>10.881428571428572</v>
      </c>
      <c r="AE13" s="2650">
        <f t="shared" si="5"/>
        <v>10.881428571428572</v>
      </c>
      <c r="AF13" s="2650">
        <f t="shared" si="5"/>
        <v>10.881428571428572</v>
      </c>
      <c r="AG13" s="2650">
        <f t="shared" si="5"/>
        <v>10.881428571428572</v>
      </c>
      <c r="AH13" s="2650">
        <f t="shared" si="5"/>
        <v>10.881428571428572</v>
      </c>
      <c r="AI13" s="2650">
        <f t="shared" si="5"/>
        <v>10.881428571428572</v>
      </c>
      <c r="AJ13" s="2650">
        <f t="shared" si="5"/>
        <v>10.881428571428572</v>
      </c>
    </row>
    <row r="14" spans="1:39" ht="12.75" customHeight="1">
      <c r="A14" s="3530"/>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31"/>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28" t="s">
        <v>1829</v>
      </c>
      <c r="B16" s="1376" t="s">
        <v>941</v>
      </c>
      <c r="C16" s="1039">
        <f>ROUND(IF(F17="与级别开发程度一致",0,(G17-E17)/C17),0)</f>
        <v>0</v>
      </c>
      <c r="D16" s="3522" t="s">
        <v>945</v>
      </c>
      <c r="E16" s="3523"/>
      <c r="F16" s="3522" t="s">
        <v>942</v>
      </c>
      <c r="G16" s="3523"/>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32"/>
      <c r="B17" s="2854" t="s">
        <v>944</v>
      </c>
      <c r="C17" s="2855">
        <f>SUMPRODUCT((修正!A2:A5=E2)*(修正!B1:M1=G2)*(修正!B2:M5))</f>
        <v>2.5</v>
      </c>
      <c r="D17" s="2856" t="str">
        <f>IF(OR(G2="八级",G2="九级",G2="十级",G2="十一级",G2="十二级"),"五通一平","七通一平")</f>
        <v>七通一平</v>
      </c>
      <c r="E17" s="2846">
        <f>SUMPRODUCT((修正!B1:M1=G2)*(修正!B15:M15))</f>
        <v>300</v>
      </c>
      <c r="F17" s="2847" t="s">
        <v>3011</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ROUND(IF(H19="按公示增长率计算",SUMPRODUCT((地价!A3:A35=YEAR(G19)&amp;"-"&amp;ROUNDUP(MONTH(G19)/3,0))*(地价!X2:AB2=E2)*(地价!X3:AB35)),IF(H19="地价指数",M20/M19,(1+I19)^O19)),4)</f>
        <v>1.3906000000000001</v>
      </c>
      <c r="D19" s="1415" t="s">
        <v>948</v>
      </c>
      <c r="E19" s="1041">
        <v>41640</v>
      </c>
      <c r="F19" s="1415" t="s">
        <v>949</v>
      </c>
      <c r="G19" s="1042">
        <f>'数据-取费表'!B2</f>
        <v>44458</v>
      </c>
      <c r="H19" s="1416" t="s">
        <v>3012</v>
      </c>
      <c r="I19" s="2503" t="str">
        <f>IF(H19="季度增幅（自定义）",SUMIF(N21:N24,E2,O21:O24),"")</f>
        <v/>
      </c>
      <c r="J19" s="1412"/>
      <c r="K19" s="3234"/>
      <c r="L19" s="2753" t="s">
        <v>2821</v>
      </c>
      <c r="M19" s="2754">
        <f>ROUND(SUMIF(地价!B2:F2,E2,地价!B35:F35),0)</f>
        <v>258</v>
      </c>
      <c r="N19" s="2505" t="s">
        <v>1667</v>
      </c>
      <c r="O19" s="2504">
        <f>ROUNDDOWN(DATEDIF(E19,G19,"M")/3,0)</f>
        <v>30</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0.87429999999999997</v>
      </c>
      <c r="D20" s="2500" t="s">
        <v>963</v>
      </c>
      <c r="E20" s="2783">
        <f ca="1">存贷款利率!I4/100</f>
        <v>4.3499999999999997E-2</v>
      </c>
      <c r="F20" s="2500" t="s">
        <v>964</v>
      </c>
      <c r="G20" s="2501">
        <f ca="1">SUMIF(M26:P26,E2,M28:P28)</f>
        <v>5.1999999999999998E-2</v>
      </c>
      <c r="H20" s="2500" t="s">
        <v>965</v>
      </c>
      <c r="I20" s="2496">
        <f>SUMIF('数据-取费表'!C6:C15,E2,'数据-取费表'!F6:F15)/COUNTIF('数据-取费表'!C6:C15,E2)</f>
        <v>32.25</v>
      </c>
      <c r="J20" s="2502">
        <f>IF(E2="住宅",70,IF(E2="商业",40,50))</f>
        <v>50</v>
      </c>
      <c r="K20" s="2844"/>
      <c r="L20" s="2755" t="s">
        <v>2822</v>
      </c>
      <c r="M20" s="2837">
        <f>ROUND(SUMPRODUCT((地价!A4:A35=YEAR(G19)&amp;"-"&amp;ROUNDUP(MONTH(G19)/3,0))*(地价!B2:F2=E2)*(地价!B4:F35)),0)</f>
        <v>350</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3013</v>
      </c>
      <c r="C21" s="1141">
        <f>容积率修正!H105/0.0685</f>
        <v>186.67153284671534</v>
      </c>
      <c r="D21" s="1422"/>
      <c r="E21" s="1422"/>
      <c r="F21" s="1422"/>
      <c r="G21" s="1422"/>
      <c r="H21" s="1422"/>
      <c r="I21" s="1422"/>
      <c r="J21" s="1423"/>
      <c r="K21" s="3234"/>
      <c r="L21" s="1422"/>
      <c r="M21" s="1422"/>
      <c r="N21" s="1419" t="s">
        <v>966</v>
      </c>
      <c r="O21" s="1482"/>
      <c r="P21" s="2495">
        <f>SUMPRODUCT((地价!A3:A35=YEAR(G19)&amp;"-"&amp;ROUNDUP(MONTH(G19)/3,0))*(地价!AD2:AH2=N21)*(地价!AD3:AH35))</f>
        <v>1.0699999999999999E-2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8.9509000000000007</v>
      </c>
      <c r="E22" s="1026">
        <f>ROUNDDOWN(G3,1)</f>
        <v>0</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12.787000000000001</v>
      </c>
      <c r="I22" s="1043" t="s">
        <v>968</v>
      </c>
      <c r="J22" s="1043" t="str">
        <f>IF(G3&gt;10,D113,"——")</f>
        <v>——</v>
      </c>
      <c r="K22" s="3240"/>
      <c r="L22" s="1422"/>
      <c r="M22" s="1422"/>
      <c r="N22" s="1419" t="s">
        <v>969</v>
      </c>
      <c r="O22" s="1482"/>
      <c r="P22" s="2495">
        <f>SUMPRODUCT((地价!A3:A35=YEAR(G19)&amp;"-"&amp;ROUNDUP(MONTH(G19)/3,0))*(地价!AD2:AH2=N22)*(地价!AD3:AH35))</f>
        <v>1.0699999999999999E-2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SUMPRODUCT((地价!A3:A35=YEAR(G19)&amp;"-"&amp;ROUNDUP(MONTH(G19)/3,0))*(地价!AD2:AH2=N23)*(地价!AD3:AH35))</f>
        <v>1.8700000000000001E-2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1"/>
      <c r="L24" s="1422"/>
      <c r="M24" s="1422"/>
      <c r="N24" s="1419" t="s">
        <v>972</v>
      </c>
      <c r="O24" s="2836"/>
      <c r="P24" s="2495">
        <f>SUMPRODUCT((地价!A3:A35=YEAR(G19)&amp;"-"&amp;ROUNDUP(MONTH(G19)/3,0))*(地价!AD2:AH2=N24)*(地价!AD3:AH35))</f>
        <v>1.24E-2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SUMPRODUCT((地价!A3:A35=YEAR(G19)&amp;"-"&amp;ROUNDUP(MONTH(G19)/3,0))*(地价!AD2:AH2=N25)*(地价!AD3:AH35))</f>
        <v>1.7000000000000001E-2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906989</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1609115</v>
      </c>
      <c r="D29" s="1444">
        <f>'数据-汇总表'!F19</f>
        <v>5636.57</v>
      </c>
      <c r="E29" s="1763">
        <f ca="1">ROUND(C29*D29/10000,0)</f>
        <v>906989</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402279</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24"/>
      <c r="B33" s="1464" t="s">
        <v>990</v>
      </c>
      <c r="C33" s="1046">
        <f ca="1">ROUND(D5*C19*C20*C24*F33,0)</f>
        <v>6034</v>
      </c>
      <c r="D33" s="1477"/>
      <c r="E33" s="1035">
        <f ca="1">ROUND(C33*D33/10000,0)</f>
        <v>0</v>
      </c>
      <c r="F33" s="1035">
        <f>SUMIF(修正!A45:A56,G2,修正!B45:B56)</f>
        <v>0.7</v>
      </c>
      <c r="G33" s="1035">
        <f t="shared" ref="G33" ca="1" si="6">ROUND(IF(E2="工业",C33*$M$39,C33*$M$38),0)</f>
        <v>1509</v>
      </c>
      <c r="H33" s="1035">
        <f>D33</f>
        <v>0</v>
      </c>
      <c r="I33" s="1035">
        <f ca="1">ROUND(G33*H33/10000,0)</f>
        <v>0</v>
      </c>
      <c r="J33" s="3524"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25"/>
      <c r="B34" s="1394" t="s">
        <v>991</v>
      </c>
      <c r="C34" s="1046">
        <f ca="1">ROUND(D5*C19*C20*C24*F34,0)</f>
        <v>3448</v>
      </c>
      <c r="D34" s="1477"/>
      <c r="E34" s="1035">
        <f t="shared" ref="E34:E39" ca="1" si="7">ROUND(C34*D34/10000,0)</f>
        <v>0</v>
      </c>
      <c r="F34" s="1035">
        <f>SUMIF(修正!A45:A56,G2,修正!C45:C56)</f>
        <v>0.4</v>
      </c>
      <c r="G34" s="1035">
        <f ca="1">ROUND(IF(E2="工业",C34*$M$39,C34*$M$38),0)</f>
        <v>862</v>
      </c>
      <c r="H34" s="1035">
        <f t="shared" ref="H34:H39" si="8">D34</f>
        <v>0</v>
      </c>
      <c r="I34" s="1035">
        <f t="shared" ref="I34:I39" ca="1" si="9">ROUND(G34*H34/10000,0)</f>
        <v>0</v>
      </c>
      <c r="J34" s="3525"/>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25"/>
      <c r="B35" s="1394" t="s">
        <v>992</v>
      </c>
      <c r="C35" s="1046">
        <f ca="1">ROUND(D5*C19*C20*C24*F35,0)</f>
        <v>2414</v>
      </c>
      <c r="D35" s="1477"/>
      <c r="E35" s="1035">
        <f t="shared" ca="1" si="7"/>
        <v>0</v>
      </c>
      <c r="F35" s="1035">
        <f>SUMIF(修正!A45:A56,G2,修正!D45:D56)</f>
        <v>0.28000000000000003</v>
      </c>
      <c r="G35" s="1035">
        <f ca="1">ROUND(IF(E2="工业",C35*$M$39,C35*$M$38),0)</f>
        <v>604</v>
      </c>
      <c r="H35" s="1035">
        <f t="shared" si="8"/>
        <v>0</v>
      </c>
      <c r="I35" s="1035">
        <f t="shared" ca="1" si="9"/>
        <v>0</v>
      </c>
      <c r="J35" s="3525"/>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26"/>
      <c r="B36" s="1394" t="s">
        <v>993</v>
      </c>
      <c r="C36" s="1046">
        <f ca="1">ROUND(D5*C19*C20*C24*F36,0)</f>
        <v>2155</v>
      </c>
      <c r="D36" s="1477"/>
      <c r="E36" s="1035">
        <f t="shared" ca="1" si="7"/>
        <v>0</v>
      </c>
      <c r="F36" s="1035">
        <f>SUMIF(修正!A45:A56,G2,修正!E45:E56)</f>
        <v>0.25</v>
      </c>
      <c r="G36" s="1035">
        <f ca="1">ROUND(IF(E2="工业",C36*$M$39,C36*$M$38),0)</f>
        <v>539</v>
      </c>
      <c r="H36" s="1035">
        <f t="shared" si="8"/>
        <v>0</v>
      </c>
      <c r="I36" s="1035">
        <f t="shared" ca="1" si="9"/>
        <v>0</v>
      </c>
      <c r="J36" s="3526"/>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2155</v>
      </c>
      <c r="D37" s="1477"/>
      <c r="E37" s="1035">
        <f t="shared" ca="1" si="7"/>
        <v>0</v>
      </c>
      <c r="F37" s="1046">
        <f>SUMIF(修正!A45:A56,G2,修正!F45:F56)</f>
        <v>0.25</v>
      </c>
      <c r="G37" s="1035">
        <f ca="1">ROUND(IF(E2="工业",C37*$M$39,C37*$M$38),0)</f>
        <v>539</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0.25</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0.2</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2950</v>
      </c>
      <c r="C41" s="828">
        <f ca="1">ROUND(POWER(1+E41,H41-G41)*(POWER(1+E41,G41)-1)/(POWER(1+E41,H41)-1),4)</f>
        <v>0</v>
      </c>
      <c r="D41" s="372" t="s">
        <v>2948</v>
      </c>
      <c r="E41" s="2832">
        <f ca="1">G20</f>
        <v>5.1999999999999998E-2</v>
      </c>
      <c r="F41" s="372" t="s">
        <v>2949</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2906</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2905</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f>IF(E2="办公",SUMIF(L1:L12,G2,N1:N12),"——")</f>
        <v>0.13</v>
      </c>
      <c r="G58" s="2270"/>
      <c r="H58" s="2315">
        <f>IFERROR(ROUNDDOWN($F$58*I58/2,4),"——")</f>
        <v>1.5599999999999999E-2</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f t="shared" ref="H59:H66" si="19">IFERROR($F$58*I59/2,"——")</f>
        <v>1.95E-2</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f t="shared" si="19"/>
        <v>5.2000000000000006E-3</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2907</v>
      </c>
      <c r="C61" s="1037"/>
      <c r="D61" s="2272">
        <f t="shared" si="15"/>
        <v>0</v>
      </c>
      <c r="E61" s="2294"/>
      <c r="F61" s="2292"/>
      <c r="G61" s="2270"/>
      <c r="H61" s="2271">
        <f t="shared" si="19"/>
        <v>2.6000000000000003E-3</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f t="shared" si="19"/>
        <v>3.2500000000000003E-3</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2905</v>
      </c>
      <c r="C63" s="1037"/>
      <c r="D63" s="2272">
        <f t="shared" si="15"/>
        <v>0</v>
      </c>
      <c r="E63" s="2294"/>
      <c r="F63" s="2292"/>
      <c r="G63" s="2270"/>
      <c r="H63" s="2271">
        <f t="shared" si="19"/>
        <v>3.2500000000000003E-3</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f t="shared" si="19"/>
        <v>3.8999999999999998E-3</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f t="shared" si="19"/>
        <v>7.7999999999999996E-3</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f t="shared" si="19"/>
        <v>3.8999999999999998E-3</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2905</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2905</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33" t="s">
        <v>1624</v>
      </c>
      <c r="B90" s="3533"/>
      <c r="C90" s="3533"/>
      <c r="D90" s="3533"/>
      <c r="E90" s="3533"/>
      <c r="F90" s="3533"/>
      <c r="G90" s="3533"/>
      <c r="H90" s="3533"/>
      <c r="I90" s="3533"/>
      <c r="J90" s="3533"/>
      <c r="K90" s="2305"/>
      <c r="L90" s="2305"/>
      <c r="M90" s="2305"/>
      <c r="N90" s="2305"/>
    </row>
    <row r="91" spans="1:40">
      <c r="A91" s="3534" t="s">
        <v>1434</v>
      </c>
      <c r="B91" s="3534" t="s">
        <v>1625</v>
      </c>
      <c r="C91" s="1123" t="s">
        <v>1626</v>
      </c>
      <c r="D91" s="1124"/>
      <c r="E91" s="1124"/>
      <c r="F91" s="1124"/>
      <c r="G91" s="1124"/>
      <c r="H91" s="1124"/>
      <c r="I91" s="1124"/>
      <c r="J91" s="1125"/>
      <c r="K91" s="1117"/>
      <c r="L91" s="1117"/>
      <c r="M91" s="1117"/>
      <c r="N91" s="1117"/>
    </row>
    <row r="92" spans="1:40">
      <c r="A92" s="3534"/>
      <c r="B92" s="3534"/>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17"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18"/>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18"/>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18"/>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18"/>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18"/>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18"/>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19"/>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17" t="s">
        <v>1628</v>
      </c>
      <c r="B101" s="1130" t="s">
        <v>897</v>
      </c>
      <c r="C101" s="1131">
        <f>$G$3</f>
        <v>7.0000000000000007E-2</v>
      </c>
      <c r="D101" s="1131">
        <f t="shared" ref="D101:N101" si="31">$G$3</f>
        <v>7.0000000000000007E-2</v>
      </c>
      <c r="E101" s="1131">
        <f t="shared" si="31"/>
        <v>7.0000000000000007E-2</v>
      </c>
      <c r="F101" s="1131">
        <f t="shared" si="31"/>
        <v>7.0000000000000007E-2</v>
      </c>
      <c r="G101" s="1131">
        <f t="shared" si="31"/>
        <v>7.0000000000000007E-2</v>
      </c>
      <c r="H101" s="1131">
        <f t="shared" si="31"/>
        <v>7.0000000000000007E-2</v>
      </c>
      <c r="I101" s="1131">
        <f t="shared" si="31"/>
        <v>7.0000000000000007E-2</v>
      </c>
      <c r="J101" s="1131">
        <f t="shared" si="31"/>
        <v>7.0000000000000007E-2</v>
      </c>
      <c r="K101" s="1131">
        <f t="shared" si="31"/>
        <v>7.0000000000000007E-2</v>
      </c>
      <c r="L101" s="1131">
        <f t="shared" si="31"/>
        <v>7.0000000000000007E-2</v>
      </c>
      <c r="M101" s="1131">
        <f t="shared" si="31"/>
        <v>7.0000000000000007E-2</v>
      </c>
      <c r="N101" s="1131">
        <f t="shared" si="31"/>
        <v>7.0000000000000007E-2</v>
      </c>
    </row>
    <row r="102" spans="1:14">
      <c r="A102" s="3518"/>
      <c r="B102" s="1126">
        <v>1</v>
      </c>
      <c r="C102" s="1127">
        <f>1.9362/C101</f>
        <v>27.659999999999997</v>
      </c>
      <c r="D102" s="1127">
        <f>1.9362/D101</f>
        <v>27.659999999999997</v>
      </c>
      <c r="E102" s="1127">
        <f>1.8629/E101</f>
        <v>26.612857142857141</v>
      </c>
      <c r="F102" s="1127">
        <f>1.8629/F101</f>
        <v>26.612857142857141</v>
      </c>
      <c r="G102" s="1127">
        <f>1.8629/G101</f>
        <v>26.612857142857141</v>
      </c>
      <c r="H102" s="1127">
        <f>1.8629/H101</f>
        <v>26.612857142857141</v>
      </c>
      <c r="I102" s="1127">
        <f>1.8629/I101</f>
        <v>26.612857142857141</v>
      </c>
      <c r="J102" s="1127">
        <f>1.942/J101</f>
        <v>27.74285714285714</v>
      </c>
      <c r="K102" s="1127">
        <f>1.942/K101</f>
        <v>27.74285714285714</v>
      </c>
      <c r="L102" s="1127">
        <f>1.942/L101</f>
        <v>27.74285714285714</v>
      </c>
      <c r="M102" s="1127">
        <f>1.942/M101</f>
        <v>27.74285714285714</v>
      </c>
      <c r="N102" s="1127">
        <f>1.942/N101</f>
        <v>27.74285714285714</v>
      </c>
    </row>
    <row r="103" spans="1:14">
      <c r="A103" s="3518"/>
      <c r="B103" s="1126">
        <v>2</v>
      </c>
      <c r="C103" s="1127">
        <f>1.4198/C101</f>
        <v>20.282857142857139</v>
      </c>
      <c r="D103" s="1127">
        <f>1.4198/D101</f>
        <v>20.282857142857139</v>
      </c>
      <c r="E103" s="1127">
        <f>1.3372/E101</f>
        <v>19.10285714285714</v>
      </c>
      <c r="F103" s="1127">
        <f>1.3372/F101</f>
        <v>19.10285714285714</v>
      </c>
      <c r="G103" s="1127">
        <f>1.3372/G101</f>
        <v>19.10285714285714</v>
      </c>
      <c r="H103" s="1127">
        <f>1.3372/H101</f>
        <v>19.10285714285714</v>
      </c>
      <c r="I103" s="1127">
        <f>1.3372/I101</f>
        <v>19.10285714285714</v>
      </c>
      <c r="J103" s="1127">
        <f>1.2799/J101</f>
        <v>18.284285714285712</v>
      </c>
      <c r="K103" s="1127">
        <f>1.2799/K101</f>
        <v>18.284285714285712</v>
      </c>
      <c r="L103" s="1127">
        <f>1.2799/L101</f>
        <v>18.284285714285712</v>
      </c>
      <c r="M103" s="1127">
        <f>1.2799/M101</f>
        <v>18.284285714285712</v>
      </c>
      <c r="N103" s="1127">
        <f>1.2799/N101</f>
        <v>18.284285714285712</v>
      </c>
    </row>
    <row r="104" spans="1:14">
      <c r="A104" s="3518"/>
      <c r="B104" s="1126">
        <v>3</v>
      </c>
      <c r="C104" s="1127">
        <f>1.1594/C101</f>
        <v>16.562857142857141</v>
      </c>
      <c r="D104" s="1127">
        <f>1.1594/D101</f>
        <v>16.562857142857141</v>
      </c>
      <c r="E104" s="1127">
        <f>1.0788/E101</f>
        <v>15.411428571428569</v>
      </c>
      <c r="F104" s="1127">
        <f>1.0788/F101</f>
        <v>15.411428571428569</v>
      </c>
      <c r="G104" s="1127">
        <f>1.0788/G101</f>
        <v>15.411428571428569</v>
      </c>
      <c r="H104" s="1127">
        <f>1.0788/H101</f>
        <v>15.411428571428569</v>
      </c>
      <c r="I104" s="1127">
        <f>1.0788/I101</f>
        <v>15.411428571428569</v>
      </c>
      <c r="J104" s="1127">
        <f>1.0072/J101</f>
        <v>14.388571428571428</v>
      </c>
      <c r="K104" s="1127">
        <f>1.0072/K101</f>
        <v>14.388571428571428</v>
      </c>
      <c r="L104" s="1127">
        <f>1.0072/L101</f>
        <v>14.388571428571428</v>
      </c>
      <c r="M104" s="1127">
        <f>1.0072/M101</f>
        <v>14.388571428571428</v>
      </c>
      <c r="N104" s="1127">
        <f>1.0072/N101</f>
        <v>14.388571428571428</v>
      </c>
    </row>
    <row r="105" spans="1:14">
      <c r="A105" s="3518"/>
      <c r="B105" s="1126">
        <v>4</v>
      </c>
      <c r="C105" s="1127">
        <f>0.9622/C101</f>
        <v>13.745714285714286</v>
      </c>
      <c r="D105" s="1127">
        <f>0.9622/D101</f>
        <v>13.745714285714286</v>
      </c>
      <c r="E105" s="1127">
        <f>0.8656/E101</f>
        <v>12.365714285714285</v>
      </c>
      <c r="F105" s="1127">
        <f>0.8656/F101</f>
        <v>12.365714285714285</v>
      </c>
      <c r="G105" s="1127">
        <f>0.8656/G101</f>
        <v>12.365714285714285</v>
      </c>
      <c r="H105" s="1127">
        <f>0.8656/H101</f>
        <v>12.365714285714285</v>
      </c>
      <c r="I105" s="1127">
        <f>0.8656/I101</f>
        <v>12.365714285714285</v>
      </c>
      <c r="J105" s="1127">
        <f>0.7525/J101</f>
        <v>10.749999999999998</v>
      </c>
      <c r="K105" s="1127">
        <f>0.7525/K101</f>
        <v>10.749999999999998</v>
      </c>
      <c r="L105" s="1127">
        <f>0.7525/L101</f>
        <v>10.749999999999998</v>
      </c>
      <c r="M105" s="1127">
        <f>0.7525/M101</f>
        <v>10.749999999999998</v>
      </c>
      <c r="N105" s="1127">
        <f>0.7525/N101</f>
        <v>10.749999999999998</v>
      </c>
    </row>
    <row r="106" spans="1:14">
      <c r="A106" s="3518"/>
      <c r="B106" s="1126">
        <v>5</v>
      </c>
      <c r="C106" s="1127">
        <f>0.8417/C101</f>
        <v>12.024285714285714</v>
      </c>
      <c r="D106" s="1127">
        <f>0.8417/D101</f>
        <v>12.024285714285714</v>
      </c>
      <c r="E106" s="1127">
        <f>0.7371/E101</f>
        <v>10.53</v>
      </c>
      <c r="F106" s="1127">
        <f>0.7371/F101</f>
        <v>10.53</v>
      </c>
      <c r="G106" s="1127">
        <f>0.7371/G101</f>
        <v>10.53</v>
      </c>
      <c r="H106" s="1127">
        <f>0.7371/H101</f>
        <v>10.53</v>
      </c>
      <c r="I106" s="1127">
        <f>0.7371/I101</f>
        <v>10.53</v>
      </c>
      <c r="J106" s="1127">
        <f>0.5659/J101</f>
        <v>8.0842857142857127</v>
      </c>
      <c r="K106" s="1127">
        <f>0.5659/K101</f>
        <v>8.0842857142857127</v>
      </c>
      <c r="L106" s="1127">
        <f>0.5659/L101</f>
        <v>8.0842857142857127</v>
      </c>
      <c r="M106" s="1127">
        <f>0.5659/M101</f>
        <v>8.0842857142857127</v>
      </c>
      <c r="N106" s="1127">
        <f>0.5659/N101</f>
        <v>8.0842857142857127</v>
      </c>
    </row>
    <row r="107" spans="1:14">
      <c r="A107" s="3518"/>
      <c r="B107" s="1126">
        <v>6</v>
      </c>
      <c r="C107" s="1127">
        <f>0.7608/C101</f>
        <v>10.868571428571428</v>
      </c>
      <c r="D107" s="1127">
        <f>0.7608/D101</f>
        <v>10.868571428571428</v>
      </c>
      <c r="E107" s="1127">
        <f>0.6482/E101</f>
        <v>9.26</v>
      </c>
      <c r="F107" s="1127">
        <f>0.6482/F101</f>
        <v>9.26</v>
      </c>
      <c r="G107" s="1127">
        <f>0.6482/G101</f>
        <v>9.26</v>
      </c>
      <c r="H107" s="1127">
        <f>0.6482/H101</f>
        <v>9.26</v>
      </c>
      <c r="I107" s="1127">
        <f>0.6482/I101</f>
        <v>9.26</v>
      </c>
      <c r="J107" s="1127">
        <f>0.4525/J101</f>
        <v>6.4642857142857135</v>
      </c>
      <c r="K107" s="1127">
        <f>0.4525/K101</f>
        <v>6.4642857142857135</v>
      </c>
      <c r="L107" s="1127">
        <f>0.4525/L101</f>
        <v>6.4642857142857135</v>
      </c>
      <c r="M107" s="1127">
        <f>0.4525/M101</f>
        <v>6.4642857142857135</v>
      </c>
      <c r="N107" s="1127">
        <f>0.4525/N101</f>
        <v>6.4642857142857135</v>
      </c>
    </row>
    <row r="108" spans="1:14">
      <c r="A108" s="3518"/>
      <c r="B108" s="3520"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19"/>
      <c r="B109" s="3521"/>
      <c r="C109" s="1129">
        <f>(-0.163*(C108^2)-0.59*C108+7617)*(10^(-4))/C101</f>
        <v>10.881428571428572</v>
      </c>
      <c r="D109" s="1129">
        <f>(-0.163*(D108^2)-0.59*D108+7617)*(10^(-4))/D101</f>
        <v>10.881428571428572</v>
      </c>
      <c r="E109" s="1129">
        <f>(-0.161*(E108^2)-7.509*E108+6533)*(10^(-4))/E101</f>
        <v>9.3328571428571419</v>
      </c>
      <c r="F109" s="1129">
        <f>(-0.161*(F108^2)-7.509*F108+6533)*(10^(-4))/F101</f>
        <v>9.3328571428571419</v>
      </c>
      <c r="G109" s="1129">
        <f>(-0.161*(G108^2)-7.509*G108+6533)*(10^(-4))/G101</f>
        <v>9.3328571428571419</v>
      </c>
      <c r="H109" s="1129">
        <f>(-0.161*(H108^2)-7.509*H108+6533)*(10^(-4))/H101</f>
        <v>9.3328571428571419</v>
      </c>
      <c r="I109" s="1129">
        <f>(-0.161*(I108^2)-7.509*I108+6533)*(10^(-4))/I101</f>
        <v>9.3328571428571419</v>
      </c>
      <c r="J109" s="1129">
        <f>(-0.214*(J108^2)-21.991*J108+4665)*(10^(-4))/J101</f>
        <v>6.6642857142857137</v>
      </c>
      <c r="K109" s="1129">
        <f>(-0.214*(K108^2)-21.991*K108+4665)*(10^(-4))/K101</f>
        <v>6.6642857142857137</v>
      </c>
      <c r="L109" s="1129">
        <f>(-0.214*(L108^2)-21.991*L108+4665)*(10^(-4))/L101</f>
        <v>6.6642857142857137</v>
      </c>
      <c r="M109" s="1129">
        <f>(-0.214*(M108^2)-21.991*M108+4665)*(10^(-4))/M101</f>
        <v>6.6642857142857137</v>
      </c>
      <c r="N109" s="1129">
        <f>(-0.214*(N108^2)-21.991*N108+4665)*(10^(-4))/N101</f>
        <v>6.6642857142857137</v>
      </c>
    </row>
    <row r="110" spans="1:14">
      <c r="A110" s="3527" t="s">
        <v>1630</v>
      </c>
      <c r="B110" s="3527"/>
      <c r="C110" s="3527"/>
      <c r="D110" s="3527"/>
      <c r="E110" s="3527"/>
      <c r="F110" s="3527"/>
      <c r="G110" s="3527"/>
      <c r="H110" s="3527"/>
      <c r="I110" s="3527"/>
      <c r="J110" s="3527"/>
      <c r="K110" s="2303"/>
      <c r="L110" s="2303"/>
      <c r="M110" s="2303"/>
      <c r="N110" s="2303"/>
    </row>
    <row r="112" spans="1:14" ht="12.75" thickBot="1"/>
    <row r="113" spans="1:13" ht="25.5" thickBot="1">
      <c r="A113" s="1003" t="s">
        <v>887</v>
      </c>
      <c r="B113" s="2306">
        <f>G3</f>
        <v>7.0000000000000007E-2</v>
      </c>
      <c r="C113" s="1004" t="s">
        <v>888</v>
      </c>
      <c r="D113" s="1005">
        <f>SUMPRODUCT((A115:A118=F113)*(B114:M114=H113)*B115:M118)</f>
        <v>0.85580000000000001</v>
      </c>
      <c r="E113" s="1006" t="s">
        <v>889</v>
      </c>
      <c r="F113" s="1007" t="str">
        <f>E2</f>
        <v>办公</v>
      </c>
      <c r="G113" s="1006" t="s">
        <v>890</v>
      </c>
      <c r="H113" s="1007" t="str">
        <f>G2</f>
        <v>七级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0.93279999999999996</v>
      </c>
      <c r="C115" s="1017">
        <f>B115</f>
        <v>0.93279999999999996</v>
      </c>
      <c r="D115" s="1017">
        <f>ROUND(0.8331-0.0109*B113,4)</f>
        <v>0.83230000000000004</v>
      </c>
      <c r="E115" s="1017">
        <f>D115</f>
        <v>0.83230000000000004</v>
      </c>
      <c r="F115" s="1017">
        <f>E115</f>
        <v>0.83230000000000004</v>
      </c>
      <c r="G115" s="1017">
        <f>F115</f>
        <v>0.83230000000000004</v>
      </c>
      <c r="H115" s="1017">
        <f>G115</f>
        <v>0.83230000000000004</v>
      </c>
      <c r="I115" s="1017">
        <f>ROUND(0.689-0.0155*B113,4)</f>
        <v>0.68789999999999996</v>
      </c>
      <c r="J115" s="1017">
        <f t="shared" ref="J115:M118" si="33">I115</f>
        <v>0.68789999999999996</v>
      </c>
      <c r="K115" s="1017">
        <f t="shared" si="33"/>
        <v>0.68789999999999996</v>
      </c>
      <c r="L115" s="1017">
        <f t="shared" si="33"/>
        <v>0.68789999999999996</v>
      </c>
      <c r="M115" s="1018">
        <f t="shared" si="33"/>
        <v>0.68789999999999996</v>
      </c>
    </row>
    <row r="116" spans="1:13" ht="12.75">
      <c r="A116" s="1016" t="s">
        <v>892</v>
      </c>
      <c r="B116" s="1017">
        <f>ROUND(0.949-0.012*B113,4)</f>
        <v>0.94820000000000004</v>
      </c>
      <c r="C116" s="1017">
        <f>B116</f>
        <v>0.94820000000000004</v>
      </c>
      <c r="D116" s="1017">
        <f>ROUND(0.8567-0.013*B113,4)</f>
        <v>0.85580000000000001</v>
      </c>
      <c r="E116" s="1017">
        <f t="shared" ref="E116:H117" si="34">D116</f>
        <v>0.85580000000000001</v>
      </c>
      <c r="F116" s="1017">
        <f t="shared" si="34"/>
        <v>0.85580000000000001</v>
      </c>
      <c r="G116" s="1017">
        <f t="shared" si="34"/>
        <v>0.85580000000000001</v>
      </c>
      <c r="H116" s="1017">
        <f t="shared" si="34"/>
        <v>0.85580000000000001</v>
      </c>
      <c r="I116" s="1017">
        <f>ROUND(0.7694-0.014*B113,4)</f>
        <v>0.76839999999999997</v>
      </c>
      <c r="J116" s="1017">
        <f t="shared" si="33"/>
        <v>0.76839999999999997</v>
      </c>
      <c r="K116" s="1017">
        <f t="shared" si="33"/>
        <v>0.76839999999999997</v>
      </c>
      <c r="L116" s="1017">
        <f t="shared" si="33"/>
        <v>0.76839999999999997</v>
      </c>
      <c r="M116" s="1018">
        <f t="shared" si="33"/>
        <v>0.76839999999999997</v>
      </c>
    </row>
    <row r="117" spans="1:13" ht="12.75">
      <c r="A117" s="1019" t="s">
        <v>893</v>
      </c>
      <c r="B117" s="1017">
        <f>ROUND(0.8808-0.006*B113,4)</f>
        <v>0.88039999999999996</v>
      </c>
      <c r="C117" s="1017">
        <f>B117</f>
        <v>0.88039999999999996</v>
      </c>
      <c r="D117" s="1017">
        <f>ROUND(0.8748-0.008*B113,4)</f>
        <v>0.87419999999999998</v>
      </c>
      <c r="E117" s="1017">
        <f t="shared" si="34"/>
        <v>0.87419999999999998</v>
      </c>
      <c r="F117" s="1017">
        <f t="shared" si="34"/>
        <v>0.87419999999999998</v>
      </c>
      <c r="G117" s="1017">
        <f t="shared" si="34"/>
        <v>0.87419999999999998</v>
      </c>
      <c r="H117" s="1017">
        <f t="shared" si="34"/>
        <v>0.87419999999999998</v>
      </c>
      <c r="I117" s="1017">
        <f>ROUND(0.7412-0.0095*B113,4)</f>
        <v>0.74050000000000005</v>
      </c>
      <c r="J117" s="1017">
        <f t="shared" si="33"/>
        <v>0.74050000000000005</v>
      </c>
      <c r="K117" s="1017">
        <f t="shared" si="33"/>
        <v>0.74050000000000005</v>
      </c>
      <c r="L117" s="1017">
        <f t="shared" si="33"/>
        <v>0.74050000000000005</v>
      </c>
      <c r="M117" s="1018">
        <f t="shared" si="33"/>
        <v>0.74050000000000005</v>
      </c>
    </row>
    <row r="118" spans="1:13" ht="13.5" thickBot="1">
      <c r="A118" s="1020" t="s">
        <v>894</v>
      </c>
      <c r="B118" s="1021">
        <f>ROUND(0.7275-0.01*B113,4)</f>
        <v>0.7268</v>
      </c>
      <c r="C118" s="1021">
        <f>B118</f>
        <v>0.7268</v>
      </c>
      <c r="D118" s="1021">
        <f>ROUND(0.7043-0.012*B113,4)</f>
        <v>0.70350000000000001</v>
      </c>
      <c r="E118" s="1021">
        <f>D118</f>
        <v>0.70350000000000001</v>
      </c>
      <c r="F118" s="1021">
        <f>E118</f>
        <v>0.70350000000000001</v>
      </c>
      <c r="G118" s="1021">
        <f>ROUND(0.6299-0.0122*B113,4)</f>
        <v>0.629</v>
      </c>
      <c r="H118" s="1021">
        <f>G118</f>
        <v>0.629</v>
      </c>
      <c r="I118" s="1021">
        <f>ROUND(0.5667-0.0136*B113,4)</f>
        <v>0.56569999999999998</v>
      </c>
      <c r="J118" s="1021">
        <f t="shared" si="33"/>
        <v>0.56569999999999998</v>
      </c>
      <c r="K118" s="1021">
        <f t="shared" si="33"/>
        <v>0.56569999999999998</v>
      </c>
      <c r="L118" s="1021">
        <f t="shared" si="33"/>
        <v>0.56569999999999998</v>
      </c>
      <c r="M118" s="1022">
        <f t="shared" si="33"/>
        <v>0.56569999999999998</v>
      </c>
    </row>
  </sheetData>
  <sheetProtection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60"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34" t="s">
        <v>998</v>
      </c>
      <c r="B18" s="1137" t="s">
        <v>1437</v>
      </c>
      <c r="C18" s="1114" t="s">
        <v>1438</v>
      </c>
      <c r="D18" s="1115"/>
      <c r="E18" s="1137">
        <v>1</v>
      </c>
      <c r="F18" s="1116" t="s">
        <v>1439</v>
      </c>
      <c r="G18" s="1117"/>
      <c r="H18" s="1088"/>
      <c r="I18" s="1088"/>
    </row>
    <row r="19" spans="1:9" s="1530" customFormat="1" ht="19.5" customHeight="1">
      <c r="A19" s="3534"/>
      <c r="B19" s="3534" t="s">
        <v>1440</v>
      </c>
      <c r="C19" s="1114" t="s">
        <v>1441</v>
      </c>
      <c r="D19" s="1115"/>
      <c r="E19" s="1137">
        <v>0.9</v>
      </c>
      <c r="F19" s="1116" t="s">
        <v>1442</v>
      </c>
      <c r="G19" s="1117"/>
      <c r="H19" s="1088"/>
      <c r="I19" s="1088"/>
    </row>
    <row r="20" spans="1:9" s="1530" customFormat="1" ht="19.5" customHeight="1">
      <c r="A20" s="3534"/>
      <c r="B20" s="3534"/>
      <c r="C20" s="1114" t="s">
        <v>1443</v>
      </c>
      <c r="D20" s="1115"/>
      <c r="E20" s="1137">
        <v>1.1000000000000001</v>
      </c>
      <c r="F20" s="1116" t="s">
        <v>1444</v>
      </c>
      <c r="G20" s="1117"/>
      <c r="H20" s="1088"/>
      <c r="I20" s="1088"/>
    </row>
    <row r="21" spans="1:9" s="1530" customFormat="1" ht="19.5" customHeight="1">
      <c r="A21" s="3534"/>
      <c r="B21" s="3534"/>
      <c r="C21" s="1114" t="s">
        <v>1445</v>
      </c>
      <c r="D21" s="1115"/>
      <c r="E21" s="1137">
        <v>0.8</v>
      </c>
      <c r="F21" s="1116" t="s">
        <v>1446</v>
      </c>
      <c r="G21" s="1117"/>
      <c r="H21" s="1088"/>
      <c r="I21" s="1088"/>
    </row>
    <row r="22" spans="1:9" s="1530" customFormat="1" ht="19.5" customHeight="1">
      <c r="A22" s="3534"/>
      <c r="B22" s="3534"/>
      <c r="C22" s="1114" t="s">
        <v>1447</v>
      </c>
      <c r="D22" s="1115"/>
      <c r="E22" s="1137">
        <v>0.5</v>
      </c>
      <c r="F22" s="1116"/>
      <c r="G22" s="1117"/>
      <c r="H22" s="1088"/>
      <c r="I22" s="1088"/>
    </row>
    <row r="23" spans="1:9" s="1530" customFormat="1" ht="19.5" customHeight="1">
      <c r="A23" s="3534" t="s">
        <v>1020</v>
      </c>
      <c r="B23" s="1137" t="s">
        <v>1437</v>
      </c>
      <c r="C23" s="1114" t="s">
        <v>1448</v>
      </c>
      <c r="D23" s="1115"/>
      <c r="E23" s="1137">
        <v>1</v>
      </c>
      <c r="F23" s="1116" t="s">
        <v>1449</v>
      </c>
      <c r="G23" s="1117"/>
      <c r="H23" s="1088"/>
      <c r="I23" s="1088"/>
    </row>
    <row r="24" spans="1:9" s="1530" customFormat="1" ht="19.5" customHeight="1">
      <c r="A24" s="3534"/>
      <c r="B24" s="3534" t="s">
        <v>1440</v>
      </c>
      <c r="C24" s="1114" t="s">
        <v>1450</v>
      </c>
      <c r="D24" s="1115"/>
      <c r="E24" s="1137">
        <v>0.5</v>
      </c>
      <c r="F24" s="1116"/>
      <c r="G24" s="1117"/>
      <c r="H24" s="1088"/>
      <c r="I24" s="1088"/>
    </row>
    <row r="25" spans="1:9" s="1530" customFormat="1" ht="19.5" customHeight="1">
      <c r="A25" s="3534"/>
      <c r="B25" s="3534"/>
      <c r="C25" s="1114" t="s">
        <v>1451</v>
      </c>
      <c r="D25" s="1115"/>
      <c r="E25" s="1137">
        <v>1.1000000000000001</v>
      </c>
      <c r="F25" s="1116"/>
      <c r="G25" s="1117"/>
      <c r="H25" s="1088"/>
      <c r="I25" s="1088"/>
    </row>
    <row r="26" spans="1:9" s="1530" customFormat="1" ht="19.5" customHeight="1">
      <c r="A26" s="3534"/>
      <c r="B26" s="3534"/>
      <c r="C26" s="1114" t="s">
        <v>1452</v>
      </c>
      <c r="D26" s="1115"/>
      <c r="E26" s="1137">
        <v>1.1000000000000001</v>
      </c>
      <c r="F26" s="1116"/>
      <c r="G26" s="1117"/>
      <c r="H26" s="1088"/>
      <c r="I26" s="1088"/>
    </row>
    <row r="27" spans="1:9" s="1530" customFormat="1" ht="19.5" customHeight="1">
      <c r="A27" s="3534"/>
      <c r="B27" s="3534"/>
      <c r="C27" s="1114" t="s">
        <v>1453</v>
      </c>
      <c r="D27" s="1115"/>
      <c r="E27" s="1137">
        <v>0.9</v>
      </c>
      <c r="F27" s="1116" t="s">
        <v>1454</v>
      </c>
      <c r="G27" s="1117"/>
      <c r="H27" s="1088"/>
      <c r="I27" s="1088"/>
    </row>
    <row r="28" spans="1:9" s="1530" customFormat="1" ht="19.5" customHeight="1">
      <c r="A28" s="3534"/>
      <c r="B28" s="3534"/>
      <c r="C28" s="1114" t="s">
        <v>1455</v>
      </c>
      <c r="D28" s="1115"/>
      <c r="E28" s="1137">
        <v>0.9</v>
      </c>
      <c r="F28" s="1116" t="s">
        <v>1456</v>
      </c>
      <c r="G28" s="1117"/>
      <c r="H28" s="1088"/>
      <c r="I28" s="1088"/>
    </row>
    <row r="29" spans="1:9" s="1530" customFormat="1" ht="19.5" customHeight="1">
      <c r="A29" s="3534"/>
      <c r="B29" s="3534"/>
      <c r="C29" s="1114" t="s">
        <v>1457</v>
      </c>
      <c r="D29" s="1115"/>
      <c r="E29" s="1137">
        <v>0.9</v>
      </c>
      <c r="F29" s="1116" t="s">
        <v>1458</v>
      </c>
      <c r="G29" s="1117"/>
      <c r="H29" s="1088"/>
      <c r="I29" s="1088"/>
    </row>
    <row r="30" spans="1:9" s="1530" customFormat="1" ht="19.5" customHeight="1">
      <c r="A30" s="3534"/>
      <c r="B30" s="3534"/>
      <c r="C30" s="1114" t="s">
        <v>1459</v>
      </c>
      <c r="D30" s="1115"/>
      <c r="E30" s="1137">
        <v>0.9</v>
      </c>
      <c r="F30" s="1116" t="s">
        <v>1460</v>
      </c>
      <c r="G30" s="1117"/>
      <c r="H30" s="1088"/>
      <c r="I30" s="1088"/>
    </row>
    <row r="31" spans="1:9" s="1530" customFormat="1" ht="19.5" customHeight="1">
      <c r="A31" s="3534"/>
      <c r="B31" s="3534"/>
      <c r="C31" s="1114" t="s">
        <v>1461</v>
      </c>
      <c r="D31" s="1115"/>
      <c r="E31" s="1137">
        <v>0.8</v>
      </c>
      <c r="F31" s="1116" t="s">
        <v>1462</v>
      </c>
      <c r="G31" s="1117"/>
      <c r="H31" s="1088"/>
      <c r="I31" s="1088"/>
    </row>
    <row r="32" spans="1:9" s="1530" customFormat="1" ht="19.5" customHeight="1">
      <c r="A32" s="3534"/>
      <c r="B32" s="3534"/>
      <c r="C32" s="1114" t="s">
        <v>1463</v>
      </c>
      <c r="D32" s="1115"/>
      <c r="E32" s="1137">
        <v>0.8</v>
      </c>
      <c r="F32" s="1116" t="s">
        <v>1464</v>
      </c>
      <c r="G32" s="1117"/>
      <c r="H32" s="1088"/>
      <c r="I32" s="1088"/>
    </row>
    <row r="33" spans="1:9" s="1530" customFormat="1" ht="19.5" customHeight="1">
      <c r="A33" s="3534" t="s">
        <v>1465</v>
      </c>
      <c r="B33" s="1137" t="s">
        <v>1437</v>
      </c>
      <c r="C33" s="1114" t="s">
        <v>1466</v>
      </c>
      <c r="D33" s="1115"/>
      <c r="E33" s="1137">
        <v>1</v>
      </c>
      <c r="F33" s="1116" t="s">
        <v>1467</v>
      </c>
      <c r="G33" s="1117"/>
      <c r="H33" s="1088"/>
      <c r="I33" s="1088"/>
    </row>
    <row r="34" spans="1:9" s="1530" customFormat="1" ht="19.5" customHeight="1">
      <c r="A34" s="3534"/>
      <c r="B34" s="1137" t="s">
        <v>1440</v>
      </c>
      <c r="C34" s="1114" t="s">
        <v>1468</v>
      </c>
      <c r="D34" s="1115"/>
      <c r="E34" s="1137">
        <v>1.5</v>
      </c>
      <c r="F34" s="1116" t="s">
        <v>1469</v>
      </c>
      <c r="G34" s="1117"/>
      <c r="H34" s="1088"/>
      <c r="I34" s="1088"/>
    </row>
    <row r="35" spans="1:9" s="1530" customFormat="1" ht="19.5" customHeight="1">
      <c r="A35" s="3534" t="s">
        <v>1423</v>
      </c>
      <c r="B35" s="1137" t="s">
        <v>1437</v>
      </c>
      <c r="C35" s="1114" t="s">
        <v>1470</v>
      </c>
      <c r="D35" s="1115"/>
      <c r="E35" s="1137">
        <v>1</v>
      </c>
      <c r="F35" s="1116" t="s">
        <v>1471</v>
      </c>
      <c r="G35" s="1117"/>
      <c r="H35" s="1088"/>
      <c r="I35" s="1088"/>
    </row>
    <row r="36" spans="1:9" s="1530" customFormat="1" ht="19.5" customHeight="1">
      <c r="A36" s="3534"/>
      <c r="B36" s="3534" t="s">
        <v>1440</v>
      </c>
      <c r="C36" s="1114" t="s">
        <v>1472</v>
      </c>
      <c r="D36" s="1115"/>
      <c r="E36" s="1137">
        <v>1</v>
      </c>
      <c r="F36" s="1116" t="s">
        <v>1473</v>
      </c>
      <c r="G36" s="1117"/>
      <c r="H36" s="1088"/>
      <c r="I36" s="1088"/>
    </row>
    <row r="37" spans="1:9" s="1530" customFormat="1" ht="19.5" customHeight="1">
      <c r="A37" s="3534"/>
      <c r="B37" s="3534"/>
      <c r="C37" s="1114" t="s">
        <v>1474</v>
      </c>
      <c r="D37" s="1115"/>
      <c r="E37" s="1137">
        <v>1.5</v>
      </c>
      <c r="F37" s="1116" t="s">
        <v>1475</v>
      </c>
      <c r="G37" s="1117"/>
      <c r="H37" s="1088"/>
      <c r="I37" s="1088"/>
    </row>
    <row r="38" spans="1:9" s="1530" customFormat="1" ht="19.5" customHeight="1">
      <c r="A38" s="3534"/>
      <c r="B38" s="3534"/>
      <c r="C38" s="1114" t="s">
        <v>1476</v>
      </c>
      <c r="D38" s="1115"/>
      <c r="E38" s="1137">
        <v>1</v>
      </c>
      <c r="F38" s="1116" t="s">
        <v>1477</v>
      </c>
      <c r="G38" s="1117"/>
      <c r="H38" s="1088"/>
      <c r="I38" s="1088"/>
    </row>
    <row r="39" spans="1:9" s="1530" customFormat="1" ht="19.5" customHeight="1">
      <c r="A39" s="3534"/>
      <c r="B39" s="3534"/>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34" t="s">
        <v>1492</v>
      </c>
      <c r="C61" s="1051" t="s">
        <v>1493</v>
      </c>
      <c r="D61" s="1051" t="s">
        <v>1494</v>
      </c>
      <c r="E61" s="1122">
        <v>0.5</v>
      </c>
      <c r="F61" s="1137">
        <v>80</v>
      </c>
      <c r="H61" s="1088">
        <f>SUMIF(C59:C119,基准地价!C8,E59:E119)</f>
        <v>0</v>
      </c>
    </row>
    <row r="62" spans="1:8" s="1088" customFormat="1" ht="24">
      <c r="A62" s="1137">
        <v>2</v>
      </c>
      <c r="B62" s="3534"/>
      <c r="C62" s="1051" t="s">
        <v>1495</v>
      </c>
      <c r="D62" s="1051" t="s">
        <v>1496</v>
      </c>
      <c r="E62" s="1122">
        <v>0.5</v>
      </c>
      <c r="F62" s="1137">
        <v>80</v>
      </c>
    </row>
    <row r="63" spans="1:8" s="1088" customFormat="1" ht="36">
      <c r="A63" s="1137">
        <v>3</v>
      </c>
      <c r="B63" s="3534"/>
      <c r="C63" s="1051" t="s">
        <v>1497</v>
      </c>
      <c r="D63" s="1051" t="s">
        <v>1498</v>
      </c>
      <c r="E63" s="1122">
        <v>0.5</v>
      </c>
      <c r="F63" s="1137">
        <v>80</v>
      </c>
    </row>
    <row r="64" spans="1:8" s="1088" customFormat="1" ht="36">
      <c r="A64" s="1137">
        <v>4</v>
      </c>
      <c r="B64" s="3534"/>
      <c r="C64" s="1051" t="s">
        <v>1499</v>
      </c>
      <c r="D64" s="1051" t="s">
        <v>1500</v>
      </c>
      <c r="E64" s="1122">
        <v>0.4</v>
      </c>
      <c r="F64" s="1137">
        <v>60</v>
      </c>
    </row>
    <row r="65" spans="1:6" s="1088" customFormat="1" ht="36">
      <c r="A65" s="1137">
        <v>5</v>
      </c>
      <c r="B65" s="3534"/>
      <c r="C65" s="1051" t="s">
        <v>1501</v>
      </c>
      <c r="D65" s="1051" t="s">
        <v>1502</v>
      </c>
      <c r="E65" s="1122">
        <v>0.2</v>
      </c>
      <c r="F65" s="1137">
        <v>30</v>
      </c>
    </row>
    <row r="66" spans="1:6" s="1088" customFormat="1" ht="36">
      <c r="A66" s="1137">
        <v>6</v>
      </c>
      <c r="B66" s="3534"/>
      <c r="C66" s="1051" t="s">
        <v>1503</v>
      </c>
      <c r="D66" s="1051" t="s">
        <v>1504</v>
      </c>
      <c r="E66" s="1122">
        <v>0.3</v>
      </c>
      <c r="F66" s="1137">
        <v>50</v>
      </c>
    </row>
    <row r="67" spans="1:6" s="1088" customFormat="1" ht="36">
      <c r="A67" s="1137">
        <v>7</v>
      </c>
      <c r="B67" s="3534"/>
      <c r="C67" s="1051" t="s">
        <v>1505</v>
      </c>
      <c r="D67" s="1051" t="s">
        <v>1506</v>
      </c>
      <c r="E67" s="1122">
        <v>0.2</v>
      </c>
      <c r="F67" s="1137">
        <v>30</v>
      </c>
    </row>
    <row r="68" spans="1:6" s="1088" customFormat="1" ht="36">
      <c r="A68" s="1137">
        <v>8</v>
      </c>
      <c r="B68" s="3534"/>
      <c r="C68" s="1051" t="s">
        <v>1507</v>
      </c>
      <c r="D68" s="1051" t="s">
        <v>1508</v>
      </c>
      <c r="E68" s="1122">
        <v>0.2</v>
      </c>
      <c r="F68" s="1137">
        <v>30</v>
      </c>
    </row>
    <row r="69" spans="1:6" s="1088" customFormat="1" ht="36">
      <c r="A69" s="1137">
        <v>9</v>
      </c>
      <c r="B69" s="3534"/>
      <c r="C69" s="1051" t="s">
        <v>1509</v>
      </c>
      <c r="D69" s="1051" t="s">
        <v>1510</v>
      </c>
      <c r="E69" s="1122">
        <v>0.2</v>
      </c>
      <c r="F69" s="1137">
        <v>30</v>
      </c>
    </row>
    <row r="70" spans="1:6" s="1088" customFormat="1" ht="48">
      <c r="A70" s="1137">
        <v>10</v>
      </c>
      <c r="B70" s="3534"/>
      <c r="C70" s="1051" t="s">
        <v>1511</v>
      </c>
      <c r="D70" s="1051" t="s">
        <v>1512</v>
      </c>
      <c r="E70" s="1122">
        <v>0.2</v>
      </c>
      <c r="F70" s="1137">
        <v>30</v>
      </c>
    </row>
    <row r="71" spans="1:6" s="1088" customFormat="1" ht="48">
      <c r="A71" s="1137">
        <v>11</v>
      </c>
      <c r="B71" s="3534"/>
      <c r="C71" s="1051" t="s">
        <v>1513</v>
      </c>
      <c r="D71" s="1051" t="s">
        <v>1514</v>
      </c>
      <c r="E71" s="1122">
        <v>0.2</v>
      </c>
      <c r="F71" s="1137">
        <v>30</v>
      </c>
    </row>
    <row r="72" spans="1:6" s="1088" customFormat="1" ht="36">
      <c r="A72" s="1137">
        <v>12</v>
      </c>
      <c r="B72" s="3534"/>
      <c r="C72" s="1051" t="s">
        <v>1515</v>
      </c>
      <c r="D72" s="1051" t="s">
        <v>1516</v>
      </c>
      <c r="E72" s="1122">
        <v>0.5</v>
      </c>
      <c r="F72" s="1137">
        <v>80</v>
      </c>
    </row>
    <row r="73" spans="1:6" s="1088" customFormat="1" ht="24">
      <c r="A73" s="1137">
        <v>13</v>
      </c>
      <c r="B73" s="3534"/>
      <c r="C73" s="1051" t="s">
        <v>1517</v>
      </c>
      <c r="D73" s="1051" t="s">
        <v>1518</v>
      </c>
      <c r="E73" s="1122">
        <v>0.4</v>
      </c>
      <c r="F73" s="1137">
        <v>60</v>
      </c>
    </row>
    <row r="74" spans="1:6" s="1088" customFormat="1" ht="24">
      <c r="A74" s="1137">
        <v>14</v>
      </c>
      <c r="B74" s="3534"/>
      <c r="C74" s="1051" t="s">
        <v>1519</v>
      </c>
      <c r="D74" s="1051" t="s">
        <v>1520</v>
      </c>
      <c r="E74" s="1122">
        <v>0.2</v>
      </c>
      <c r="F74" s="1137">
        <v>30</v>
      </c>
    </row>
    <row r="75" spans="1:6" s="1088" customFormat="1" ht="24">
      <c r="A75" s="1137">
        <v>15</v>
      </c>
      <c r="B75" s="3534"/>
      <c r="C75" s="1051" t="s">
        <v>1521</v>
      </c>
      <c r="D75" s="1051" t="s">
        <v>1522</v>
      </c>
      <c r="E75" s="1122">
        <v>0.2</v>
      </c>
      <c r="F75" s="1137">
        <v>30</v>
      </c>
    </row>
    <row r="76" spans="1:6" s="1088" customFormat="1" ht="24">
      <c r="A76" s="1137">
        <v>16</v>
      </c>
      <c r="B76" s="3534" t="s">
        <v>1523</v>
      </c>
      <c r="C76" s="1051" t="s">
        <v>1524</v>
      </c>
      <c r="D76" s="1051" t="s">
        <v>1525</v>
      </c>
      <c r="E76" s="1122">
        <v>0.5</v>
      </c>
      <c r="F76" s="1137">
        <v>80</v>
      </c>
    </row>
    <row r="77" spans="1:6" s="1088" customFormat="1" ht="24">
      <c r="A77" s="1137">
        <v>17</v>
      </c>
      <c r="B77" s="3534"/>
      <c r="C77" s="1051" t="s">
        <v>1526</v>
      </c>
      <c r="D77" s="1051" t="s">
        <v>1527</v>
      </c>
      <c r="E77" s="1122">
        <v>0.5</v>
      </c>
      <c r="F77" s="1137">
        <v>80</v>
      </c>
    </row>
    <row r="78" spans="1:6" s="1088" customFormat="1" ht="24">
      <c r="A78" s="1137">
        <v>18</v>
      </c>
      <c r="B78" s="3534"/>
      <c r="C78" s="1051" t="s">
        <v>1528</v>
      </c>
      <c r="D78" s="1051" t="s">
        <v>1529</v>
      </c>
      <c r="E78" s="1122">
        <v>0.2</v>
      </c>
      <c r="F78" s="1137">
        <v>30</v>
      </c>
    </row>
    <row r="79" spans="1:6" s="1088" customFormat="1" ht="24">
      <c r="A79" s="1137">
        <v>19</v>
      </c>
      <c r="B79" s="3534"/>
      <c r="C79" s="1051" t="s">
        <v>1530</v>
      </c>
      <c r="D79" s="1051" t="s">
        <v>1531</v>
      </c>
      <c r="E79" s="1122">
        <v>0.5</v>
      </c>
      <c r="F79" s="1137">
        <v>80</v>
      </c>
    </row>
    <row r="80" spans="1:6" s="1088" customFormat="1" ht="36">
      <c r="A80" s="1137">
        <v>20</v>
      </c>
      <c r="B80" s="3534"/>
      <c r="C80" s="1051" t="s">
        <v>1532</v>
      </c>
      <c r="D80" s="1051" t="s">
        <v>1533</v>
      </c>
      <c r="E80" s="1122">
        <v>0.2</v>
      </c>
      <c r="F80" s="1137">
        <v>30</v>
      </c>
    </row>
    <row r="81" spans="1:6" s="1088" customFormat="1" ht="36">
      <c r="A81" s="1137">
        <v>21</v>
      </c>
      <c r="B81" s="3534"/>
      <c r="C81" s="1051" t="s">
        <v>1534</v>
      </c>
      <c r="D81" s="1051" t="s">
        <v>1535</v>
      </c>
      <c r="E81" s="1122">
        <v>0.2</v>
      </c>
      <c r="F81" s="1137">
        <v>30</v>
      </c>
    </row>
    <row r="82" spans="1:6" s="1088" customFormat="1" ht="48">
      <c r="A82" s="1137">
        <v>22</v>
      </c>
      <c r="B82" s="3534"/>
      <c r="C82" s="1051" t="s">
        <v>1536</v>
      </c>
      <c r="D82" s="1051" t="s">
        <v>1537</v>
      </c>
      <c r="E82" s="1122">
        <v>0.2</v>
      </c>
      <c r="F82" s="1137">
        <v>30</v>
      </c>
    </row>
    <row r="83" spans="1:6" s="1088" customFormat="1" ht="48">
      <c r="A83" s="1137">
        <v>23</v>
      </c>
      <c r="B83" s="3534"/>
      <c r="C83" s="1051" t="s">
        <v>1538</v>
      </c>
      <c r="D83" s="1051" t="s">
        <v>1539</v>
      </c>
      <c r="E83" s="1122">
        <v>0.2</v>
      </c>
      <c r="F83" s="1137">
        <v>30</v>
      </c>
    </row>
    <row r="84" spans="1:6" s="1088" customFormat="1" ht="36">
      <c r="A84" s="1137">
        <v>24</v>
      </c>
      <c r="B84" s="3534"/>
      <c r="C84" s="1051" t="s">
        <v>1540</v>
      </c>
      <c r="D84" s="1051" t="s">
        <v>1541</v>
      </c>
      <c r="E84" s="1122">
        <v>0.2</v>
      </c>
      <c r="F84" s="1137">
        <v>30</v>
      </c>
    </row>
    <row r="85" spans="1:6" s="1088" customFormat="1" ht="36">
      <c r="A85" s="1137">
        <v>25</v>
      </c>
      <c r="B85" s="3534"/>
      <c r="C85" s="1051" t="s">
        <v>1542</v>
      </c>
      <c r="D85" s="1051" t="s">
        <v>1543</v>
      </c>
      <c r="E85" s="1122">
        <v>0.5</v>
      </c>
      <c r="F85" s="1137">
        <v>80</v>
      </c>
    </row>
    <row r="86" spans="1:6" s="1088" customFormat="1" ht="36">
      <c r="A86" s="1137">
        <v>26</v>
      </c>
      <c r="B86" s="3534"/>
      <c r="C86" s="1051" t="s">
        <v>1544</v>
      </c>
      <c r="D86" s="1051" t="s">
        <v>1545</v>
      </c>
      <c r="E86" s="1122">
        <v>0.2</v>
      </c>
      <c r="F86" s="1137">
        <v>30</v>
      </c>
    </row>
    <row r="87" spans="1:6" s="1088" customFormat="1" ht="36">
      <c r="A87" s="1137">
        <v>27</v>
      </c>
      <c r="B87" s="3534"/>
      <c r="C87" s="1051" t="s">
        <v>1546</v>
      </c>
      <c r="D87" s="1051" t="s">
        <v>1547</v>
      </c>
      <c r="E87" s="1122">
        <v>0.2</v>
      </c>
      <c r="F87" s="1137">
        <v>30</v>
      </c>
    </row>
    <row r="88" spans="1:6" s="1088" customFormat="1" ht="36">
      <c r="A88" s="1137">
        <v>28</v>
      </c>
      <c r="B88" s="3534"/>
      <c r="C88" s="1051" t="s">
        <v>1548</v>
      </c>
      <c r="D88" s="1051" t="s">
        <v>1549</v>
      </c>
      <c r="E88" s="1122">
        <v>0.2</v>
      </c>
      <c r="F88" s="1137">
        <v>30</v>
      </c>
    </row>
    <row r="89" spans="1:6" s="1088" customFormat="1" ht="24">
      <c r="A89" s="1137">
        <v>29</v>
      </c>
      <c r="B89" s="3534"/>
      <c r="C89" s="1051" t="s">
        <v>1550</v>
      </c>
      <c r="D89" s="1051" t="s">
        <v>1551</v>
      </c>
      <c r="E89" s="1122">
        <v>0.2</v>
      </c>
      <c r="F89" s="1137">
        <v>30</v>
      </c>
    </row>
    <row r="90" spans="1:6" s="1088" customFormat="1" ht="24">
      <c r="A90" s="1137">
        <v>30</v>
      </c>
      <c r="B90" s="3534"/>
      <c r="C90" s="1051" t="s">
        <v>1552</v>
      </c>
      <c r="D90" s="1051" t="s">
        <v>1553</v>
      </c>
      <c r="E90" s="1122">
        <v>0.2</v>
      </c>
      <c r="F90" s="1137">
        <v>30</v>
      </c>
    </row>
    <row r="91" spans="1:6" s="1088" customFormat="1" ht="36">
      <c r="A91" s="1137">
        <v>31</v>
      </c>
      <c r="B91" s="3534"/>
      <c r="C91" s="1051" t="s">
        <v>1554</v>
      </c>
      <c r="D91" s="1051" t="s">
        <v>1555</v>
      </c>
      <c r="E91" s="1122">
        <v>0.2</v>
      </c>
      <c r="F91" s="1137">
        <v>30</v>
      </c>
    </row>
    <row r="92" spans="1:6" s="1088" customFormat="1" ht="24">
      <c r="A92" s="1137">
        <v>32</v>
      </c>
      <c r="B92" s="3534" t="s">
        <v>1556</v>
      </c>
      <c r="C92" s="1137" t="s">
        <v>1557</v>
      </c>
      <c r="D92" s="1051" t="s">
        <v>1558</v>
      </c>
      <c r="E92" s="1122">
        <v>0.2</v>
      </c>
      <c r="F92" s="1137">
        <v>30</v>
      </c>
    </row>
    <row r="93" spans="1:6" s="1088" customFormat="1" ht="36">
      <c r="A93" s="1137">
        <v>33</v>
      </c>
      <c r="B93" s="3534"/>
      <c r="C93" s="1137" t="s">
        <v>1559</v>
      </c>
      <c r="D93" s="1051" t="s">
        <v>1560</v>
      </c>
      <c r="E93" s="1122">
        <v>0.2</v>
      </c>
      <c r="F93" s="1137">
        <v>30</v>
      </c>
    </row>
    <row r="94" spans="1:6" s="1088" customFormat="1" ht="48">
      <c r="A94" s="1137">
        <v>34</v>
      </c>
      <c r="B94" s="3534"/>
      <c r="C94" s="1137" t="s">
        <v>1561</v>
      </c>
      <c r="D94" s="1051" t="s">
        <v>1562</v>
      </c>
      <c r="E94" s="1122">
        <v>0.2</v>
      </c>
      <c r="F94" s="1137">
        <v>30</v>
      </c>
    </row>
    <row r="95" spans="1:6" s="1088" customFormat="1" ht="36">
      <c r="A95" s="1137">
        <v>35</v>
      </c>
      <c r="B95" s="3534"/>
      <c r="C95" s="1137" t="s">
        <v>1563</v>
      </c>
      <c r="D95" s="1051" t="s">
        <v>1564</v>
      </c>
      <c r="E95" s="1122">
        <v>0.2</v>
      </c>
      <c r="F95" s="1137">
        <v>30</v>
      </c>
    </row>
    <row r="96" spans="1:6" s="1088" customFormat="1" ht="48">
      <c r="A96" s="1137">
        <v>36</v>
      </c>
      <c r="B96" s="3534"/>
      <c r="C96" s="1051" t="s">
        <v>1565</v>
      </c>
      <c r="D96" s="1051" t="s">
        <v>1566</v>
      </c>
      <c r="E96" s="1122">
        <v>0.2</v>
      </c>
      <c r="F96" s="1137">
        <v>30</v>
      </c>
    </row>
    <row r="97" spans="1:6" s="1088" customFormat="1" ht="36">
      <c r="A97" s="1137">
        <v>37</v>
      </c>
      <c r="B97" s="3534"/>
      <c r="C97" s="1137" t="s">
        <v>1567</v>
      </c>
      <c r="D97" s="1051" t="s">
        <v>1568</v>
      </c>
      <c r="E97" s="1122">
        <v>0.2</v>
      </c>
      <c r="F97" s="1137">
        <v>30</v>
      </c>
    </row>
    <row r="98" spans="1:6" s="1088" customFormat="1" ht="36">
      <c r="A98" s="1137">
        <v>38</v>
      </c>
      <c r="B98" s="3534"/>
      <c r="C98" s="1137" t="s">
        <v>1569</v>
      </c>
      <c r="D98" s="1051" t="s">
        <v>1570</v>
      </c>
      <c r="E98" s="1122">
        <v>0.2</v>
      </c>
      <c r="F98" s="1137">
        <v>30</v>
      </c>
    </row>
    <row r="99" spans="1:6" s="1088" customFormat="1" ht="36">
      <c r="A99" s="1137">
        <v>39</v>
      </c>
      <c r="B99" s="3534" t="s">
        <v>1571</v>
      </c>
      <c r="C99" s="1137" t="s">
        <v>1572</v>
      </c>
      <c r="D99" s="1051" t="s">
        <v>1573</v>
      </c>
      <c r="E99" s="1122">
        <v>0.3</v>
      </c>
      <c r="F99" s="1137">
        <v>50</v>
      </c>
    </row>
    <row r="100" spans="1:6" s="1088" customFormat="1" ht="24">
      <c r="A100" s="1137">
        <v>40</v>
      </c>
      <c r="B100" s="3534"/>
      <c r="C100" s="1137" t="s">
        <v>1574</v>
      </c>
      <c r="D100" s="1051" t="s">
        <v>1575</v>
      </c>
      <c r="E100" s="1122">
        <v>0.2</v>
      </c>
      <c r="F100" s="1137">
        <v>30</v>
      </c>
    </row>
    <row r="101" spans="1:6" s="1088" customFormat="1" ht="36">
      <c r="A101" s="1137">
        <v>41</v>
      </c>
      <c r="B101" s="3534"/>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34" t="s">
        <v>1586</v>
      </c>
      <c r="C105" s="1137" t="s">
        <v>1587</v>
      </c>
      <c r="D105" s="1051" t="s">
        <v>1588</v>
      </c>
      <c r="E105" s="1122">
        <v>0.2</v>
      </c>
      <c r="F105" s="1137">
        <v>30</v>
      </c>
    </row>
    <row r="106" spans="1:6" s="1088" customFormat="1" ht="36">
      <c r="A106" s="1137">
        <v>46</v>
      </c>
      <c r="B106" s="3534"/>
      <c r="C106" s="1137" t="s">
        <v>1589</v>
      </c>
      <c r="D106" s="1051" t="s">
        <v>1590</v>
      </c>
      <c r="E106" s="1122">
        <v>0.2</v>
      </c>
      <c r="F106" s="1137">
        <v>30</v>
      </c>
    </row>
    <row r="107" spans="1:6" s="1088" customFormat="1" ht="36">
      <c r="A107" s="1137">
        <v>47</v>
      </c>
      <c r="B107" s="3534" t="s">
        <v>1591</v>
      </c>
      <c r="C107" s="1137" t="s">
        <v>1592</v>
      </c>
      <c r="D107" s="1051" t="s">
        <v>1593</v>
      </c>
      <c r="E107" s="1122">
        <v>0.3</v>
      </c>
      <c r="F107" s="1137">
        <v>50</v>
      </c>
    </row>
    <row r="108" spans="1:6" s="1088" customFormat="1" ht="36">
      <c r="A108" s="1137">
        <v>48</v>
      </c>
      <c r="B108" s="3534"/>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34" t="s">
        <v>1602</v>
      </c>
      <c r="C111" s="1137" t="s">
        <v>1603</v>
      </c>
      <c r="D111" s="1051" t="s">
        <v>1604</v>
      </c>
      <c r="E111" s="1122">
        <v>0.2</v>
      </c>
      <c r="F111" s="1137">
        <v>30</v>
      </c>
    </row>
    <row r="112" spans="1:6" s="1088" customFormat="1" ht="24">
      <c r="A112" s="1137">
        <v>52</v>
      </c>
      <c r="B112" s="3534"/>
      <c r="C112" s="1137" t="s">
        <v>1605</v>
      </c>
      <c r="D112" s="1051" t="s">
        <v>1606</v>
      </c>
      <c r="E112" s="1122">
        <v>0.2</v>
      </c>
      <c r="F112" s="1137">
        <v>30</v>
      </c>
    </row>
    <row r="113" spans="1:14" s="1088" customFormat="1" ht="24">
      <c r="A113" s="1137">
        <v>53</v>
      </c>
      <c r="B113" s="3534"/>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34" t="s">
        <v>1615</v>
      </c>
      <c r="C116" s="1137" t="s">
        <v>1616</v>
      </c>
      <c r="D116" s="1051" t="s">
        <v>1617</v>
      </c>
      <c r="E116" s="1122">
        <v>0.2</v>
      </c>
      <c r="F116" s="1137">
        <v>30</v>
      </c>
    </row>
    <row r="117" spans="1:14" ht="36">
      <c r="A117" s="1137">
        <v>57</v>
      </c>
      <c r="B117" s="3534"/>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33" t="s">
        <v>1624</v>
      </c>
      <c r="B121" s="3533"/>
      <c r="C121" s="3533"/>
      <c r="D121" s="3533"/>
      <c r="E121" s="3533"/>
      <c r="F121" s="3533"/>
      <c r="G121" s="3533"/>
      <c r="H121" s="3533"/>
      <c r="I121" s="3533"/>
      <c r="J121" s="3533"/>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35" t="s">
        <v>1030</v>
      </c>
      <c r="B1" s="3535"/>
      <c r="C1" s="3535"/>
      <c r="D1" s="3535"/>
      <c r="E1" s="3535"/>
      <c r="F1" s="3535"/>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36" t="s">
        <v>1043</v>
      </c>
      <c r="B2" s="3536"/>
      <c r="C2" s="3536"/>
      <c r="D2" s="3536"/>
      <c r="E2" s="3536"/>
      <c r="F2" s="3536"/>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37"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8"/>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7090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03" workbookViewId="0">
      <selection activeCell="A105" sqref="A105"/>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39" t="s">
        <v>2068</v>
      </c>
      <c r="B1" s="3539"/>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82285.63平方米。根据《建设工程规划许可证》[]、《出让合同》[]，估价对象规划建筑面积为5636.57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2021年9月19日</v>
      </c>
    </row>
    <row r="12" spans="1:4" ht="18.75">
      <c r="A12" s="1712" t="s">
        <v>2014</v>
      </c>
    </row>
    <row r="13" spans="1:4" ht="18.75">
      <c r="A13" s="1706" t="s">
        <v>2910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根据《国有土地使用证》[]，估价对象（分摊）出让国有建设用地使用权面积为82285.63平方米。根据《建设工程规划许可证》[]、《出让合同》[]，估价对象规划建筑面积为5636.57平方米。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本次估价对象为出让国有建设用地使用权，《国有土地使用证》[]证载土地终止日期为办公2053年12月13日。截至估价期日，出让国有建设用地使用权剩余土地使用年限为。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9月19日，在规划利用条件下、设定土地开发程度为红线外“七通”、宗地内场地，设定用途为，剩余土地使用年限为的出让国有建设用地使用权价格。</v>
      </c>
    </row>
    <row r="26" spans="1:1" ht="9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11" sqref="W11"/>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47" t="s">
        <v>2557</v>
      </c>
      <c r="C1" s="3547"/>
      <c r="D1" s="3547"/>
      <c r="E1" s="3547"/>
      <c r="F1" s="3547"/>
      <c r="G1" s="3546" t="s">
        <v>2558</v>
      </c>
      <c r="H1" s="3546"/>
      <c r="I1" s="3546"/>
      <c r="J1" s="3546"/>
      <c r="K1" s="3546"/>
      <c r="L1" s="3546"/>
      <c r="N1" s="3546" t="s">
        <v>2559</v>
      </c>
      <c r="O1" s="3546"/>
      <c r="P1" s="3546"/>
      <c r="Q1" s="3546"/>
      <c r="S1" s="3546" t="s">
        <v>2560</v>
      </c>
      <c r="T1" s="3546"/>
      <c r="U1" s="3546"/>
      <c r="V1" s="3546"/>
      <c r="X1" s="3545" t="s">
        <v>2620</v>
      </c>
      <c r="Y1" s="3546"/>
      <c r="Z1" s="3546"/>
      <c r="AA1" s="3546"/>
      <c r="AB1" s="3546"/>
      <c r="AD1" s="3545" t="s">
        <v>2624</v>
      </c>
      <c r="AE1" s="3546"/>
      <c r="AF1" s="3546"/>
      <c r="AG1" s="3546"/>
      <c r="AH1" s="3546"/>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ROUND(AVERAGE($I4:$I35),2)</f>
        <v>1.7</v>
      </c>
      <c r="J3" s="2874">
        <f>ROUND(AVERAGE($J4:$J35),2)</f>
        <v>1.07</v>
      </c>
      <c r="K3" s="2874">
        <f>ROUND(AVERAGE($K4:$K35),2)</f>
        <v>1.87</v>
      </c>
      <c r="L3" s="2874">
        <f>ROUND(AVERAGE($L4:$L35),2)</f>
        <v>1.24</v>
      </c>
      <c r="N3" s="2872"/>
      <c r="S3" s="2872"/>
      <c r="W3" s="2876"/>
      <c r="X3" s="2877">
        <f>ROUND(SUMPRODUCT(PRODUCT(1+N3:N$34)),4)</f>
        <v>1.6338999999999999</v>
      </c>
      <c r="Y3" s="2877">
        <f>ROUND(SUMPRODUCT(PRODUCT(1+O3:O$34)),4)</f>
        <v>1.3588</v>
      </c>
      <c r="Z3" s="2877">
        <f t="shared" ref="Z3" si="0">Y3</f>
        <v>1.3588</v>
      </c>
      <c r="AA3" s="2877">
        <f>ROUND(SUMPRODUCT(PRODUCT(1+P3:P$34)),4)</f>
        <v>1.7150000000000001</v>
      </c>
      <c r="AB3" s="2877">
        <f>ROUND(SUMPRODUCT(PRODUCT(1+Q3:Q$34)),4)</f>
        <v>1.446</v>
      </c>
      <c r="AD3" s="2878">
        <f>ROUND(AVERAGE(I3:I$35)/100,4)</f>
        <v>1.7000000000000001E-2</v>
      </c>
      <c r="AE3" s="2878">
        <f>ROUND(AVERAGE(J3:J$35)/100,4)</f>
        <v>1.0699999999999999E-2</v>
      </c>
      <c r="AF3" s="2878">
        <f t="shared" ref="AF3:AF33" si="1">AE3</f>
        <v>1.0699999999999999E-2</v>
      </c>
      <c r="AG3" s="2878">
        <f>ROUND(AVERAGE(K3:K$35)/100,4)</f>
        <v>1.8700000000000001E-2</v>
      </c>
      <c r="AH3" s="2878">
        <f>ROUND(AVERAGE(L3:L$35)/100,4)</f>
        <v>1.24E-2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3002</v>
      </c>
      <c r="B5" s="2889">
        <f t="shared" ref="B5" si="2">B6*(1+N5)</f>
        <v>502.50893609650217</v>
      </c>
      <c r="C5" s="2889">
        <f t="shared" ref="C5" si="3">C6*(1+O5)</f>
        <v>350.27569313914915</v>
      </c>
      <c r="D5" s="2889">
        <f t="shared" ref="D5" si="4">C5</f>
        <v>350.27569313914915</v>
      </c>
      <c r="E5" s="2889">
        <f t="shared" ref="E5" si="5">E6*(1+P5)</f>
        <v>725.27220201394141</v>
      </c>
      <c r="F5" s="2889">
        <f t="shared" ref="F5" si="6">F6*(1+Q5)</f>
        <v>332.45017846012797</v>
      </c>
      <c r="G5" s="2882">
        <v>2021</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ROUND(SUMPRODUCT(PRODUCT(1+N5:N$35)),4)</f>
        <v>1.6825000000000001</v>
      </c>
      <c r="Y5" s="2896">
        <f>ROUND(SUMPRODUCT(PRODUCT(1+O5:O$35)),4)</f>
        <v>1.3906000000000001</v>
      </c>
      <c r="Z5" s="2896">
        <f t="shared" ref="Z5" si="11">Y5</f>
        <v>1.3906000000000001</v>
      </c>
      <c r="AA5" s="2896">
        <f>ROUND(SUMPRODUCT(PRODUCT(1+P5:P$35)),4)</f>
        <v>1.7712000000000001</v>
      </c>
      <c r="AB5" s="2896">
        <f>ROUND(SUMPRODUCT(PRODUCT(1+Q5:Q$35)),4)</f>
        <v>1.4657</v>
      </c>
      <c r="AD5" s="2897">
        <f>ROUND(AVERAGE(I5:I$35)/100,4)</f>
        <v>1.7000000000000001E-2</v>
      </c>
      <c r="AE5" s="2897">
        <f>ROUND(AVERAGE(J5:J$35)/100,4)</f>
        <v>1.0699999999999999E-2</v>
      </c>
      <c r="AF5" s="2897">
        <f t="shared" ref="AF5" si="12">AE5</f>
        <v>1.0699999999999999E-2</v>
      </c>
      <c r="AG5" s="2897">
        <f>ROUND(AVERAGE(K5:K$35)/100,4)</f>
        <v>1.8700000000000001E-2</v>
      </c>
      <c r="AH5" s="2897">
        <f>ROUND(AVERAGE(L5:L$35)/100,4)</f>
        <v>1.24E-2</v>
      </c>
    </row>
    <row r="6" spans="1:34" s="2905" customFormat="1">
      <c r="A6" s="2898" t="s">
        <v>3001</v>
      </c>
      <c r="B6" s="2899">
        <f t="shared" ref="B6" si="13">B7*(1+N6)</f>
        <v>502.50893609650217</v>
      </c>
      <c r="C6" s="2899">
        <f t="shared" ref="C6" si="14">C7*(1+O6)</f>
        <v>350.27569313914915</v>
      </c>
      <c r="D6" s="2899">
        <f t="shared" ref="D6" si="15">C6</f>
        <v>350.27569313914915</v>
      </c>
      <c r="E6" s="2899">
        <f t="shared" ref="E6" si="16">E7*(1+P6)</f>
        <v>725.27220201394141</v>
      </c>
      <c r="F6" s="2899">
        <f t="shared" ref="F6" si="17">F7*(1+Q6)</f>
        <v>332.45017846012797</v>
      </c>
      <c r="G6" s="2882">
        <v>2021</v>
      </c>
      <c r="H6" s="2900">
        <v>2</v>
      </c>
      <c r="I6" s="2862">
        <v>0.92</v>
      </c>
      <c r="J6" s="2862">
        <v>0.72</v>
      </c>
      <c r="K6" s="2862">
        <v>0.95</v>
      </c>
      <c r="L6" s="2863">
        <v>1.01</v>
      </c>
      <c r="M6" s="2886"/>
      <c r="N6" s="2901">
        <f t="shared" ref="N6" si="18">I6/100</f>
        <v>9.1999999999999998E-3</v>
      </c>
      <c r="O6" s="2887">
        <f t="shared" ref="O6" si="19">J6/100</f>
        <v>7.1999999999999998E-3</v>
      </c>
      <c r="P6" s="2887">
        <f t="shared" ref="P6" si="20">K6/100</f>
        <v>9.4999999999999998E-3</v>
      </c>
      <c r="Q6" s="2887">
        <f t="shared" ref="Q6" si="21">L6/100</f>
        <v>1.01E-2</v>
      </c>
      <c r="R6" s="2902"/>
      <c r="S6" s="2903"/>
      <c r="T6" s="2904"/>
      <c r="U6" s="2904"/>
      <c r="V6" s="2904"/>
      <c r="W6" s="2886"/>
      <c r="X6" s="2886">
        <f>ROUND(SUMPRODUCT(PRODUCT(1+N6:N$35)),4)</f>
        <v>1.6825000000000001</v>
      </c>
      <c r="Y6" s="2886">
        <f>ROUND(SUMPRODUCT(PRODUCT(1+O6:O$35)),4)</f>
        <v>1.3906000000000001</v>
      </c>
      <c r="Z6" s="2886">
        <f t="shared" ref="Z6" si="22">Y6</f>
        <v>1.3906000000000001</v>
      </c>
      <c r="AA6" s="2886">
        <f>ROUND(SUMPRODUCT(PRODUCT(1+P6:P$35)),4)</f>
        <v>1.7712000000000001</v>
      </c>
      <c r="AB6" s="2886">
        <f>ROUND(SUMPRODUCT(PRODUCT(1+Q6:Q$35)),4)</f>
        <v>1.4657</v>
      </c>
      <c r="AC6" s="2886"/>
      <c r="AD6" s="2887">
        <f>ROUND(AVERAGE(I6:I$35)/100,4)</f>
        <v>1.7600000000000001E-2</v>
      </c>
      <c r="AE6" s="2887">
        <f>ROUND(AVERAGE(J6:J$35)/100,4)</f>
        <v>1.11E-2</v>
      </c>
      <c r="AF6" s="2887">
        <f t="shared" ref="AF6" si="23">AE6</f>
        <v>1.11E-2</v>
      </c>
      <c r="AG6" s="2887">
        <f>ROUND(AVERAGE(K6:K$35)/100,4)</f>
        <v>1.9400000000000001E-2</v>
      </c>
      <c r="AH6" s="2887">
        <f>ROUND(AVERAGE(L6:L$35)/100,4)</f>
        <v>1.2800000000000001E-2</v>
      </c>
    </row>
    <row r="7" spans="1:34" s="2905" customFormat="1">
      <c r="A7" s="2898" t="s">
        <v>3000</v>
      </c>
      <c r="B7" s="2899">
        <f t="shared" ref="B7" si="24">B8*(1+N7)</f>
        <v>497.92799851020823</v>
      </c>
      <c r="C7" s="2899">
        <f t="shared" ref="C7" si="25">C8*(1+O7)</f>
        <v>347.77173663537445</v>
      </c>
      <c r="D7" s="2899">
        <f t="shared" ref="D7" si="26">C7</f>
        <v>347.77173663537445</v>
      </c>
      <c r="E7" s="2899">
        <f t="shared" ref="E7" si="27">E8*(1+P7)</f>
        <v>718.44695593258189</v>
      </c>
      <c r="F7" s="2899">
        <f t="shared" ref="F7" si="28">F8*(1+Q7)</f>
        <v>329.12600580153247</v>
      </c>
      <c r="G7" s="2882">
        <v>2021</v>
      </c>
      <c r="H7" s="2900">
        <v>1</v>
      </c>
      <c r="I7" s="2862">
        <v>0.97</v>
      </c>
      <c r="J7" s="2862">
        <v>0.16</v>
      </c>
      <c r="K7" s="2862">
        <v>1.1100000000000001</v>
      </c>
      <c r="L7" s="2863">
        <v>0.36</v>
      </c>
      <c r="M7" s="2886"/>
      <c r="N7" s="2901">
        <f t="shared" ref="N7" si="29">I7/100</f>
        <v>9.7000000000000003E-3</v>
      </c>
      <c r="O7" s="2887">
        <f t="shared" ref="O7" si="30">J7/100</f>
        <v>1.6000000000000001E-3</v>
      </c>
      <c r="P7" s="2887">
        <f t="shared" ref="P7" si="31">K7/100</f>
        <v>1.11E-2</v>
      </c>
      <c r="Q7" s="2887">
        <f t="shared" ref="Q7" si="32">L7/100</f>
        <v>3.5999999999999999E-3</v>
      </c>
      <c r="R7" s="2902"/>
      <c r="S7" s="2903">
        <f>B7/B8-1</f>
        <v>9.7000000000000419E-3</v>
      </c>
      <c r="T7" s="2904">
        <f>C7/C8-1</f>
        <v>1.6000000000000458E-3</v>
      </c>
      <c r="U7" s="2904">
        <f>E7/E8-1</f>
        <v>1.110000000000011E-2</v>
      </c>
      <c r="V7" s="2904">
        <f>F7/F8-1</f>
        <v>3.6000000000000476E-3</v>
      </c>
      <c r="W7" s="2886"/>
      <c r="X7" s="2886">
        <f>ROUND(SUMPRODUCT(PRODUCT(1+N7:N$35)),4)</f>
        <v>1.6671</v>
      </c>
      <c r="Y7" s="2886">
        <f>ROUND(SUMPRODUCT(PRODUCT(1+O7:O$35)),4)</f>
        <v>1.3807</v>
      </c>
      <c r="Z7" s="2886">
        <f t="shared" ref="Z7" si="33">Y7</f>
        <v>1.3807</v>
      </c>
      <c r="AA7" s="2886">
        <f>ROUND(SUMPRODUCT(PRODUCT(1+P7:P$35)),4)</f>
        <v>1.7545999999999999</v>
      </c>
      <c r="AB7" s="2886">
        <f>ROUND(SUMPRODUCT(PRODUCT(1+Q7:Q$35)),4)</f>
        <v>1.4510000000000001</v>
      </c>
      <c r="AC7" s="2886"/>
      <c r="AD7" s="2887">
        <f>ROUND(AVERAGE(I7:I$35)/100,4)</f>
        <v>1.7899999999999999E-2</v>
      </c>
      <c r="AE7" s="2887">
        <f>ROUND(AVERAGE(J7:J$35)/100,4)</f>
        <v>1.12E-2</v>
      </c>
      <c r="AF7" s="2887">
        <f t="shared" ref="AF7" si="34">AE7</f>
        <v>1.12E-2</v>
      </c>
      <c r="AG7" s="2887">
        <f>ROUND(AVERAGE(K7:K$35)/100,4)</f>
        <v>1.9699999999999999E-2</v>
      </c>
      <c r="AH7" s="2887">
        <f>ROUND(AVERAGE(L7:L$35)/100,4)</f>
        <v>1.29E-2</v>
      </c>
    </row>
    <row r="8" spans="1:34" s="2905" customFormat="1">
      <c r="A8" s="2898" t="s">
        <v>2999</v>
      </c>
      <c r="B8" s="2899">
        <f t="shared" ref="B8" si="35">B9*(1+N8)</f>
        <v>493.14449689037161</v>
      </c>
      <c r="C8" s="2899">
        <f t="shared" ref="C8" si="36">C9*(1+O8)</f>
        <v>347.21619073020611</v>
      </c>
      <c r="D8" s="2899">
        <f t="shared" ref="D8" si="37">C8</f>
        <v>347.21619073020611</v>
      </c>
      <c r="E8" s="2899">
        <f t="shared" ref="E8" si="38">E9*(1+P8)</f>
        <v>710.55974278763904</v>
      </c>
      <c r="F8" s="2899">
        <f t="shared" ref="F8" si="39">F9*(1+Q8)</f>
        <v>327.94540235306141</v>
      </c>
      <c r="G8" s="2882">
        <v>2020</v>
      </c>
      <c r="H8" s="2900">
        <v>4</v>
      </c>
      <c r="I8" s="2862">
        <v>2.0699999999999998</v>
      </c>
      <c r="J8" s="2862">
        <v>0.37</v>
      </c>
      <c r="K8" s="2862">
        <v>2.35</v>
      </c>
      <c r="L8" s="2863">
        <v>2.69</v>
      </c>
      <c r="M8" s="2886"/>
      <c r="N8" s="2901">
        <f t="shared" ref="N8" si="40">I8/100</f>
        <v>2.07E-2</v>
      </c>
      <c r="O8" s="2887">
        <f t="shared" ref="O8" si="41">J8/100</f>
        <v>3.7000000000000002E-3</v>
      </c>
      <c r="P8" s="2887">
        <f t="shared" ref="P8" si="42">K8/100</f>
        <v>2.35E-2</v>
      </c>
      <c r="Q8" s="2887">
        <f t="shared" ref="Q8" si="43">L8/100</f>
        <v>2.69E-2</v>
      </c>
      <c r="R8" s="2902"/>
      <c r="S8" s="2903"/>
      <c r="T8" s="2904"/>
      <c r="U8" s="2904"/>
      <c r="V8" s="2904"/>
      <c r="W8" s="2886"/>
      <c r="X8" s="2886">
        <f>ROUND(SUMPRODUCT(PRODUCT(1+N8:N$35)),4)</f>
        <v>1.6511</v>
      </c>
      <c r="Y8" s="2886">
        <f>ROUND(SUMPRODUCT(PRODUCT(1+O8:O$35)),4)</f>
        <v>1.3785000000000001</v>
      </c>
      <c r="Z8" s="2886">
        <f t="shared" ref="Z8" si="44">Y8</f>
        <v>1.3785000000000001</v>
      </c>
      <c r="AA8" s="2886">
        <f>ROUND(SUMPRODUCT(PRODUCT(1+P8:P$35)),4)</f>
        <v>1.7353000000000001</v>
      </c>
      <c r="AB8" s="2886">
        <f>ROUND(SUMPRODUCT(PRODUCT(1+Q8:Q$35)),4)</f>
        <v>1.4458</v>
      </c>
      <c r="AC8" s="2886"/>
      <c r="AD8" s="2887">
        <f>ROUND(AVERAGE(I8:I$35)/100,4)</f>
        <v>1.8200000000000001E-2</v>
      </c>
      <c r="AE8" s="2887">
        <f>ROUND(AVERAGE(J8:J$35)/100,4)</f>
        <v>1.1599999999999999E-2</v>
      </c>
      <c r="AF8" s="2887">
        <f t="shared" ref="AF8" si="45">AE8</f>
        <v>1.1599999999999999E-2</v>
      </c>
      <c r="AG8" s="2887">
        <f>ROUND(AVERAGE(K8:K$35)/100,4)</f>
        <v>0.02</v>
      </c>
      <c r="AH8" s="2887">
        <f>ROUND(AVERAGE(L8:L$35)/100,4)</f>
        <v>1.3299999999999999E-2</v>
      </c>
    </row>
    <row r="9" spans="1:34" s="2905" customFormat="1">
      <c r="A9" s="2898" t="s">
        <v>2998</v>
      </c>
      <c r="B9" s="2899">
        <f t="shared" ref="B9" si="46">B10*(1+N9)</f>
        <v>483.1434279321756</v>
      </c>
      <c r="C9" s="2899">
        <f t="shared" ref="C9" si="47">C10*(1+O9)</f>
        <v>345.93622669144776</v>
      </c>
      <c r="D9" s="2899">
        <f t="shared" ref="D9" si="48">C9</f>
        <v>345.93622669144776</v>
      </c>
      <c r="E9" s="2899">
        <f t="shared" ref="E9" si="49">E10*(1+P9)</f>
        <v>694.24498562544113</v>
      </c>
      <c r="F9" s="2899">
        <f t="shared" ref="F9" si="50">F10*(1+Q9)</f>
        <v>319.35475932716082</v>
      </c>
      <c r="G9" s="2882">
        <v>2020</v>
      </c>
      <c r="H9" s="2900">
        <v>3</v>
      </c>
      <c r="I9" s="2862">
        <v>0.36</v>
      </c>
      <c r="J9" s="2862">
        <v>-0.39</v>
      </c>
      <c r="K9" s="2862">
        <v>0.49</v>
      </c>
      <c r="L9" s="2863">
        <v>7.0000000000000007E-2</v>
      </c>
      <c r="M9" s="2886"/>
      <c r="N9" s="2901">
        <f t="shared" ref="N9" si="51">I9/100</f>
        <v>3.5999999999999999E-3</v>
      </c>
      <c r="O9" s="2887">
        <f t="shared" ref="O9" si="52">J9/100</f>
        <v>-3.9000000000000003E-3</v>
      </c>
      <c r="P9" s="2887">
        <f t="shared" ref="P9" si="53">K9/100</f>
        <v>4.8999999999999998E-3</v>
      </c>
      <c r="Q9" s="2887">
        <f t="shared" ref="Q9" si="54">L9/100</f>
        <v>7.000000000000001E-4</v>
      </c>
      <c r="R9" s="2902"/>
      <c r="S9" s="2903"/>
      <c r="T9" s="2904"/>
      <c r="U9" s="2904"/>
      <c r="V9" s="2904"/>
      <c r="W9" s="2886"/>
      <c r="X9" s="2886">
        <f>ROUND(SUMPRODUCT(PRODUCT(1+N9:N$35)),4)</f>
        <v>1.6175999999999999</v>
      </c>
      <c r="Y9" s="2886">
        <f>ROUND(SUMPRODUCT(PRODUCT(1+O9:O$35)),4)</f>
        <v>1.3734</v>
      </c>
      <c r="Z9" s="2886">
        <f t="shared" ref="Z9" si="55">Y9</f>
        <v>1.3734</v>
      </c>
      <c r="AA9" s="2886">
        <f>ROUND(SUMPRODUCT(PRODUCT(1+P9:P$35)),4)</f>
        <v>1.6955</v>
      </c>
      <c r="AB9" s="2886">
        <f>ROUND(SUMPRODUCT(PRODUCT(1+Q9:Q$35)),4)</f>
        <v>1.4078999999999999</v>
      </c>
      <c r="AC9" s="2886"/>
      <c r="AD9" s="2887">
        <f>ROUND(AVERAGE(I9:I$35)/100,4)</f>
        <v>1.8100000000000002E-2</v>
      </c>
      <c r="AE9" s="2887">
        <f>ROUND(AVERAGE(J9:J$35)/100,4)</f>
        <v>1.1900000000000001E-2</v>
      </c>
      <c r="AF9" s="2887">
        <f t="shared" ref="AF9" si="56">AE9</f>
        <v>1.1900000000000001E-2</v>
      </c>
      <c r="AG9" s="2887">
        <f>ROUND(AVERAGE(K9:K$35)/100,4)</f>
        <v>1.9900000000000001E-2</v>
      </c>
      <c r="AH9" s="2887">
        <f>ROUND(AVERAGE(L9:L$35)/100,4)</f>
        <v>1.2800000000000001E-2</v>
      </c>
    </row>
    <row r="10" spans="1:34" s="2905" customFormat="1">
      <c r="A10" s="2898" t="s">
        <v>2961</v>
      </c>
      <c r="B10" s="2899">
        <f t="shared" ref="B10" si="57">B11*(1+N10)</f>
        <v>481.4103506697644</v>
      </c>
      <c r="C10" s="2899">
        <f t="shared" ref="C10" si="58">C11*(1+O10)</f>
        <v>347.29066026648707</v>
      </c>
      <c r="D10" s="2899">
        <f t="shared" ref="D10" si="59">C10</f>
        <v>347.29066026648707</v>
      </c>
      <c r="E10" s="2899">
        <f t="shared" ref="E10" si="60">E11*(1+P10)</f>
        <v>690.85977273901995</v>
      </c>
      <c r="F10" s="2899">
        <f t="shared" ref="F10" si="61">F11*(1+Q10)</f>
        <v>319.13136737000184</v>
      </c>
      <c r="G10" s="2882">
        <v>2020</v>
      </c>
      <c r="H10" s="2900">
        <v>2</v>
      </c>
      <c r="I10" s="2862">
        <v>0.31</v>
      </c>
      <c r="J10" s="2862">
        <v>-0.78</v>
      </c>
      <c r="K10" s="2862">
        <v>0.5</v>
      </c>
      <c r="L10" s="2863">
        <v>0.47</v>
      </c>
      <c r="M10" s="2886"/>
      <c r="N10" s="2901">
        <f t="shared" ref="N10" si="62">I10/100</f>
        <v>3.0999999999999999E-3</v>
      </c>
      <c r="O10" s="2887">
        <f t="shared" ref="O10" si="63">J10/100</f>
        <v>-7.8000000000000005E-3</v>
      </c>
      <c r="P10" s="2887">
        <f t="shared" ref="P10" si="64">K10/100</f>
        <v>5.0000000000000001E-3</v>
      </c>
      <c r="Q10" s="2887">
        <f t="shared" ref="Q10" si="65">L10/100</f>
        <v>4.6999999999999993E-3</v>
      </c>
      <c r="R10" s="2902"/>
      <c r="S10" s="2903"/>
      <c r="T10" s="2904"/>
      <c r="U10" s="2904"/>
      <c r="V10" s="2904"/>
      <c r="W10" s="2886"/>
      <c r="X10" s="2886">
        <f>ROUND(SUMPRODUCT(PRODUCT(1+N10:N$35)),4)</f>
        <v>1.6117999999999999</v>
      </c>
      <c r="Y10" s="2886">
        <f>ROUND(SUMPRODUCT(PRODUCT(1+O10:O$35)),4)</f>
        <v>1.3788</v>
      </c>
      <c r="Z10" s="2886">
        <f t="shared" ref="Z10" si="66">Y10</f>
        <v>1.3788</v>
      </c>
      <c r="AA10" s="2886">
        <f>ROUND(SUMPRODUCT(PRODUCT(1+P10:P$35)),4)</f>
        <v>1.6872</v>
      </c>
      <c r="AB10" s="2886">
        <f>ROUND(SUMPRODUCT(PRODUCT(1+Q10:Q$35)),4)</f>
        <v>1.4069</v>
      </c>
      <c r="AC10" s="2886"/>
      <c r="AD10" s="2887">
        <f>ROUND(AVERAGE(I10:I$35)/100,4)</f>
        <v>1.8599999999999998E-2</v>
      </c>
      <c r="AE10" s="2887">
        <f>ROUND(AVERAGE(J10:J$35)/100,4)</f>
        <v>1.2500000000000001E-2</v>
      </c>
      <c r="AF10" s="2887">
        <f t="shared" ref="AF10" si="67">AE10</f>
        <v>1.2500000000000001E-2</v>
      </c>
      <c r="AG10" s="2887">
        <f>ROUND(AVERAGE(K10:K$35)/100,4)</f>
        <v>2.0400000000000001E-2</v>
      </c>
      <c r="AH10" s="2887">
        <f>ROUND(AVERAGE(L10:L$35)/100,4)</f>
        <v>1.32E-2</v>
      </c>
    </row>
    <row r="11" spans="1:34" s="2905" customFormat="1">
      <c r="A11" s="2898" t="s">
        <v>2959</v>
      </c>
      <c r="B11" s="2899">
        <f t="shared" ref="B11" si="68">B12*(1+N11)</f>
        <v>479.92259063878413</v>
      </c>
      <c r="C11" s="2899">
        <f t="shared" ref="C11" si="69">C12*(1+O11)</f>
        <v>350.02082268341775</v>
      </c>
      <c r="D11" s="2899">
        <f t="shared" ref="D11" si="70">C11</f>
        <v>350.02082268341775</v>
      </c>
      <c r="E11" s="2899">
        <f t="shared" ref="E11" si="71">E12*(1+P11)</f>
        <v>687.42265944181099</v>
      </c>
      <c r="F11" s="2899">
        <f t="shared" ref="F11" si="72">F12*(1+Q11)</f>
        <v>317.63846657708956</v>
      </c>
      <c r="G11" s="2882">
        <v>2020</v>
      </c>
      <c r="H11" s="2900">
        <v>1</v>
      </c>
      <c r="I11" s="2862">
        <v>0.12</v>
      </c>
      <c r="J11" s="2862">
        <v>-0.4</v>
      </c>
      <c r="K11" s="2862">
        <v>0.21</v>
      </c>
      <c r="L11" s="2863">
        <v>0.27</v>
      </c>
      <c r="M11" s="2886"/>
      <c r="N11" s="2901">
        <f t="shared" ref="N11" si="73">I11/100</f>
        <v>1.1999999999999999E-3</v>
      </c>
      <c r="O11" s="2887">
        <f t="shared" ref="O11" si="74">J11/100</f>
        <v>-4.0000000000000001E-3</v>
      </c>
      <c r="P11" s="2887">
        <f t="shared" ref="P11" si="75">K11/100</f>
        <v>2.0999999999999999E-3</v>
      </c>
      <c r="Q11" s="2887">
        <f t="shared" ref="Q11" si="76">L11/100</f>
        <v>2.7000000000000001E-3</v>
      </c>
      <c r="R11" s="2902"/>
      <c r="S11" s="2903">
        <f>B11/B12-1</f>
        <v>1.2000000000000899E-3</v>
      </c>
      <c r="T11" s="2904">
        <f>C11/C12-1</f>
        <v>-4.0000000000000036E-3</v>
      </c>
      <c r="U11" s="2904">
        <f>E11/E12-1</f>
        <v>2.0999999999999908E-3</v>
      </c>
      <c r="V11" s="2904">
        <f>F11/F12-1</f>
        <v>2.6999999999999247E-3</v>
      </c>
      <c r="W11" s="2886"/>
      <c r="X11" s="2886">
        <f>ROUND(SUMPRODUCT(PRODUCT(1+N11:N$35)),4)</f>
        <v>1.6068</v>
      </c>
      <c r="Y11" s="2886">
        <f>ROUND(SUMPRODUCT(PRODUCT(1+O11:O$35)),4)</f>
        <v>1.3895999999999999</v>
      </c>
      <c r="Z11" s="2886">
        <f t="shared" ref="Z11:Z34" si="77">Y11</f>
        <v>1.3895999999999999</v>
      </c>
      <c r="AA11" s="2886">
        <f>ROUND(SUMPRODUCT(PRODUCT(1+P11:P$35)),4)</f>
        <v>1.6788000000000001</v>
      </c>
      <c r="AB11" s="2886">
        <f>ROUND(SUMPRODUCT(PRODUCT(1+Q11:Q$35)),4)</f>
        <v>1.4004000000000001</v>
      </c>
      <c r="AC11" s="2886"/>
      <c r="AD11" s="2887">
        <f>ROUND(AVERAGE(I11:I$35)/100,4)</f>
        <v>1.9199999999999998E-2</v>
      </c>
      <c r="AE11" s="2887">
        <f>ROUND(AVERAGE(J11:J$35)/100,4)</f>
        <v>1.3299999999999999E-2</v>
      </c>
      <c r="AF11" s="2887">
        <f t="shared" ref="AF11" si="78">AE11</f>
        <v>1.3299999999999999E-2</v>
      </c>
      <c r="AG11" s="2887">
        <f>ROUND(AVERAGE(K11:K$35)/100,4)</f>
        <v>2.1100000000000001E-2</v>
      </c>
      <c r="AH11" s="2887">
        <f>ROUND(AVERAGE(L11:L$35)/100,4)</f>
        <v>1.3599999999999999E-2</v>
      </c>
    </row>
    <row r="12" spans="1:34" s="2905" customFormat="1">
      <c r="A12" s="2898" t="s">
        <v>2956</v>
      </c>
      <c r="B12" s="2899">
        <f t="shared" ref="B12" si="79">B13*(1+N12)</f>
        <v>479.34737379023579</v>
      </c>
      <c r="C12" s="2899">
        <f t="shared" ref="C12" si="80">C13*(1+O12)</f>
        <v>351.4265287986122</v>
      </c>
      <c r="D12" s="2899">
        <f t="shared" ref="D12" si="81">C12</f>
        <v>351.4265287986122</v>
      </c>
      <c r="E12" s="2899">
        <f t="shared" ref="E12" si="82">E13*(1+P12)</f>
        <v>685.98209703803116</v>
      </c>
      <c r="F12" s="2899">
        <f t="shared" ref="F12" si="83">F13*(1+Q12)</f>
        <v>316.78315206651001</v>
      </c>
      <c r="G12" s="2882">
        <v>2019</v>
      </c>
      <c r="H12" s="2900">
        <v>4</v>
      </c>
      <c r="I12" s="2900">
        <v>0.45</v>
      </c>
      <c r="J12" s="2900">
        <v>-0.12</v>
      </c>
      <c r="K12" s="2900">
        <v>0.54</v>
      </c>
      <c r="L12" s="2906">
        <v>0.48</v>
      </c>
      <c r="M12" s="2886"/>
      <c r="N12" s="2901">
        <f t="shared" ref="N12" si="84">I12/100</f>
        <v>4.5000000000000005E-3</v>
      </c>
      <c r="O12" s="2887">
        <f t="shared" ref="O12" si="85">J12/100</f>
        <v>-1.1999999999999999E-3</v>
      </c>
      <c r="P12" s="2887">
        <f t="shared" ref="P12" si="86">K12/100</f>
        <v>5.4000000000000003E-3</v>
      </c>
      <c r="Q12" s="2887">
        <f t="shared" ref="Q12" si="87">L12/100</f>
        <v>4.7999999999999996E-3</v>
      </c>
      <c r="R12" s="2902"/>
      <c r="S12" s="2903"/>
      <c r="T12" s="2904"/>
      <c r="U12" s="2904"/>
      <c r="V12" s="2904"/>
      <c r="W12" s="2886"/>
      <c r="X12" s="2886">
        <f>ROUND(SUMPRODUCT(PRODUCT(1+N12:N$35)),4)</f>
        <v>1.6049</v>
      </c>
      <c r="Y12" s="2886">
        <f>ROUND(SUMPRODUCT(PRODUCT(1+O12:O$35)),4)</f>
        <v>1.3952</v>
      </c>
      <c r="Z12" s="2886">
        <f t="shared" si="77"/>
        <v>1.3952</v>
      </c>
      <c r="AA12" s="2886">
        <f>ROUND(SUMPRODUCT(PRODUCT(1+P12:P$35)),4)</f>
        <v>1.6753</v>
      </c>
      <c r="AB12" s="2886">
        <f>ROUND(SUMPRODUCT(PRODUCT(1+Q12:Q$35)),4)</f>
        <v>1.3966000000000001</v>
      </c>
      <c r="AC12" s="2886"/>
      <c r="AD12" s="2887">
        <f>ROUND(AVERAGE(I12:I$35)/100,4)</f>
        <v>0.02</v>
      </c>
      <c r="AE12" s="2887">
        <f>ROUND(AVERAGE(J12:J$35)/100,4)</f>
        <v>1.4E-2</v>
      </c>
      <c r="AF12" s="2887">
        <f t="shared" ref="AF12" si="88">AE12</f>
        <v>1.4E-2</v>
      </c>
      <c r="AG12" s="2887">
        <f>ROUND(AVERAGE(K12:K$35)/100,4)</f>
        <v>2.1899999999999999E-2</v>
      </c>
      <c r="AH12" s="2887">
        <f>ROUND(AVERAGE(L12:L$35)/100,4)</f>
        <v>1.4E-2</v>
      </c>
    </row>
    <row r="13" spans="1:34" s="2905" customFormat="1" ht="13.5" thickBot="1">
      <c r="A13" s="2898" t="s">
        <v>2955</v>
      </c>
      <c r="B13" s="2899">
        <f t="shared" ref="B13" si="89">B14*(1+N13)</f>
        <v>477.19997390765138</v>
      </c>
      <c r="C13" s="2899">
        <f t="shared" ref="C13" si="90">C14*(1+O13)</f>
        <v>351.84874729536665</v>
      </c>
      <c r="D13" s="2899">
        <f t="shared" ref="D13" si="91">C13</f>
        <v>351.84874729536665</v>
      </c>
      <c r="E13" s="2899">
        <f t="shared" ref="E13" si="92">E14*(1+P13)</f>
        <v>682.29768951465201</v>
      </c>
      <c r="F13" s="2899">
        <f t="shared" ref="F13" si="93">F14*(1+Q13)</f>
        <v>315.26985675409043</v>
      </c>
      <c r="G13" s="2882">
        <v>2019</v>
      </c>
      <c r="H13" s="2900">
        <v>3</v>
      </c>
      <c r="I13" s="2900">
        <v>0.61</v>
      </c>
      <c r="J13" s="2900">
        <v>0.67</v>
      </c>
      <c r="K13" s="2900">
        <v>0.6</v>
      </c>
      <c r="L13" s="2906">
        <v>1.03</v>
      </c>
      <c r="M13" s="2886"/>
      <c r="N13" s="2901">
        <f t="shared" ref="N13" si="94">I13/100</f>
        <v>6.0999999999999995E-3</v>
      </c>
      <c r="O13" s="2887">
        <f t="shared" ref="O13" si="95">J13/100</f>
        <v>6.7000000000000002E-3</v>
      </c>
      <c r="P13" s="2887">
        <f t="shared" ref="P13" si="96">K13/100</f>
        <v>6.0000000000000001E-3</v>
      </c>
      <c r="Q13" s="2887">
        <f t="shared" ref="Q13" si="97">L13/100</f>
        <v>1.03E-2</v>
      </c>
      <c r="R13" s="2902"/>
      <c r="S13" s="2903"/>
      <c r="T13" s="2904"/>
      <c r="U13" s="2904"/>
      <c r="V13" s="2904"/>
      <c r="W13" s="2886"/>
      <c r="X13" s="2886">
        <f>ROUND(SUMPRODUCT(PRODUCT(1+N13:N$35)),4)</f>
        <v>1.5976999999999999</v>
      </c>
      <c r="Y13" s="2886">
        <f>ROUND(SUMPRODUCT(PRODUCT(1+O13:O$35)),4)</f>
        <v>1.3969</v>
      </c>
      <c r="Z13" s="2886">
        <f t="shared" si="77"/>
        <v>1.3969</v>
      </c>
      <c r="AA13" s="2886">
        <f>ROUND(SUMPRODUCT(PRODUCT(1+P13:P$35)),4)</f>
        <v>1.6662999999999999</v>
      </c>
      <c r="AB13" s="2886">
        <f>ROUND(SUMPRODUCT(PRODUCT(1+Q13:Q$35)),4)</f>
        <v>1.3898999999999999</v>
      </c>
      <c r="AC13" s="2886"/>
      <c r="AD13" s="2887">
        <f>ROUND(AVERAGE(I13:I$35)/100,4)</f>
        <v>2.07E-2</v>
      </c>
      <c r="AE13" s="2887">
        <f>ROUND(AVERAGE(J13:J$35)/100,4)</f>
        <v>1.47E-2</v>
      </c>
      <c r="AF13" s="2887">
        <f t="shared" ref="AF13" si="98">AE13</f>
        <v>1.47E-2</v>
      </c>
      <c r="AG13" s="2887">
        <f>ROUND(AVERAGE(K13:K$35)/100,4)</f>
        <v>2.2599999999999999E-2</v>
      </c>
      <c r="AH13" s="2887">
        <f>ROUND(AVERAGE(L13:L$35)/100,4)</f>
        <v>1.44E-2</v>
      </c>
    </row>
    <row r="14" spans="1:34" s="2905" customFormat="1">
      <c r="A14" s="2898" t="s">
        <v>2954</v>
      </c>
      <c r="B14" s="2899">
        <f t="shared" ref="B14:B19" si="99">B15*(1+N14)</f>
        <v>474.30670301923408</v>
      </c>
      <c r="C14" s="2899">
        <f t="shared" ref="C14" si="100">C15*(1+O14)</f>
        <v>349.50705005996491</v>
      </c>
      <c r="D14" s="2899">
        <f t="shared" ref="D14" si="101">C14</f>
        <v>349.50705005996491</v>
      </c>
      <c r="E14" s="2899">
        <f t="shared" ref="E14" si="102">E15*(1+P14)</f>
        <v>678.22831959706957</v>
      </c>
      <c r="F14" s="2899">
        <f t="shared" ref="F14" si="103">F15*(1+Q14)</f>
        <v>312.0556832169558</v>
      </c>
      <c r="G14" s="2882">
        <v>2019</v>
      </c>
      <c r="H14" s="2907">
        <v>2</v>
      </c>
      <c r="I14" s="2907">
        <v>1.53</v>
      </c>
      <c r="J14" s="2907">
        <v>1.01</v>
      </c>
      <c r="K14" s="2907">
        <v>1.62</v>
      </c>
      <c r="L14" s="2908">
        <v>1.25</v>
      </c>
      <c r="M14" s="2886"/>
      <c r="N14" s="2901">
        <f t="shared" ref="N14" si="104">I14/100</f>
        <v>1.5300000000000001E-2</v>
      </c>
      <c r="O14" s="2887">
        <f t="shared" ref="O14" si="105">J14/100</f>
        <v>1.01E-2</v>
      </c>
      <c r="P14" s="2887">
        <f t="shared" ref="P14" si="106">K14/100</f>
        <v>1.6200000000000003E-2</v>
      </c>
      <c r="Q14" s="2887">
        <f t="shared" ref="Q14" si="107">L14/100</f>
        <v>1.2500000000000001E-2</v>
      </c>
      <c r="R14" s="2902"/>
      <c r="S14" s="2903"/>
      <c r="T14" s="2904"/>
      <c r="U14" s="2904"/>
      <c r="V14" s="2904"/>
      <c r="W14" s="2886"/>
      <c r="X14" s="2886">
        <f>ROUND(SUMPRODUCT(PRODUCT(1+N14:N$35)),4)</f>
        <v>1.5880000000000001</v>
      </c>
      <c r="Y14" s="2886">
        <f>ROUND(SUMPRODUCT(PRODUCT(1+O14:O$35)),4)</f>
        <v>1.3875999999999999</v>
      </c>
      <c r="Z14" s="2886">
        <f t="shared" si="77"/>
        <v>1.3875999999999999</v>
      </c>
      <c r="AA14" s="2886">
        <f>ROUND(SUMPRODUCT(PRODUCT(1+P14:P$35)),4)</f>
        <v>1.6563000000000001</v>
      </c>
      <c r="AB14" s="2886">
        <f>ROUND(SUMPRODUCT(PRODUCT(1+Q14:Q$35)),4)</f>
        <v>1.3756999999999999</v>
      </c>
      <c r="AC14" s="2886"/>
      <c r="AD14" s="2887">
        <f>ROUND(AVERAGE(I14:I$35)/100,4)</f>
        <v>2.1299999999999999E-2</v>
      </c>
      <c r="AE14" s="2887">
        <f>ROUND(AVERAGE(J14:J$35)/100,4)</f>
        <v>1.4999999999999999E-2</v>
      </c>
      <c r="AF14" s="2887">
        <f t="shared" ref="AF14" si="108">AE14</f>
        <v>1.4999999999999999E-2</v>
      </c>
      <c r="AG14" s="2887">
        <f>ROUND(AVERAGE(K14:K$35)/100,4)</f>
        <v>2.3300000000000001E-2</v>
      </c>
      <c r="AH14" s="2887">
        <f>ROUND(AVERAGE(L14:L$35)/100,4)</f>
        <v>1.46E-2</v>
      </c>
    </row>
    <row r="15" spans="1:34" s="2905" customFormat="1" ht="13.5" thickBot="1">
      <c r="A15" s="2898" t="s">
        <v>2953</v>
      </c>
      <c r="B15" s="2899">
        <f t="shared" si="99"/>
        <v>467.15916775261894</v>
      </c>
      <c r="C15" s="2899">
        <f t="shared" ref="C15" si="109">C16*(1+O15)</f>
        <v>346.01232557169084</v>
      </c>
      <c r="D15" s="2899">
        <f t="shared" ref="D15" si="110">C15</f>
        <v>346.01232557169084</v>
      </c>
      <c r="E15" s="2899">
        <f t="shared" ref="E15" si="111">E16*(1+P15)</f>
        <v>667.41617752122568</v>
      </c>
      <c r="F15" s="2899">
        <f t="shared" ref="F15" si="112">F16*(1+Q15)</f>
        <v>308.20314391798104</v>
      </c>
      <c r="G15" s="2882">
        <v>2019</v>
      </c>
      <c r="H15" s="2900">
        <v>1</v>
      </c>
      <c r="I15" s="2900">
        <v>0.6</v>
      </c>
      <c r="J15" s="2900">
        <v>0.37</v>
      </c>
      <c r="K15" s="2900">
        <v>0.63</v>
      </c>
      <c r="L15" s="2906">
        <v>1.1299999999999999</v>
      </c>
      <c r="M15" s="2886"/>
      <c r="N15" s="2901">
        <f t="shared" ref="N15" si="113">I15/100</f>
        <v>6.0000000000000001E-3</v>
      </c>
      <c r="O15" s="2887">
        <f t="shared" ref="O15" si="114">J15/100</f>
        <v>3.7000000000000002E-3</v>
      </c>
      <c r="P15" s="2887">
        <f t="shared" ref="P15" si="115">K15/100</f>
        <v>6.3E-3</v>
      </c>
      <c r="Q15" s="2887">
        <f t="shared" ref="Q15" si="116">L15/100</f>
        <v>1.1299999999999999E-2</v>
      </c>
      <c r="R15" s="2902"/>
      <c r="S15" s="2903">
        <f>B15/B16-1</f>
        <v>6.0000000000000053E-3</v>
      </c>
      <c r="T15" s="2904">
        <f>C15/C16-1</f>
        <v>3.7000000000000366E-3</v>
      </c>
      <c r="U15" s="2904">
        <f>E15/E16-1</f>
        <v>6.2999999999999723E-3</v>
      </c>
      <c r="V15" s="2904">
        <f>F15/F16-1</f>
        <v>1.1300000000000088E-2</v>
      </c>
      <c r="W15" s="2886"/>
      <c r="X15" s="2886">
        <f>ROUND(SUMPRODUCT(PRODUCT(1+N15:N$35)),4)</f>
        <v>1.5641</v>
      </c>
      <c r="Y15" s="2886">
        <f>ROUND(SUMPRODUCT(PRODUCT(1+O15:O$35)),4)</f>
        <v>1.3736999999999999</v>
      </c>
      <c r="Z15" s="2886">
        <f t="shared" si="77"/>
        <v>1.3736999999999999</v>
      </c>
      <c r="AA15" s="2886">
        <f>ROUND(SUMPRODUCT(PRODUCT(1+P15:P$35)),4)</f>
        <v>1.6298999999999999</v>
      </c>
      <c r="AB15" s="2886">
        <f>ROUND(SUMPRODUCT(PRODUCT(1+Q15:Q$35)),4)</f>
        <v>1.3588</v>
      </c>
      <c r="AC15" s="2886"/>
      <c r="AD15" s="2887">
        <f>ROUND(AVERAGE(I15:I$35)/100,4)</f>
        <v>2.1600000000000001E-2</v>
      </c>
      <c r="AE15" s="2887">
        <f>ROUND(AVERAGE(J15:J$35)/100,4)</f>
        <v>1.5299999999999999E-2</v>
      </c>
      <c r="AF15" s="2887">
        <f t="shared" ref="AF15" si="117">AE15</f>
        <v>1.5299999999999999E-2</v>
      </c>
      <c r="AG15" s="2887">
        <f>ROUND(AVERAGE(K15:K$35)/100,4)</f>
        <v>2.3699999999999999E-2</v>
      </c>
      <c r="AH15" s="2887">
        <f>ROUND(AVERAGE(L15:L$35)/100,4)</f>
        <v>1.47E-2</v>
      </c>
    </row>
    <row r="16" spans="1:34" s="2905" customFormat="1">
      <c r="A16" s="2898" t="s">
        <v>2951</v>
      </c>
      <c r="B16" s="2909">
        <f t="shared" si="99"/>
        <v>464.37293017158942</v>
      </c>
      <c r="C16" s="2909">
        <f t="shared" ref="C16" si="118">C17*(1+O16)</f>
        <v>344.73679941385956</v>
      </c>
      <c r="D16" s="2909">
        <f t="shared" ref="D16" si="119">C16</f>
        <v>344.73679941385956</v>
      </c>
      <c r="E16" s="2909">
        <f t="shared" ref="E16" si="120">E17*(1+P16)</f>
        <v>663.2377795103107</v>
      </c>
      <c r="F16" s="2910">
        <f t="shared" ref="F16" si="121">F17*(1+Q16)</f>
        <v>304.75936311478398</v>
      </c>
      <c r="G16" s="3541">
        <v>2018</v>
      </c>
      <c r="H16" s="2907">
        <v>4</v>
      </c>
      <c r="I16" s="2907">
        <v>0.96</v>
      </c>
      <c r="J16" s="2907">
        <v>1.03</v>
      </c>
      <c r="K16" s="2907">
        <v>0.92</v>
      </c>
      <c r="L16" s="2908">
        <v>1.29</v>
      </c>
      <c r="M16" s="2886"/>
      <c r="N16" s="2901">
        <f t="shared" ref="N16" si="122">I16/100</f>
        <v>9.5999999999999992E-3</v>
      </c>
      <c r="O16" s="2887">
        <f t="shared" ref="O16" si="123">J16/100</f>
        <v>1.03E-2</v>
      </c>
      <c r="P16" s="2887">
        <f t="shared" ref="P16" si="124">K16/100</f>
        <v>9.1999999999999998E-3</v>
      </c>
      <c r="Q16" s="2887">
        <f t="shared" ref="Q16" si="125">L16/100</f>
        <v>1.29E-2</v>
      </c>
      <c r="R16" s="2902"/>
      <c r="S16" s="2911"/>
      <c r="T16" s="2912"/>
      <c r="U16" s="2912"/>
      <c r="V16" s="2912"/>
      <c r="W16" s="2886"/>
      <c r="X16" s="2886">
        <f>ROUND(SUMPRODUCT(PRODUCT(1+N16:N$35)),4)</f>
        <v>1.5548</v>
      </c>
      <c r="Y16" s="2886">
        <f>ROUND(SUMPRODUCT(PRODUCT(1+O16:O$35)),4)</f>
        <v>1.3686</v>
      </c>
      <c r="Z16" s="2886">
        <f t="shared" si="77"/>
        <v>1.3686</v>
      </c>
      <c r="AA16" s="2886">
        <f>ROUND(SUMPRODUCT(PRODUCT(1+P16:P$35)),4)</f>
        <v>1.6196999999999999</v>
      </c>
      <c r="AB16" s="2886">
        <f>ROUND(SUMPRODUCT(PRODUCT(1+Q16:Q$35)),4)</f>
        <v>1.3435999999999999</v>
      </c>
      <c r="AC16" s="2886"/>
      <c r="AD16" s="2887">
        <f>ROUND(AVERAGE(I16:I$35)/100,4)</f>
        <v>2.24E-2</v>
      </c>
      <c r="AE16" s="2887">
        <f>ROUND(AVERAGE(J16:J$35)/100,4)</f>
        <v>1.5800000000000002E-2</v>
      </c>
      <c r="AF16" s="2887">
        <f t="shared" ref="AF16" si="126">AE16</f>
        <v>1.5800000000000002E-2</v>
      </c>
      <c r="AG16" s="2887">
        <f>ROUND(AVERAGE(K16:K$35)/100,4)</f>
        <v>2.4500000000000001E-2</v>
      </c>
      <c r="AH16" s="2887">
        <f>ROUND(AVERAGE(L16:L$35)/100,4)</f>
        <v>1.49E-2</v>
      </c>
    </row>
    <row r="17" spans="1:34" s="2905" customFormat="1" ht="14.45" customHeight="1">
      <c r="A17" s="2898" t="s">
        <v>2944</v>
      </c>
      <c r="B17" s="2899">
        <f t="shared" si="99"/>
        <v>459.95733971036987</v>
      </c>
      <c r="C17" s="2899">
        <f t="shared" ref="C17" si="127">C18*(1+O17)</f>
        <v>341.22221064422405</v>
      </c>
      <c r="D17" s="2899">
        <f t="shared" ref="D17" si="128">C17</f>
        <v>341.22221064422405</v>
      </c>
      <c r="E17" s="2899">
        <f t="shared" ref="E17" si="129">E18*(1+P17)</f>
        <v>657.19161663724799</v>
      </c>
      <c r="F17" s="2899">
        <f t="shared" ref="F17" si="130">F18*(1+Q17)</f>
        <v>300.87803644464805</v>
      </c>
      <c r="G17" s="3541"/>
      <c r="H17" s="2900">
        <v>3</v>
      </c>
      <c r="I17" s="2900">
        <v>1.51</v>
      </c>
      <c r="J17" s="2900">
        <v>1.41</v>
      </c>
      <c r="K17" s="2900">
        <v>1.52</v>
      </c>
      <c r="L17" s="2906">
        <v>1.74</v>
      </c>
      <c r="M17" s="2886"/>
      <c r="N17" s="2901">
        <f t="shared" ref="N17" si="131">I17/100</f>
        <v>1.5100000000000001E-2</v>
      </c>
      <c r="O17" s="2887">
        <f t="shared" ref="O17" si="132">J17/100</f>
        <v>1.41E-2</v>
      </c>
      <c r="P17" s="2887">
        <f t="shared" ref="P17" si="133">K17/100</f>
        <v>1.52E-2</v>
      </c>
      <c r="Q17" s="2887">
        <f t="shared" ref="Q17" si="134">L17/100</f>
        <v>1.7399999999999999E-2</v>
      </c>
      <c r="R17" s="2902"/>
      <c r="S17" s="2901"/>
      <c r="T17" s="2887"/>
      <c r="U17" s="2887"/>
      <c r="V17" s="2887"/>
      <c r="W17" s="2886"/>
      <c r="X17" s="2886">
        <f>ROUND(SUMPRODUCT(PRODUCT(1+N17:N$35)),4)</f>
        <v>1.54</v>
      </c>
      <c r="Y17" s="2886">
        <f>ROUND(SUMPRODUCT(PRODUCT(1+O17:O$35)),4)</f>
        <v>1.3547</v>
      </c>
      <c r="Z17" s="2886">
        <f t="shared" si="77"/>
        <v>1.3547</v>
      </c>
      <c r="AA17" s="2886">
        <f>ROUND(SUMPRODUCT(PRODUCT(1+P17:P$35)),4)</f>
        <v>1.605</v>
      </c>
      <c r="AB17" s="2886">
        <f>ROUND(SUMPRODUCT(PRODUCT(1+Q17:Q$35)),4)</f>
        <v>1.3265</v>
      </c>
      <c r="AC17" s="2886"/>
      <c r="AD17" s="2887">
        <f>ROUND(AVERAGE(I17:I$35)/100,4)</f>
        <v>2.3099999999999999E-2</v>
      </c>
      <c r="AE17" s="2887">
        <f>ROUND(AVERAGE(J17:J$35)/100,4)</f>
        <v>1.61E-2</v>
      </c>
      <c r="AF17" s="2887">
        <f t="shared" ref="AF17" si="135">AE17</f>
        <v>1.61E-2</v>
      </c>
      <c r="AG17" s="2887">
        <f>ROUND(AVERAGE(K17:K$35)/100,4)</f>
        <v>2.53E-2</v>
      </c>
      <c r="AH17" s="2887">
        <f>ROUND(AVERAGE(L17:L$35)/100,4)</f>
        <v>1.4999999999999999E-2</v>
      </c>
    </row>
    <row r="18" spans="1:34" s="2905" customFormat="1" ht="14.45" customHeight="1">
      <c r="A18" s="2898" t="s">
        <v>2945</v>
      </c>
      <c r="B18" s="2899">
        <f t="shared" si="99"/>
        <v>453.11529869999993</v>
      </c>
      <c r="C18" s="2899">
        <f t="shared" ref="C18" si="136">C19*(1+O18)</f>
        <v>336.47787264000004</v>
      </c>
      <c r="D18" s="2899">
        <f t="shared" ref="D18" si="137">C18</f>
        <v>336.47787264000004</v>
      </c>
      <c r="E18" s="2899">
        <f t="shared" ref="E18" si="138">E19*(1+P18)</f>
        <v>647.35186823999993</v>
      </c>
      <c r="F18" s="2899">
        <f t="shared" ref="F18" si="139">F19*(1+Q18)</f>
        <v>295.73229452000004</v>
      </c>
      <c r="G18" s="3541"/>
      <c r="H18" s="2913">
        <v>2</v>
      </c>
      <c r="I18" s="2913">
        <v>1.49</v>
      </c>
      <c r="J18" s="2913">
        <v>0.96</v>
      </c>
      <c r="K18" s="2913">
        <v>1.58</v>
      </c>
      <c r="L18" s="2914">
        <v>2.44</v>
      </c>
      <c r="M18" s="2886"/>
      <c r="N18" s="2901">
        <f t="shared" ref="N18" si="140">I18/100</f>
        <v>1.49E-2</v>
      </c>
      <c r="O18" s="2887">
        <f t="shared" ref="O18" si="141">J18/100</f>
        <v>9.5999999999999992E-3</v>
      </c>
      <c r="P18" s="2887">
        <f t="shared" ref="P18" si="142">K18/100</f>
        <v>1.5800000000000002E-2</v>
      </c>
      <c r="Q18" s="2887">
        <f t="shared" ref="Q18" si="143">L18/100</f>
        <v>2.4399999999999998E-2</v>
      </c>
      <c r="R18" s="2902"/>
      <c r="S18" s="2901"/>
      <c r="T18" s="2887"/>
      <c r="U18" s="2887"/>
      <c r="V18" s="2887"/>
      <c r="W18" s="2886"/>
      <c r="X18" s="2886">
        <f>ROUND(SUMPRODUCT(PRODUCT(1+N18:N$35)),4)</f>
        <v>1.5170999999999999</v>
      </c>
      <c r="Y18" s="2886">
        <f>ROUND(SUMPRODUCT(PRODUCT(1+O18:O$35)),4)</f>
        <v>1.3358000000000001</v>
      </c>
      <c r="Z18" s="2886">
        <f t="shared" si="77"/>
        <v>1.3358000000000001</v>
      </c>
      <c r="AA18" s="2886">
        <f>ROUND(SUMPRODUCT(PRODUCT(1+P18:P$35)),4)</f>
        <v>1.5809</v>
      </c>
      <c r="AB18" s="2886">
        <f>ROUND(SUMPRODUCT(PRODUCT(1+Q18:Q$35)),4)</f>
        <v>1.3038000000000001</v>
      </c>
      <c r="AC18" s="2886"/>
      <c r="AD18" s="2887">
        <f>ROUND(AVERAGE(I18:I$35)/100,4)</f>
        <v>2.35E-2</v>
      </c>
      <c r="AE18" s="2887">
        <f>ROUND(AVERAGE(J18:J$35)/100,4)</f>
        <v>1.6199999999999999E-2</v>
      </c>
      <c r="AF18" s="2887">
        <f t="shared" ref="AF18" si="144">AE18</f>
        <v>1.6199999999999999E-2</v>
      </c>
      <c r="AG18" s="2887">
        <f>ROUND(AVERAGE(K18:K$35)/100,4)</f>
        <v>2.5899999999999999E-2</v>
      </c>
      <c r="AH18" s="2887">
        <f>ROUND(AVERAGE(L18:L$35)/100,4)</f>
        <v>1.49E-2</v>
      </c>
    </row>
    <row r="19" spans="1:34" s="2905" customFormat="1" ht="15" customHeight="1" thickBot="1">
      <c r="A19" s="2898" t="s">
        <v>2941</v>
      </c>
      <c r="B19" s="2899">
        <f t="shared" si="99"/>
        <v>446.46299999999997</v>
      </c>
      <c r="C19" s="2899">
        <f t="shared" ref="C19" si="145">C20*(1+O19)</f>
        <v>333.27840000000003</v>
      </c>
      <c r="D19" s="2899">
        <f t="shared" ref="D19:D24" si="146">C19</f>
        <v>333.27840000000003</v>
      </c>
      <c r="E19" s="2899">
        <f t="shared" ref="E19" si="147">E20*(1+P19)</f>
        <v>637.28279999999995</v>
      </c>
      <c r="F19" s="2899">
        <f t="shared" ref="F19" si="148">F20*(1+Q19)</f>
        <v>288.68830000000003</v>
      </c>
      <c r="G19" s="3542"/>
      <c r="H19" s="2900">
        <v>1</v>
      </c>
      <c r="I19" s="2900">
        <v>1.7</v>
      </c>
      <c r="J19" s="2900">
        <v>1.92</v>
      </c>
      <c r="K19" s="2900">
        <v>1.64</v>
      </c>
      <c r="L19" s="2906">
        <v>2.0099999999999998</v>
      </c>
      <c r="M19" s="2886"/>
      <c r="N19" s="2901">
        <f t="shared" ref="N19:N24" si="149">I19/100</f>
        <v>1.7000000000000001E-2</v>
      </c>
      <c r="O19" s="2887">
        <f t="shared" ref="O19" si="150">J19/100</f>
        <v>1.9199999999999998E-2</v>
      </c>
      <c r="P19" s="2887">
        <f t="shared" ref="P19" si="151">K19/100</f>
        <v>1.6399999999999998E-2</v>
      </c>
      <c r="Q19" s="2887">
        <f t="shared" ref="Q19" si="152">L19/100</f>
        <v>2.0099999999999996E-2</v>
      </c>
      <c r="R19" s="2902"/>
      <c r="S19" s="2903">
        <f>B19/B20-1</f>
        <v>1.6999999999999904E-2</v>
      </c>
      <c r="T19" s="2904">
        <f>C19/C20-1</f>
        <v>1.9200000000000106E-2</v>
      </c>
      <c r="U19" s="2904">
        <f>E19/E20-1</f>
        <v>1.639999999999997E-2</v>
      </c>
      <c r="V19" s="2904">
        <f>F19/F20-1</f>
        <v>2.0100000000000007E-2</v>
      </c>
      <c r="W19" s="2886"/>
      <c r="X19" s="2886">
        <f>ROUND(SUMPRODUCT(PRODUCT(1+N19:N$35)),4)</f>
        <v>1.4947999999999999</v>
      </c>
      <c r="Y19" s="2886">
        <f>ROUND(SUMPRODUCT(PRODUCT(1+O19:O$35)),4)</f>
        <v>1.3230999999999999</v>
      </c>
      <c r="Z19" s="2886">
        <f t="shared" si="77"/>
        <v>1.3230999999999999</v>
      </c>
      <c r="AA19" s="2886">
        <f>ROUND(SUMPRODUCT(PRODUCT(1+P19:P$35)),4)</f>
        <v>1.5564</v>
      </c>
      <c r="AB19" s="2886">
        <f>ROUND(SUMPRODUCT(PRODUCT(1+Q19:Q$35)),4)</f>
        <v>1.2726999999999999</v>
      </c>
      <c r="AC19" s="2886"/>
      <c r="AD19" s="2887">
        <f>ROUND(AVERAGE(I19:I$35)/100,4)</f>
        <v>2.4E-2</v>
      </c>
      <c r="AE19" s="2887">
        <f>ROUND(AVERAGE(J19:J$35)/100,4)</f>
        <v>1.66E-2</v>
      </c>
      <c r="AF19" s="2887">
        <f t="shared" ref="AF19" si="153">AE19</f>
        <v>1.66E-2</v>
      </c>
      <c r="AG19" s="2887">
        <f>ROUND(AVERAGE(K19:K$35)/100,4)</f>
        <v>2.6499999999999999E-2</v>
      </c>
      <c r="AH19" s="2887">
        <f>ROUND(AVERAGE(L19:L$35)/100,4)</f>
        <v>1.43E-2</v>
      </c>
    </row>
    <row r="20" spans="1:34">
      <c r="A20" s="2898" t="s">
        <v>2933</v>
      </c>
      <c r="B20" s="2915">
        <v>439</v>
      </c>
      <c r="C20" s="2915">
        <v>327</v>
      </c>
      <c r="D20" s="2915">
        <f t="shared" si="146"/>
        <v>327</v>
      </c>
      <c r="E20" s="2915">
        <v>627</v>
      </c>
      <c r="F20" s="2916">
        <v>283</v>
      </c>
      <c r="G20" s="3540">
        <v>2017</v>
      </c>
      <c r="H20" s="2907">
        <v>4</v>
      </c>
      <c r="I20" s="2907">
        <v>1.71</v>
      </c>
      <c r="J20" s="2907">
        <v>1.78</v>
      </c>
      <c r="K20" s="2907">
        <v>1.71</v>
      </c>
      <c r="L20" s="2908">
        <v>1.43</v>
      </c>
      <c r="N20" s="2917">
        <f t="shared" si="149"/>
        <v>1.7100000000000001E-2</v>
      </c>
      <c r="O20" s="2918">
        <f t="shared" ref="O20" si="154">J20/100</f>
        <v>1.78E-2</v>
      </c>
      <c r="P20" s="2918">
        <f t="shared" ref="P20" si="155">K20/100</f>
        <v>1.7100000000000001E-2</v>
      </c>
      <c r="Q20" s="2918">
        <f t="shared" ref="Q20" si="156">L20/100</f>
        <v>1.43E-2</v>
      </c>
      <c r="R20" s="2902"/>
      <c r="S20" s="2911"/>
      <c r="T20" s="2912"/>
      <c r="U20" s="2912"/>
      <c r="V20" s="2912"/>
      <c r="X20" s="2886">
        <f>ROUND(SUMPRODUCT(PRODUCT(1+N20:N$35)),4)</f>
        <v>1.4698</v>
      </c>
      <c r="Y20" s="2886">
        <f>ROUND(SUMPRODUCT(PRODUCT(1+O20:O$35)),4)</f>
        <v>1.2982</v>
      </c>
      <c r="Z20" s="2886">
        <f t="shared" si="77"/>
        <v>1.2982</v>
      </c>
      <c r="AA20" s="2886">
        <f>ROUND(SUMPRODUCT(PRODUCT(1+P20:P$35)),4)</f>
        <v>1.5311999999999999</v>
      </c>
      <c r="AB20" s="2886">
        <f>ROUND(SUMPRODUCT(PRODUCT(1+Q20:Q$35)),4)</f>
        <v>1.2476</v>
      </c>
      <c r="AD20" s="2887">
        <f>ROUND(AVERAGE(I20:I$35)/100,4)</f>
        <v>2.4500000000000001E-2</v>
      </c>
      <c r="AE20" s="2887">
        <f>ROUND(AVERAGE(J20:J$35)/100,4)</f>
        <v>1.6500000000000001E-2</v>
      </c>
      <c r="AF20" s="2887">
        <f t="shared" si="1"/>
        <v>1.6500000000000001E-2</v>
      </c>
      <c r="AG20" s="2887">
        <f>ROUND(AVERAGE(K20:K$35)/100,4)</f>
        <v>2.7099999999999999E-2</v>
      </c>
      <c r="AH20" s="2887">
        <f>ROUND(AVERAGE(L20:L$35)/100,4)</f>
        <v>1.3899999999999999E-2</v>
      </c>
    </row>
    <row r="21" spans="1:34" s="2905" customFormat="1" ht="14.45" customHeight="1">
      <c r="A21" s="2898" t="s">
        <v>2936</v>
      </c>
      <c r="B21" s="2899">
        <f t="shared" ref="B21:C23" si="157">B22*(1+N21)</f>
        <v>431.80730811680002</v>
      </c>
      <c r="C21" s="2899">
        <f t="shared" si="157"/>
        <v>320.57880516480003</v>
      </c>
      <c r="D21" s="2899">
        <f t="shared" si="146"/>
        <v>320.57880516480003</v>
      </c>
      <c r="E21" s="2899">
        <f t="shared" ref="E21:F23" si="158">E22*(1+P21)</f>
        <v>615.96110553196797</v>
      </c>
      <c r="F21" s="2899">
        <f t="shared" si="158"/>
        <v>279.46777300108801</v>
      </c>
      <c r="G21" s="3541"/>
      <c r="H21" s="2900">
        <v>3</v>
      </c>
      <c r="I21" s="2900">
        <v>2.98</v>
      </c>
      <c r="J21" s="2900">
        <v>2.11</v>
      </c>
      <c r="K21" s="2900">
        <v>3.24</v>
      </c>
      <c r="L21" s="2906">
        <v>1.72</v>
      </c>
      <c r="M21" s="2886"/>
      <c r="N21" s="2901">
        <f t="shared" si="149"/>
        <v>2.98E-2</v>
      </c>
      <c r="O21" s="2919">
        <f t="shared" ref="O21:O22" si="159">J21/100</f>
        <v>2.1099999999999997E-2</v>
      </c>
      <c r="P21" s="2919">
        <f t="shared" ref="P21:P22" si="160">K21/100</f>
        <v>3.2400000000000005E-2</v>
      </c>
      <c r="Q21" s="2919">
        <f t="shared" ref="Q21:Q22" si="161">L21/100</f>
        <v>1.72E-2</v>
      </c>
      <c r="R21" s="2902"/>
      <c r="S21" s="2901"/>
      <c r="T21" s="2887"/>
      <c r="U21" s="2887"/>
      <c r="V21" s="2887"/>
      <c r="W21" s="2886"/>
      <c r="X21" s="2886">
        <f>ROUND(SUMPRODUCT(PRODUCT(1+N21:N$35)),4)</f>
        <v>1.4451000000000001</v>
      </c>
      <c r="Y21" s="2886">
        <f>ROUND(SUMPRODUCT(PRODUCT(1+O21:O$35)),4)</f>
        <v>1.2755000000000001</v>
      </c>
      <c r="Z21" s="2886">
        <f t="shared" si="77"/>
        <v>1.2755000000000001</v>
      </c>
      <c r="AA21" s="2886">
        <f>ROUND(SUMPRODUCT(PRODUCT(1+P21:P$35)),4)</f>
        <v>1.5055000000000001</v>
      </c>
      <c r="AB21" s="2886">
        <f>ROUND(SUMPRODUCT(PRODUCT(1+Q21:Q$35)),4)</f>
        <v>1.2301</v>
      </c>
      <c r="AC21" s="2886"/>
      <c r="AD21" s="2887">
        <f>ROUND(AVERAGE(I21:I$35)/100,4)</f>
        <v>2.4899999999999999E-2</v>
      </c>
      <c r="AE21" s="2887">
        <f>ROUND(AVERAGE(J21:J$35)/100,4)</f>
        <v>1.6400000000000001E-2</v>
      </c>
      <c r="AF21" s="2887">
        <f t="shared" si="1"/>
        <v>1.6400000000000001E-2</v>
      </c>
      <c r="AG21" s="2887">
        <f>ROUND(AVERAGE(K21:K$35)/100,4)</f>
        <v>2.7799999999999998E-2</v>
      </c>
      <c r="AH21" s="2887">
        <f>ROUND(AVERAGE(L21:L$35)/100,4)</f>
        <v>1.3899999999999999E-2</v>
      </c>
    </row>
    <row r="22" spans="1:34" s="2864" customFormat="1" ht="14.45" customHeight="1">
      <c r="A22" s="2898" t="s">
        <v>2562</v>
      </c>
      <c r="B22" s="2899">
        <f t="shared" si="157"/>
        <v>419.31181600000002</v>
      </c>
      <c r="C22" s="2899">
        <f t="shared" si="157"/>
        <v>313.95436800000004</v>
      </c>
      <c r="D22" s="2899">
        <f t="shared" si="146"/>
        <v>313.95436800000004</v>
      </c>
      <c r="E22" s="2899">
        <f t="shared" si="158"/>
        <v>596.63028431999999</v>
      </c>
      <c r="F22" s="2899">
        <f t="shared" si="158"/>
        <v>274.74220703999998</v>
      </c>
      <c r="G22" s="3541"/>
      <c r="H22" s="2913">
        <v>2</v>
      </c>
      <c r="I22" s="2913">
        <v>3.4</v>
      </c>
      <c r="J22" s="2913">
        <v>2</v>
      </c>
      <c r="K22" s="2913">
        <v>3.82</v>
      </c>
      <c r="L22" s="2914">
        <v>1.68</v>
      </c>
      <c r="N22" s="2901">
        <f t="shared" si="149"/>
        <v>3.4000000000000002E-2</v>
      </c>
      <c r="O22" s="2919">
        <f t="shared" si="159"/>
        <v>0.02</v>
      </c>
      <c r="P22" s="2919">
        <f t="shared" si="160"/>
        <v>3.8199999999999998E-2</v>
      </c>
      <c r="Q22" s="2919">
        <f t="shared" si="161"/>
        <v>1.6799999999999999E-2</v>
      </c>
      <c r="S22" s="2901"/>
      <c r="T22" s="2887"/>
      <c r="U22" s="2887"/>
      <c r="V22" s="2887"/>
      <c r="X22" s="2886">
        <f>ROUND(SUMPRODUCT(PRODUCT(1+N22:N$35)),4)</f>
        <v>1.4033</v>
      </c>
      <c r="Y22" s="2886">
        <f>ROUND(SUMPRODUCT(PRODUCT(1+O22:O$35)),4)</f>
        <v>1.2491000000000001</v>
      </c>
      <c r="Z22" s="2886">
        <f t="shared" si="77"/>
        <v>1.2491000000000001</v>
      </c>
      <c r="AA22" s="2886">
        <f>ROUND(SUMPRODUCT(PRODUCT(1+P22:P$35)),4)</f>
        <v>1.4581999999999999</v>
      </c>
      <c r="AB22" s="2886">
        <f>ROUND(SUMPRODUCT(PRODUCT(1+Q22:Q$35)),4)</f>
        <v>1.2093</v>
      </c>
      <c r="AD22" s="2887">
        <f>ROUND(AVERAGE(I22:I$35)/100,4)</f>
        <v>2.46E-2</v>
      </c>
      <c r="AE22" s="2887">
        <f>ROUND(AVERAGE(J22:J$35)/100,4)</f>
        <v>1.6E-2</v>
      </c>
      <c r="AF22" s="2887">
        <f t="shared" si="1"/>
        <v>1.6E-2</v>
      </c>
      <c r="AG22" s="2887">
        <f>ROUND(AVERAGE(K22:K$35)/100,4)</f>
        <v>2.75E-2</v>
      </c>
      <c r="AH22" s="2887">
        <f>ROUND(AVERAGE(L22:L$35)/100,4)</f>
        <v>1.37E-2</v>
      </c>
    </row>
    <row r="23" spans="1:34" s="2905" customFormat="1" ht="15" customHeight="1" thickBot="1">
      <c r="A23" s="2898" t="s">
        <v>2563</v>
      </c>
      <c r="B23" s="2899">
        <f t="shared" si="157"/>
        <v>405.524</v>
      </c>
      <c r="C23" s="2899">
        <f t="shared" si="157"/>
        <v>307.79840000000002</v>
      </c>
      <c r="D23" s="2899">
        <f t="shared" si="146"/>
        <v>307.79840000000002</v>
      </c>
      <c r="E23" s="2899">
        <f t="shared" si="158"/>
        <v>574.67759999999998</v>
      </c>
      <c r="F23" s="2899">
        <f t="shared" si="158"/>
        <v>270.20280000000002</v>
      </c>
      <c r="G23" s="3542"/>
      <c r="H23" s="2900">
        <v>1</v>
      </c>
      <c r="I23" s="2900">
        <v>3.45</v>
      </c>
      <c r="J23" s="2900">
        <v>1.92</v>
      </c>
      <c r="K23" s="2900">
        <v>3.92</v>
      </c>
      <c r="L23" s="2906">
        <v>1.58</v>
      </c>
      <c r="M23" s="2886"/>
      <c r="N23" s="2903">
        <f t="shared" si="149"/>
        <v>3.4500000000000003E-2</v>
      </c>
      <c r="O23" s="2904">
        <f t="shared" ref="O23" si="162">J23/100</f>
        <v>1.9199999999999998E-2</v>
      </c>
      <c r="P23" s="2904">
        <f t="shared" ref="P23" si="163">K23/100</f>
        <v>3.9199999999999999E-2</v>
      </c>
      <c r="Q23" s="2904">
        <f t="shared" ref="Q23" si="164">L23/100</f>
        <v>1.5800000000000002E-2</v>
      </c>
      <c r="R23" s="2902"/>
      <c r="S23" s="2903">
        <f>B23/B24-1</f>
        <v>3.4499999999999975E-2</v>
      </c>
      <c r="T23" s="2904">
        <f>C23/C24-1</f>
        <v>1.9200000000000106E-2</v>
      </c>
      <c r="U23" s="2904">
        <f>E23/E24-1</f>
        <v>3.9199999999999902E-2</v>
      </c>
      <c r="V23" s="2904">
        <f>F23/F24-1</f>
        <v>1.5800000000000036E-2</v>
      </c>
      <c r="W23" s="2886"/>
      <c r="X23" s="2886">
        <f>ROUND(SUMPRODUCT(PRODUCT(1+N23:N$35)),4)</f>
        <v>1.3571</v>
      </c>
      <c r="Y23" s="2886">
        <f>ROUND(SUMPRODUCT(PRODUCT(1+O23:O$35)),4)</f>
        <v>1.2245999999999999</v>
      </c>
      <c r="Z23" s="2886">
        <f t="shared" si="77"/>
        <v>1.2245999999999999</v>
      </c>
      <c r="AA23" s="2886">
        <f>ROUND(SUMPRODUCT(PRODUCT(1+P23:P$35)),4)</f>
        <v>1.4046000000000001</v>
      </c>
      <c r="AB23" s="2886">
        <f>ROUND(SUMPRODUCT(PRODUCT(1+Q23:Q$35)),4)</f>
        <v>1.1893</v>
      </c>
      <c r="AC23" s="2886"/>
      <c r="AD23" s="2887">
        <f>ROUND(AVERAGE(I23:I$35)/100,4)</f>
        <v>2.3900000000000001E-2</v>
      </c>
      <c r="AE23" s="2887">
        <f>ROUND(AVERAGE(J23:J$35)/100,4)</f>
        <v>1.5699999999999999E-2</v>
      </c>
      <c r="AF23" s="2887">
        <f t="shared" si="1"/>
        <v>1.5699999999999999E-2</v>
      </c>
      <c r="AG23" s="2887">
        <f>ROUND(AVERAGE(K23:K$35)/100,4)</f>
        <v>2.6599999999999999E-2</v>
      </c>
      <c r="AH23" s="2887">
        <f>ROUND(AVERAGE(L23:L$35)/100,4)</f>
        <v>1.34E-2</v>
      </c>
    </row>
    <row r="24" spans="1:34">
      <c r="A24" s="2898" t="s">
        <v>961</v>
      </c>
      <c r="B24" s="2920">
        <v>392</v>
      </c>
      <c r="C24" s="2920">
        <v>302</v>
      </c>
      <c r="D24" s="2920">
        <f t="shared" si="146"/>
        <v>302</v>
      </c>
      <c r="E24" s="2920">
        <v>553</v>
      </c>
      <c r="F24" s="2921">
        <v>266</v>
      </c>
      <c r="G24" s="3540">
        <v>2016</v>
      </c>
      <c r="H24" s="2907">
        <v>4</v>
      </c>
      <c r="I24" s="2907">
        <v>4.5599999999999996</v>
      </c>
      <c r="J24" s="2907">
        <v>2.15</v>
      </c>
      <c r="K24" s="2907">
        <v>5.32</v>
      </c>
      <c r="L24" s="2908">
        <v>1.57</v>
      </c>
      <c r="N24" s="2901">
        <f t="shared" si="149"/>
        <v>4.5599999999999995E-2</v>
      </c>
      <c r="O24" s="2887">
        <f t="shared" ref="O24:Q39" si="165">J24/100</f>
        <v>2.1499999999999998E-2</v>
      </c>
      <c r="P24" s="2887">
        <f t="shared" si="165"/>
        <v>5.3200000000000004E-2</v>
      </c>
      <c r="Q24" s="2887">
        <f t="shared" si="165"/>
        <v>1.5700000000000002E-2</v>
      </c>
      <c r="R24" s="2902"/>
      <c r="S24" s="2911"/>
      <c r="T24" s="2912"/>
      <c r="U24" s="2912"/>
      <c r="V24" s="2912"/>
      <c r="X24" s="2886">
        <f>ROUND(SUMPRODUCT(PRODUCT(1+N24:N$35)),4)</f>
        <v>1.3119000000000001</v>
      </c>
      <c r="Y24" s="2886">
        <f>ROUND(SUMPRODUCT(PRODUCT(1+O24:O$35)),4)</f>
        <v>1.2016</v>
      </c>
      <c r="Z24" s="2886">
        <f t="shared" si="77"/>
        <v>1.2016</v>
      </c>
      <c r="AA24" s="2886">
        <f>ROUND(SUMPRODUCT(PRODUCT(1+P24:P$35)),4)</f>
        <v>1.3515999999999999</v>
      </c>
      <c r="AB24" s="2886">
        <f>ROUND(SUMPRODUCT(PRODUCT(1+Q24:Q$35)),4)</f>
        <v>1.1708000000000001</v>
      </c>
      <c r="AD24" s="2887">
        <f>ROUND(AVERAGE(I24:I$35)/100,4)</f>
        <v>2.3E-2</v>
      </c>
      <c r="AE24" s="2887">
        <f>ROUND(AVERAGE(J24:J$35)/100,4)</f>
        <v>1.55E-2</v>
      </c>
      <c r="AF24" s="2887">
        <f t="shared" si="1"/>
        <v>1.55E-2</v>
      </c>
      <c r="AG24" s="2887">
        <f>ROUND(AVERAGE(K24:K$35)/100,4)</f>
        <v>2.5600000000000001E-2</v>
      </c>
      <c r="AH24" s="2887">
        <f>ROUND(AVERAGE(L24:L$35)/100,4)</f>
        <v>1.32E-2</v>
      </c>
    </row>
    <row r="25" spans="1:34">
      <c r="A25" s="2898" t="s">
        <v>960</v>
      </c>
      <c r="B25" s="2899">
        <f t="shared" ref="B25:C27" si="166">B24/(1+N24)</f>
        <v>374.90436113236416</v>
      </c>
      <c r="C25" s="2899">
        <f t="shared" si="166"/>
        <v>295.64366128242779</v>
      </c>
      <c r="D25" s="2899">
        <f t="shared" ref="D25:D84" si="167">C25</f>
        <v>295.64366128242779</v>
      </c>
      <c r="E25" s="2899">
        <f t="shared" ref="E25:F27" si="168">E24/(1+P24)</f>
        <v>525.06646410938095</v>
      </c>
      <c r="F25" s="2899">
        <f t="shared" si="168"/>
        <v>261.88835286009646</v>
      </c>
      <c r="G25" s="3541"/>
      <c r="H25" s="2900">
        <v>3</v>
      </c>
      <c r="I25" s="2900">
        <v>4.12</v>
      </c>
      <c r="J25" s="2900">
        <v>2</v>
      </c>
      <c r="K25" s="2900">
        <v>4.79</v>
      </c>
      <c r="L25" s="2906">
        <v>1.97</v>
      </c>
      <c r="N25" s="2901">
        <f t="shared" ref="N25:Q59" si="169">I25/100</f>
        <v>4.1200000000000001E-2</v>
      </c>
      <c r="O25" s="2887">
        <f t="shared" si="165"/>
        <v>0.02</v>
      </c>
      <c r="P25" s="2887">
        <f t="shared" si="165"/>
        <v>4.7899999999999998E-2</v>
      </c>
      <c r="Q25" s="2887">
        <f t="shared" si="165"/>
        <v>1.9699999999999999E-2</v>
      </c>
      <c r="R25" s="2902"/>
      <c r="S25" s="2901"/>
      <c r="T25" s="2887"/>
      <c r="U25" s="2887"/>
      <c r="V25" s="2887"/>
      <c r="X25" s="2886">
        <f>ROUND(SUMPRODUCT(PRODUCT(1+N25:N$35)),4)</f>
        <v>1.2546999999999999</v>
      </c>
      <c r="Y25" s="2886">
        <f>ROUND(SUMPRODUCT(PRODUCT(1+O25:O$35)),4)</f>
        <v>1.1762999999999999</v>
      </c>
      <c r="Z25" s="2886">
        <f t="shared" si="77"/>
        <v>1.1762999999999999</v>
      </c>
      <c r="AA25" s="2886">
        <f>ROUND(SUMPRODUCT(PRODUCT(1+P25:P$35)),4)</f>
        <v>1.2833000000000001</v>
      </c>
      <c r="AB25" s="2886">
        <f>ROUND(SUMPRODUCT(PRODUCT(1+Q25:Q$35)),4)</f>
        <v>1.1527000000000001</v>
      </c>
      <c r="AD25" s="2887">
        <f>ROUND(AVERAGE(I25:I$35)/100,4)</f>
        <v>2.0899999999999998E-2</v>
      </c>
      <c r="AE25" s="2887">
        <f>ROUND(AVERAGE(J25:J$35)/100,4)</f>
        <v>1.49E-2</v>
      </c>
      <c r="AF25" s="2887">
        <f t="shared" si="1"/>
        <v>1.49E-2</v>
      </c>
      <c r="AG25" s="2887">
        <f>ROUND(AVERAGE(K25:K$35)/100,4)</f>
        <v>2.3099999999999999E-2</v>
      </c>
      <c r="AH25" s="2887">
        <f>ROUND(AVERAGE(L25:L$35)/100,4)</f>
        <v>1.2999999999999999E-2</v>
      </c>
    </row>
    <row r="26" spans="1:34">
      <c r="A26" s="2898" t="s">
        <v>950</v>
      </c>
      <c r="B26" s="2899">
        <f t="shared" si="166"/>
        <v>360.06949782209392</v>
      </c>
      <c r="C26" s="2899">
        <f t="shared" si="166"/>
        <v>289.84672674747821</v>
      </c>
      <c r="D26" s="2899">
        <f t="shared" si="167"/>
        <v>289.84672674747821</v>
      </c>
      <c r="E26" s="2899">
        <f t="shared" si="168"/>
        <v>501.06543001181495</v>
      </c>
      <c r="F26" s="2899">
        <f t="shared" si="168"/>
        <v>256.82882500744967</v>
      </c>
      <c r="G26" s="3541"/>
      <c r="H26" s="2913">
        <v>2</v>
      </c>
      <c r="I26" s="2913">
        <v>3.85</v>
      </c>
      <c r="J26" s="2913">
        <v>1.95</v>
      </c>
      <c r="K26" s="2913">
        <v>4.4800000000000004</v>
      </c>
      <c r="L26" s="2914">
        <v>1.41</v>
      </c>
      <c r="N26" s="2901">
        <f t="shared" si="169"/>
        <v>3.85E-2</v>
      </c>
      <c r="O26" s="2887">
        <f t="shared" si="165"/>
        <v>1.95E-2</v>
      </c>
      <c r="P26" s="2887">
        <f t="shared" si="165"/>
        <v>4.4800000000000006E-2</v>
      </c>
      <c r="Q26" s="2887">
        <f t="shared" si="165"/>
        <v>1.41E-2</v>
      </c>
      <c r="R26" s="2902"/>
      <c r="S26" s="2901"/>
      <c r="T26" s="2887"/>
      <c r="U26" s="2887"/>
      <c r="V26" s="2887"/>
      <c r="X26" s="2886">
        <f>ROUND(SUMPRODUCT(PRODUCT(1+N26:N$35)),4)</f>
        <v>1.2050000000000001</v>
      </c>
      <c r="Y26" s="2886">
        <f>ROUND(SUMPRODUCT(PRODUCT(1+O26:O$35)),4)</f>
        <v>1.1532</v>
      </c>
      <c r="Z26" s="2886">
        <f t="shared" si="77"/>
        <v>1.1532</v>
      </c>
      <c r="AA26" s="2886">
        <f>ROUND(SUMPRODUCT(PRODUCT(1+P26:P$35)),4)</f>
        <v>1.2246999999999999</v>
      </c>
      <c r="AB26" s="2886">
        <f>ROUND(SUMPRODUCT(PRODUCT(1+Q26:Q$35)),4)</f>
        <v>1.1304000000000001</v>
      </c>
      <c r="AD26" s="2887">
        <f>ROUND(AVERAGE(I26:I$35)/100,4)</f>
        <v>1.89E-2</v>
      </c>
      <c r="AE26" s="2887">
        <f>ROUND(AVERAGE(J26:J$35)/100,4)</f>
        <v>1.44E-2</v>
      </c>
      <c r="AF26" s="2887">
        <f t="shared" si="1"/>
        <v>1.44E-2</v>
      </c>
      <c r="AG26" s="2887">
        <f>ROUND(AVERAGE(K26:K$35)/100,4)</f>
        <v>2.06E-2</v>
      </c>
      <c r="AH26" s="2887">
        <f>ROUND(AVERAGE(L26:L$35)/100,4)</f>
        <v>1.23E-2</v>
      </c>
    </row>
    <row r="27" spans="1:34" ht="13.5" thickBot="1">
      <c r="A27" s="2898" t="s">
        <v>959</v>
      </c>
      <c r="B27" s="2899">
        <f t="shared" si="166"/>
        <v>346.720748986128</v>
      </c>
      <c r="C27" s="2899">
        <f t="shared" si="166"/>
        <v>284.30282172386285</v>
      </c>
      <c r="D27" s="2899">
        <f t="shared" si="167"/>
        <v>284.30282172386285</v>
      </c>
      <c r="E27" s="2899">
        <f t="shared" si="168"/>
        <v>479.58023546306947</v>
      </c>
      <c r="F27" s="2899">
        <f t="shared" si="168"/>
        <v>253.25788877571213</v>
      </c>
      <c r="G27" s="3544"/>
      <c r="H27" s="2900">
        <v>1</v>
      </c>
      <c r="I27" s="2900">
        <v>4.09</v>
      </c>
      <c r="J27" s="2900">
        <v>2.93</v>
      </c>
      <c r="K27" s="2900">
        <v>4.54</v>
      </c>
      <c r="L27" s="2906">
        <v>1.48</v>
      </c>
      <c r="N27" s="2901">
        <f t="shared" si="169"/>
        <v>4.0899999999999999E-2</v>
      </c>
      <c r="O27" s="2887">
        <f t="shared" si="165"/>
        <v>2.9300000000000003E-2</v>
      </c>
      <c r="P27" s="2887">
        <f t="shared" si="165"/>
        <v>4.5400000000000003E-2</v>
      </c>
      <c r="Q27" s="2887">
        <f t="shared" si="165"/>
        <v>1.4800000000000001E-2</v>
      </c>
      <c r="R27" s="2902"/>
      <c r="S27" s="2903">
        <f>B27/B28-1</f>
        <v>4.1203450408792808E-2</v>
      </c>
      <c r="T27" s="2904">
        <f>C27/C28-1</f>
        <v>2.6363977342465095E-2</v>
      </c>
      <c r="U27" s="2904">
        <f>E27/E28-1</f>
        <v>4.4837114298626357E-2</v>
      </c>
      <c r="V27" s="2904">
        <f>F27/F28-1</f>
        <v>1.7099954922538574E-2</v>
      </c>
      <c r="X27" s="2886">
        <f>ROUND(SUMPRODUCT(PRODUCT(1+N27:N$35)),4)</f>
        <v>1.1604000000000001</v>
      </c>
      <c r="Y27" s="2886">
        <f>ROUND(SUMPRODUCT(PRODUCT(1+O27:O$35)),4)</f>
        <v>1.1312</v>
      </c>
      <c r="Z27" s="2886">
        <f t="shared" si="77"/>
        <v>1.1312</v>
      </c>
      <c r="AA27" s="2886">
        <f>ROUND(SUMPRODUCT(PRODUCT(1+P27:P$35)),4)</f>
        <v>1.1721999999999999</v>
      </c>
      <c r="AB27" s="2886">
        <f>ROUND(SUMPRODUCT(PRODUCT(1+Q27:Q$35)),4)</f>
        <v>1.1147</v>
      </c>
      <c r="AD27" s="2887">
        <f>ROUND(AVERAGE(I27:I$35)/100,4)</f>
        <v>1.67E-2</v>
      </c>
      <c r="AE27" s="2887">
        <f>ROUND(AVERAGE(J27:J$35)/100,4)</f>
        <v>1.38E-2</v>
      </c>
      <c r="AF27" s="2887">
        <f t="shared" si="1"/>
        <v>1.38E-2</v>
      </c>
      <c r="AG27" s="2887">
        <f>ROUND(AVERAGE(K27:K$35)/100,4)</f>
        <v>1.7899999999999999E-2</v>
      </c>
      <c r="AH27" s="2887">
        <f>ROUND(AVERAGE(L27:L$35)/100,4)</f>
        <v>1.21E-2</v>
      </c>
    </row>
    <row r="28" spans="1:34" ht="13.5" thickBot="1">
      <c r="A28" s="2898" t="s">
        <v>958</v>
      </c>
      <c r="B28" s="2920">
        <v>333</v>
      </c>
      <c r="C28" s="2920">
        <v>277</v>
      </c>
      <c r="D28" s="2920">
        <f t="shared" si="167"/>
        <v>277</v>
      </c>
      <c r="E28" s="2920">
        <v>459</v>
      </c>
      <c r="F28" s="2921">
        <v>249</v>
      </c>
      <c r="G28" s="3543">
        <v>2015</v>
      </c>
      <c r="H28" s="2922">
        <v>4</v>
      </c>
      <c r="I28" s="2922">
        <v>1.63</v>
      </c>
      <c r="J28" s="2922">
        <v>1.1100000000000001</v>
      </c>
      <c r="K28" s="2922">
        <v>1.77</v>
      </c>
      <c r="L28" s="2923">
        <v>1.89</v>
      </c>
      <c r="N28" s="2917">
        <f t="shared" si="169"/>
        <v>1.6299999999999999E-2</v>
      </c>
      <c r="O28" s="2918">
        <f t="shared" si="165"/>
        <v>1.11E-2</v>
      </c>
      <c r="P28" s="2918">
        <f t="shared" si="165"/>
        <v>1.77E-2</v>
      </c>
      <c r="Q28" s="2918">
        <f t="shared" si="165"/>
        <v>1.89E-2</v>
      </c>
      <c r="R28" s="2902"/>
      <c r="X28" s="2886">
        <f>ROUND(SUMPRODUCT(PRODUCT(1+N28:N$35)),4)</f>
        <v>1.1148</v>
      </c>
      <c r="Y28" s="2886">
        <f>ROUND(SUMPRODUCT(PRODUCT(1+O28:O$35)),4)</f>
        <v>1.099</v>
      </c>
      <c r="Z28" s="2886">
        <f t="shared" si="77"/>
        <v>1.099</v>
      </c>
      <c r="AA28" s="2886">
        <f>ROUND(SUMPRODUCT(PRODUCT(1+P28:P$35)),4)</f>
        <v>1.1213</v>
      </c>
      <c r="AB28" s="2886">
        <f>ROUND(SUMPRODUCT(PRODUCT(1+Q28:Q$35)),4)</f>
        <v>1.0984</v>
      </c>
      <c r="AD28" s="2887">
        <f>ROUND(AVERAGE(I28:I$35)/100,4)</f>
        <v>1.37E-2</v>
      </c>
      <c r="AE28" s="2887">
        <f>ROUND(AVERAGE(J28:J$35)/100,4)</f>
        <v>1.1900000000000001E-2</v>
      </c>
      <c r="AF28" s="2887">
        <f t="shared" si="1"/>
        <v>1.1900000000000001E-2</v>
      </c>
      <c r="AG28" s="2887">
        <f>ROUND(AVERAGE(K28:K$35)/100,4)</f>
        <v>1.4500000000000001E-2</v>
      </c>
      <c r="AH28" s="2887">
        <f>ROUND(AVERAGE(L28:L$35)/100,4)</f>
        <v>1.18E-2</v>
      </c>
    </row>
    <row r="29" spans="1:34">
      <c r="A29" s="2898" t="s">
        <v>957</v>
      </c>
      <c r="B29" s="2899">
        <f t="shared" ref="B29:C31" si="170">B28/(1+N28)</f>
        <v>327.65915576109415</v>
      </c>
      <c r="C29" s="2899">
        <f t="shared" si="170"/>
        <v>273.95905449510434</v>
      </c>
      <c r="D29" s="2899">
        <f t="shared" si="167"/>
        <v>273.95905449510434</v>
      </c>
      <c r="E29" s="2899">
        <f t="shared" ref="E29:F31" si="171">E28/(1+P28)</f>
        <v>451.01699911565294</v>
      </c>
      <c r="F29" s="2899">
        <f t="shared" si="171"/>
        <v>244.38119540681129</v>
      </c>
      <c r="G29" s="3541"/>
      <c r="H29" s="2925">
        <v>3</v>
      </c>
      <c r="I29" s="2925">
        <v>1.65</v>
      </c>
      <c r="J29" s="2925">
        <v>0.92</v>
      </c>
      <c r="K29" s="2925">
        <v>1.88</v>
      </c>
      <c r="L29" s="2926">
        <v>1.26</v>
      </c>
      <c r="N29" s="2901">
        <f t="shared" si="169"/>
        <v>1.6500000000000001E-2</v>
      </c>
      <c r="O29" s="2919">
        <f t="shared" si="165"/>
        <v>9.1999999999999998E-3</v>
      </c>
      <c r="P29" s="2919">
        <f t="shared" si="165"/>
        <v>1.8799999999999997E-2</v>
      </c>
      <c r="Q29" s="2919">
        <f t="shared" si="165"/>
        <v>1.26E-2</v>
      </c>
      <c r="R29" s="2902"/>
      <c r="S29" s="2901"/>
      <c r="T29" s="2887"/>
      <c r="U29" s="2887"/>
      <c r="V29" s="2887"/>
      <c r="X29" s="2886">
        <f>ROUND(SUMPRODUCT(PRODUCT(1+N29:N$35)),4)</f>
        <v>1.0969</v>
      </c>
      <c r="Y29" s="2886">
        <f>ROUND(SUMPRODUCT(PRODUCT(1+O29:O$35)),4)</f>
        <v>1.0869</v>
      </c>
      <c r="Z29" s="2886">
        <f t="shared" si="77"/>
        <v>1.0869</v>
      </c>
      <c r="AA29" s="2886">
        <f>ROUND(SUMPRODUCT(PRODUCT(1+P29:P$35)),4)</f>
        <v>1.1017999999999999</v>
      </c>
      <c r="AB29" s="2886">
        <f>ROUND(SUMPRODUCT(PRODUCT(1+Q29:Q$35)),4)</f>
        <v>1.0781000000000001</v>
      </c>
      <c r="AD29" s="2887">
        <f>ROUND(AVERAGE(I29:I$35)/100,4)</f>
        <v>1.3299999999999999E-2</v>
      </c>
      <c r="AE29" s="2887">
        <f>ROUND(AVERAGE(J29:J$35)/100,4)</f>
        <v>1.2E-2</v>
      </c>
      <c r="AF29" s="2887">
        <f t="shared" si="1"/>
        <v>1.2E-2</v>
      </c>
      <c r="AG29" s="2887">
        <f>ROUND(AVERAGE(K29:K$35)/100,4)</f>
        <v>1.4E-2</v>
      </c>
      <c r="AH29" s="2887">
        <f>ROUND(AVERAGE(L29:L$35)/100,4)</f>
        <v>1.0800000000000001E-2</v>
      </c>
    </row>
    <row r="30" spans="1:34">
      <c r="A30" s="2898" t="s">
        <v>956</v>
      </c>
      <c r="B30" s="2899">
        <f t="shared" si="170"/>
        <v>322.34053690220776</v>
      </c>
      <c r="C30" s="2899">
        <f t="shared" si="170"/>
        <v>271.46160770422546</v>
      </c>
      <c r="D30" s="2899">
        <f t="shared" si="167"/>
        <v>271.46160770422546</v>
      </c>
      <c r="E30" s="2899">
        <f t="shared" si="171"/>
        <v>442.69434542172456</v>
      </c>
      <c r="F30" s="2899">
        <f t="shared" si="171"/>
        <v>241.34030753190925</v>
      </c>
      <c r="G30" s="3541"/>
      <c r="H30" s="2913">
        <v>2</v>
      </c>
      <c r="I30" s="2913">
        <v>0.77</v>
      </c>
      <c r="J30" s="2913">
        <v>0.69</v>
      </c>
      <c r="K30" s="2913">
        <v>0.8</v>
      </c>
      <c r="L30" s="2914">
        <v>0.88</v>
      </c>
      <c r="N30" s="2901">
        <f t="shared" si="169"/>
        <v>7.7000000000000002E-3</v>
      </c>
      <c r="O30" s="2919">
        <f t="shared" si="165"/>
        <v>6.8999999999999999E-3</v>
      </c>
      <c r="P30" s="2919">
        <f t="shared" si="165"/>
        <v>8.0000000000000002E-3</v>
      </c>
      <c r="Q30" s="2919">
        <f t="shared" si="165"/>
        <v>8.8000000000000005E-3</v>
      </c>
      <c r="R30" s="2902"/>
      <c r="S30" s="2901"/>
      <c r="T30" s="2887"/>
      <c r="U30" s="2887"/>
      <c r="V30" s="2887"/>
      <c r="X30" s="2886">
        <f>ROUND(SUMPRODUCT(PRODUCT(1+N30:N$35)),4)</f>
        <v>1.0790999999999999</v>
      </c>
      <c r="Y30" s="2886">
        <f>ROUND(SUMPRODUCT(PRODUCT(1+O30:O$35)),4)</f>
        <v>1.077</v>
      </c>
      <c r="Z30" s="2886">
        <f t="shared" si="77"/>
        <v>1.077</v>
      </c>
      <c r="AA30" s="2886">
        <f>ROUND(SUMPRODUCT(PRODUCT(1+P30:P$35)),4)</f>
        <v>1.0813999999999999</v>
      </c>
      <c r="AB30" s="2886">
        <f>ROUND(SUMPRODUCT(PRODUCT(1+Q30:Q$35)),4)</f>
        <v>1.0647</v>
      </c>
      <c r="AD30" s="2887">
        <f>ROUND(AVERAGE(I30:I$35)/100,4)</f>
        <v>1.2800000000000001E-2</v>
      </c>
      <c r="AE30" s="2887">
        <f>ROUND(AVERAGE(J30:J$35)/100,4)</f>
        <v>1.2500000000000001E-2</v>
      </c>
      <c r="AF30" s="2887">
        <f t="shared" si="1"/>
        <v>1.2500000000000001E-2</v>
      </c>
      <c r="AG30" s="2887">
        <f>ROUND(AVERAGE(K30:K$35)/100,4)</f>
        <v>1.32E-2</v>
      </c>
      <c r="AH30" s="2887">
        <f>ROUND(AVERAGE(L30:L$35)/100,4)</f>
        <v>1.0500000000000001E-2</v>
      </c>
    </row>
    <row r="31" spans="1:34">
      <c r="A31" s="2898" t="s">
        <v>955</v>
      </c>
      <c r="B31" s="2899">
        <f t="shared" si="170"/>
        <v>319.87748030386797</v>
      </c>
      <c r="C31" s="2899">
        <f t="shared" si="170"/>
        <v>269.60135833173649</v>
      </c>
      <c r="D31" s="2899">
        <f t="shared" si="167"/>
        <v>269.60135833173649</v>
      </c>
      <c r="E31" s="2899">
        <f t="shared" si="171"/>
        <v>439.18089823583784</v>
      </c>
      <c r="F31" s="2899">
        <f t="shared" si="171"/>
        <v>239.23503918706311</v>
      </c>
      <c r="G31" s="3544"/>
      <c r="H31" s="2900">
        <v>1</v>
      </c>
      <c r="I31" s="2900">
        <v>0.51</v>
      </c>
      <c r="J31" s="2900">
        <v>0.54</v>
      </c>
      <c r="K31" s="2900">
        <v>0.48</v>
      </c>
      <c r="L31" s="2906">
        <v>0.93</v>
      </c>
      <c r="N31" s="2903">
        <f t="shared" si="169"/>
        <v>5.1000000000000004E-3</v>
      </c>
      <c r="O31" s="2904">
        <f t="shared" si="165"/>
        <v>5.4000000000000003E-3</v>
      </c>
      <c r="P31" s="2904">
        <f t="shared" si="165"/>
        <v>4.7999999999999996E-3</v>
      </c>
      <c r="Q31" s="2904">
        <f t="shared" si="165"/>
        <v>9.300000000000001E-3</v>
      </c>
      <c r="R31" s="2902"/>
      <c r="S31" s="2903">
        <f>B31/B32-1</f>
        <v>5.9040261127922822E-3</v>
      </c>
      <c r="T31" s="2904">
        <f>C31/C32-1</f>
        <v>5.9752176557332781E-3</v>
      </c>
      <c r="U31" s="2904">
        <f>E31/E32-1</f>
        <v>4.9906138119859556E-3</v>
      </c>
      <c r="V31" s="2904">
        <f>F31/F32-1</f>
        <v>9.4305450930933787E-3</v>
      </c>
      <c r="X31" s="2886">
        <f>ROUND(SUMPRODUCT(PRODUCT(1+N31:N$35)),4)</f>
        <v>1.0708</v>
      </c>
      <c r="Y31" s="2886">
        <f>ROUND(SUMPRODUCT(PRODUCT(1+O31:O$35)),4)</f>
        <v>1.0696000000000001</v>
      </c>
      <c r="Z31" s="2886">
        <f t="shared" si="77"/>
        <v>1.0696000000000001</v>
      </c>
      <c r="AA31" s="2886">
        <f>ROUND(SUMPRODUCT(PRODUCT(1+P31:P$35)),4)</f>
        <v>1.0728</v>
      </c>
      <c r="AB31" s="2886">
        <f>ROUND(SUMPRODUCT(PRODUCT(1+Q31:Q$35)),4)</f>
        <v>1.0553999999999999</v>
      </c>
      <c r="AD31" s="2887">
        <f>ROUND(AVERAGE(I31:I$35)/100,4)</f>
        <v>1.38E-2</v>
      </c>
      <c r="AE31" s="2887">
        <f>ROUND(AVERAGE(J31:J$35)/100,4)</f>
        <v>1.3599999999999999E-2</v>
      </c>
      <c r="AF31" s="2887">
        <f t="shared" si="1"/>
        <v>1.3599999999999999E-2</v>
      </c>
      <c r="AG31" s="2887">
        <f>ROUND(AVERAGE(K31:K$35)/100,4)</f>
        <v>1.4200000000000001E-2</v>
      </c>
      <c r="AH31" s="2887">
        <f>ROUND(AVERAGE(L31:L$35)/100,4)</f>
        <v>1.0800000000000001E-2</v>
      </c>
    </row>
    <row r="32" spans="1:34" ht="13.5" thickBot="1">
      <c r="A32" s="2898" t="s">
        <v>954</v>
      </c>
      <c r="B32" s="2927">
        <v>318</v>
      </c>
      <c r="C32" s="2927">
        <v>268</v>
      </c>
      <c r="D32" s="2927">
        <f t="shared" si="167"/>
        <v>268</v>
      </c>
      <c r="E32" s="2927">
        <v>437</v>
      </c>
      <c r="F32" s="2928">
        <v>237</v>
      </c>
      <c r="G32" s="3543">
        <v>2014</v>
      </c>
      <c r="H32" s="2922">
        <v>4</v>
      </c>
      <c r="I32" s="2922">
        <v>0.21</v>
      </c>
      <c r="J32" s="2922">
        <v>0.41</v>
      </c>
      <c r="K32" s="2922">
        <v>0.12</v>
      </c>
      <c r="L32" s="2923">
        <v>0.89</v>
      </c>
      <c r="N32" s="2901">
        <f t="shared" si="169"/>
        <v>2.0999999999999999E-3</v>
      </c>
      <c r="O32" s="2887">
        <f t="shared" si="165"/>
        <v>4.0999999999999995E-3</v>
      </c>
      <c r="P32" s="2887">
        <f t="shared" si="165"/>
        <v>1.1999999999999999E-3</v>
      </c>
      <c r="Q32" s="2887">
        <f t="shared" si="165"/>
        <v>8.8999999999999999E-3</v>
      </c>
      <c r="R32" s="2902"/>
      <c r="S32" s="2911"/>
      <c r="T32" s="2912"/>
      <c r="U32" s="2912"/>
      <c r="V32" s="2912"/>
      <c r="X32" s="2886">
        <f>ROUND(SUMPRODUCT(PRODUCT(1+N32:N$35)),4)</f>
        <v>1.0653999999999999</v>
      </c>
      <c r="Y32" s="2886">
        <f>ROUND(SUMPRODUCT(PRODUCT(1+O32:O$35)),4)</f>
        <v>1.0639000000000001</v>
      </c>
      <c r="Z32" s="2886">
        <f t="shared" si="77"/>
        <v>1.0639000000000001</v>
      </c>
      <c r="AA32" s="2886">
        <f>ROUND(SUMPRODUCT(PRODUCT(1+P32:P$35)),4)</f>
        <v>1.0677000000000001</v>
      </c>
      <c r="AB32" s="2886">
        <f>ROUND(SUMPRODUCT(PRODUCT(1+Q32:Q$35)),4)</f>
        <v>1.0456000000000001</v>
      </c>
      <c r="AD32" s="2887">
        <f>ROUND(AVERAGE(I32:I$35)/100,4)</f>
        <v>1.6E-2</v>
      </c>
      <c r="AE32" s="2887">
        <f>ROUND(AVERAGE(J32:J$35)/100,4)</f>
        <v>1.5599999999999999E-2</v>
      </c>
      <c r="AF32" s="2887">
        <f t="shared" si="1"/>
        <v>1.5599999999999999E-2</v>
      </c>
      <c r="AG32" s="2887">
        <f>ROUND(AVERAGE(K32:K$35)/100,4)</f>
        <v>1.66E-2</v>
      </c>
      <c r="AH32" s="2887">
        <f>ROUND(AVERAGE(L32:L$35)/100,4)</f>
        <v>1.12E-2</v>
      </c>
    </row>
    <row r="33" spans="1:34">
      <c r="A33" s="2898" t="s">
        <v>953</v>
      </c>
      <c r="B33" s="2899">
        <f t="shared" ref="B33:C35" si="172">B32/(1+N32)</f>
        <v>317.33359944117353</v>
      </c>
      <c r="C33" s="2899">
        <f t="shared" si="172"/>
        <v>266.90568668459315</v>
      </c>
      <c r="D33" s="2899">
        <f t="shared" si="167"/>
        <v>266.90568668459315</v>
      </c>
      <c r="E33" s="2899">
        <f t="shared" ref="E33:F35" si="173">E32/(1+P32)</f>
        <v>436.47622852576905</v>
      </c>
      <c r="F33" s="2899">
        <f t="shared" si="173"/>
        <v>234.90930716622066</v>
      </c>
      <c r="G33" s="3541"/>
      <c r="H33" s="2929">
        <v>3</v>
      </c>
      <c r="I33" s="2929">
        <v>0.83</v>
      </c>
      <c r="J33" s="2929">
        <v>1.47</v>
      </c>
      <c r="K33" s="2929">
        <v>0.65</v>
      </c>
      <c r="L33" s="2930">
        <v>0.72</v>
      </c>
      <c r="N33" s="2901">
        <f t="shared" si="169"/>
        <v>8.3000000000000001E-3</v>
      </c>
      <c r="O33" s="2887">
        <f t="shared" si="165"/>
        <v>1.47E-2</v>
      </c>
      <c r="P33" s="2887">
        <f t="shared" si="165"/>
        <v>6.5000000000000006E-3</v>
      </c>
      <c r="Q33" s="2887">
        <f t="shared" si="165"/>
        <v>7.1999999999999998E-3</v>
      </c>
      <c r="R33" s="2902"/>
      <c r="S33" s="2901"/>
      <c r="T33" s="2887"/>
      <c r="U33" s="2887"/>
      <c r="V33" s="2887"/>
      <c r="X33" s="2886">
        <f>ROUND(SUMPRODUCT(PRODUCT(1+N33:N$35)),4)</f>
        <v>1.0631999999999999</v>
      </c>
      <c r="Y33" s="2886">
        <f>ROUND(SUMPRODUCT(PRODUCT(1+O33:O$35)),4)</f>
        <v>1.0595000000000001</v>
      </c>
      <c r="Z33" s="2886">
        <f t="shared" si="77"/>
        <v>1.0595000000000001</v>
      </c>
      <c r="AA33" s="2886">
        <f>ROUND(SUMPRODUCT(PRODUCT(1+P33:P$35)),4)</f>
        <v>1.0664</v>
      </c>
      <c r="AB33" s="2886">
        <f>ROUND(SUMPRODUCT(PRODUCT(1+Q33:Q$35)),4)</f>
        <v>1.0364</v>
      </c>
      <c r="AD33" s="2887">
        <f>ROUND(AVERAGE(I33:I$35)/100,4)</f>
        <v>2.07E-2</v>
      </c>
      <c r="AE33" s="2887">
        <f>ROUND(AVERAGE(J33:J$35)/100,4)</f>
        <v>1.95E-2</v>
      </c>
      <c r="AF33" s="2887">
        <f t="shared" si="1"/>
        <v>1.95E-2</v>
      </c>
      <c r="AG33" s="2887">
        <f>ROUND(AVERAGE(K33:K$35)/100,4)</f>
        <v>2.1700000000000001E-2</v>
      </c>
      <c r="AH33" s="2887">
        <f>ROUND(AVERAGE(L33:L$35)/100,4)</f>
        <v>1.2E-2</v>
      </c>
    </row>
    <row r="34" spans="1:34" ht="13.5" thickBot="1">
      <c r="A34" s="2898" t="s">
        <v>952</v>
      </c>
      <c r="B34" s="2899">
        <f t="shared" si="172"/>
        <v>314.72141172386546</v>
      </c>
      <c r="C34" s="2899">
        <f t="shared" si="172"/>
        <v>263.03901319069001</v>
      </c>
      <c r="D34" s="2899">
        <f t="shared" si="167"/>
        <v>263.03901319069001</v>
      </c>
      <c r="E34" s="2899">
        <f t="shared" si="173"/>
        <v>433.65745506782821</v>
      </c>
      <c r="F34" s="2899">
        <f t="shared" si="173"/>
        <v>233.23005080045735</v>
      </c>
      <c r="G34" s="3541"/>
      <c r="H34" s="2922">
        <v>2</v>
      </c>
      <c r="I34" s="2922">
        <v>2.4</v>
      </c>
      <c r="J34" s="2922">
        <v>2.0299999999999998</v>
      </c>
      <c r="K34" s="2922">
        <v>2.59</v>
      </c>
      <c r="L34" s="2923">
        <v>1.52</v>
      </c>
      <c r="N34" s="2901">
        <f t="shared" si="169"/>
        <v>2.4E-2</v>
      </c>
      <c r="O34" s="2887">
        <f t="shared" si="165"/>
        <v>2.0299999999999999E-2</v>
      </c>
      <c r="P34" s="2887">
        <f t="shared" si="165"/>
        <v>2.5899999999999999E-2</v>
      </c>
      <c r="Q34" s="2887">
        <f t="shared" si="165"/>
        <v>1.52E-2</v>
      </c>
      <c r="R34" s="2902"/>
      <c r="S34" s="2901"/>
      <c r="T34" s="2887"/>
      <c r="U34" s="2887"/>
      <c r="V34" s="2887"/>
      <c r="X34" s="2886">
        <f>ROUND(SUMPRODUCT(PRODUCT(1+N34:N$35)),4)</f>
        <v>1.0544</v>
      </c>
      <c r="Y34" s="2886">
        <f>ROUND(SUMPRODUCT(PRODUCT(1+O34:O$35)),4)</f>
        <v>1.0442</v>
      </c>
      <c r="Z34" s="2886">
        <f t="shared" si="77"/>
        <v>1.0442</v>
      </c>
      <c r="AA34" s="2886">
        <f>ROUND(SUMPRODUCT(PRODUCT(1+P34:P$35)),4)</f>
        <v>1.0595000000000001</v>
      </c>
      <c r="AB34" s="2886">
        <f>ROUND(SUMPRODUCT(PRODUCT(1+Q34:Q$35)),4)</f>
        <v>1.0289999999999999</v>
      </c>
      <c r="AD34" s="2887">
        <f>ROUND(AVERAGE(I34:I$35)/100,4)</f>
        <v>2.69E-2</v>
      </c>
      <c r="AE34" s="2887">
        <f>ROUND(AVERAGE(J34:J$35)/100,4)</f>
        <v>2.1899999999999999E-2</v>
      </c>
      <c r="AF34" s="2887">
        <f t="shared" ref="AF34" si="174">AE34</f>
        <v>2.1899999999999999E-2</v>
      </c>
      <c r="AG34" s="2887">
        <f>ROUND(AVERAGE(K34:K$35)/100,4)</f>
        <v>2.9399999999999999E-2</v>
      </c>
      <c r="AH34" s="2887">
        <f>ROUND(AVERAGE(L34:L$35)/100,4)</f>
        <v>1.44E-2</v>
      </c>
    </row>
    <row r="35" spans="1:34" s="2935" customFormat="1" ht="13.5" thickBot="1">
      <c r="A35" s="2931" t="s">
        <v>951</v>
      </c>
      <c r="B35" s="2932">
        <f t="shared" si="172"/>
        <v>307.34512863658733</v>
      </c>
      <c r="C35" s="2932">
        <f t="shared" si="172"/>
        <v>257.80556031626975</v>
      </c>
      <c r="D35" s="2932">
        <f t="shared" si="167"/>
        <v>257.80556031626975</v>
      </c>
      <c r="E35" s="2932">
        <f t="shared" si="173"/>
        <v>422.70928459677179</v>
      </c>
      <c r="F35" s="2932">
        <f t="shared" si="173"/>
        <v>229.73803270336617</v>
      </c>
      <c r="G35" s="3544"/>
      <c r="H35" s="2933">
        <v>1</v>
      </c>
      <c r="I35" s="2933">
        <v>2.97</v>
      </c>
      <c r="J35" s="2933">
        <v>2.34</v>
      </c>
      <c r="K35" s="2933">
        <v>3.28</v>
      </c>
      <c r="L35" s="2934">
        <v>1.36</v>
      </c>
      <c r="N35" s="2936">
        <f t="shared" si="169"/>
        <v>2.9700000000000001E-2</v>
      </c>
      <c r="O35" s="2937">
        <f t="shared" si="165"/>
        <v>2.3399999999999997E-2</v>
      </c>
      <c r="P35" s="2937">
        <f t="shared" si="165"/>
        <v>3.2799999999999996E-2</v>
      </c>
      <c r="Q35" s="2937">
        <f t="shared" si="165"/>
        <v>1.3600000000000001E-2</v>
      </c>
      <c r="R35" s="2938"/>
      <c r="S35" s="2939">
        <f>B35/B36-1</f>
        <v>2.7910129219355539E-2</v>
      </c>
      <c r="T35" s="2940">
        <f>C35/C36-1</f>
        <v>2.3037937762975247E-2</v>
      </c>
      <c r="U35" s="2940">
        <f>E35/E36-1</f>
        <v>3.3519033243940788E-2</v>
      </c>
      <c r="V35" s="2940">
        <f>F35/F36-1</f>
        <v>1.2061818076502862E-2</v>
      </c>
      <c r="W35" s="2941" t="s">
        <v>2621</v>
      </c>
      <c r="X35" s="2942">
        <v>1</v>
      </c>
      <c r="Y35" s="2942">
        <v>1</v>
      </c>
      <c r="Z35" s="2942">
        <v>1</v>
      </c>
      <c r="AA35" s="2942">
        <v>1</v>
      </c>
      <c r="AB35" s="2942">
        <v>1</v>
      </c>
      <c r="AD35" s="2937">
        <f>I35/100</f>
        <v>2.9700000000000001E-2</v>
      </c>
      <c r="AE35" s="2937">
        <f>J35/100</f>
        <v>2.3399999999999997E-2</v>
      </c>
      <c r="AF35" s="2937">
        <f>AE35</f>
        <v>2.3399999999999997E-2</v>
      </c>
      <c r="AG35" s="2937">
        <f>K35/100</f>
        <v>3.2799999999999996E-2</v>
      </c>
      <c r="AH35" s="2937">
        <f>L35/100</f>
        <v>1.3600000000000001E-2</v>
      </c>
    </row>
    <row r="36" spans="1:34" ht="13.5" thickBot="1">
      <c r="A36" s="2898" t="s">
        <v>2564</v>
      </c>
      <c r="B36" s="2920">
        <v>299</v>
      </c>
      <c r="C36" s="2920">
        <v>252</v>
      </c>
      <c r="D36" s="2920">
        <f t="shared" si="167"/>
        <v>252</v>
      </c>
      <c r="E36" s="2920">
        <v>409</v>
      </c>
      <c r="F36" s="2921">
        <v>227</v>
      </c>
      <c r="G36" s="3548">
        <v>2013</v>
      </c>
      <c r="H36" s="2943">
        <v>4</v>
      </c>
      <c r="I36" s="2943">
        <v>1.83</v>
      </c>
      <c r="J36" s="2943">
        <v>1.68</v>
      </c>
      <c r="K36" s="2943">
        <v>1.97</v>
      </c>
      <c r="L36" s="2944">
        <v>0.87</v>
      </c>
      <c r="N36" s="2917">
        <f t="shared" si="169"/>
        <v>1.83E-2</v>
      </c>
      <c r="O36" s="2918">
        <f t="shared" si="165"/>
        <v>1.6799999999999999E-2</v>
      </c>
      <c r="P36" s="2918">
        <f t="shared" si="165"/>
        <v>1.9699999999999999E-2</v>
      </c>
      <c r="Q36" s="2918">
        <f t="shared" si="165"/>
        <v>8.6999999999999994E-3</v>
      </c>
      <c r="R36" s="2902"/>
      <c r="S36" s="2911"/>
      <c r="T36" s="2912"/>
      <c r="U36" s="2912"/>
      <c r="V36" s="2912"/>
      <c r="X36" s="2912"/>
      <c r="Y36" s="2912"/>
      <c r="Z36" s="2912"/>
    </row>
    <row r="37" spans="1:34">
      <c r="A37" s="2898" t="s">
        <v>2565</v>
      </c>
      <c r="B37" s="2899">
        <f t="shared" ref="B37:C39" si="175">B36/(1+N36)</f>
        <v>293.62663262299913</v>
      </c>
      <c r="C37" s="2899">
        <f t="shared" si="175"/>
        <v>247.83634933123525</v>
      </c>
      <c r="D37" s="2899">
        <f t="shared" si="167"/>
        <v>247.83634933123525</v>
      </c>
      <c r="E37" s="2899">
        <f t="shared" ref="E37:F39" si="176">E36/(1+P36)</f>
        <v>401.09836226341076</v>
      </c>
      <c r="F37" s="2899">
        <f t="shared" si="176"/>
        <v>225.04213343908003</v>
      </c>
      <c r="G37" s="3549"/>
      <c r="H37" s="2925">
        <v>3</v>
      </c>
      <c r="I37" s="2925">
        <v>1.86</v>
      </c>
      <c r="J37" s="2925">
        <v>1.72</v>
      </c>
      <c r="K37" s="2925">
        <v>1.98</v>
      </c>
      <c r="L37" s="2926">
        <v>0.88</v>
      </c>
      <c r="N37" s="2901">
        <f t="shared" si="169"/>
        <v>1.8600000000000002E-2</v>
      </c>
      <c r="O37" s="2919">
        <f t="shared" si="165"/>
        <v>1.72E-2</v>
      </c>
      <c r="P37" s="2919">
        <f t="shared" si="165"/>
        <v>1.9799999999999998E-2</v>
      </c>
      <c r="Q37" s="2919">
        <f t="shared" si="165"/>
        <v>8.8000000000000005E-3</v>
      </c>
      <c r="R37" s="2902"/>
      <c r="S37" s="2901"/>
      <c r="T37" s="2887"/>
      <c r="U37" s="2887"/>
      <c r="V37" s="2887"/>
    </row>
    <row r="38" spans="1:34">
      <c r="A38" s="2898" t="s">
        <v>2566</v>
      </c>
      <c r="B38" s="2899">
        <f t="shared" si="175"/>
        <v>288.2649053828776</v>
      </c>
      <c r="C38" s="2899">
        <f t="shared" si="175"/>
        <v>243.64564425013293</v>
      </c>
      <c r="D38" s="2899">
        <f t="shared" si="167"/>
        <v>243.64564425013293</v>
      </c>
      <c r="E38" s="2899">
        <f t="shared" si="176"/>
        <v>393.31080825986544</v>
      </c>
      <c r="F38" s="2899">
        <f t="shared" si="176"/>
        <v>223.07903790551154</v>
      </c>
      <c r="G38" s="3549"/>
      <c r="H38" s="2913">
        <v>2</v>
      </c>
      <c r="I38" s="2913">
        <v>2.04</v>
      </c>
      <c r="J38" s="2913">
        <v>2.33</v>
      </c>
      <c r="K38" s="2913">
        <v>2.0699999999999998</v>
      </c>
      <c r="L38" s="2914">
        <v>0.69</v>
      </c>
      <c r="N38" s="2901">
        <f t="shared" si="169"/>
        <v>2.0400000000000001E-2</v>
      </c>
      <c r="O38" s="2919">
        <f t="shared" si="165"/>
        <v>2.3300000000000001E-2</v>
      </c>
      <c r="P38" s="2919">
        <f t="shared" si="165"/>
        <v>2.07E-2</v>
      </c>
      <c r="Q38" s="2919">
        <f t="shared" si="165"/>
        <v>6.8999999999999999E-3</v>
      </c>
      <c r="R38" s="2902"/>
      <c r="S38" s="2901"/>
      <c r="T38" s="2887"/>
      <c r="U38" s="2887"/>
      <c r="V38" s="2887"/>
      <c r="X38" s="2945"/>
      <c r="Y38" s="2946"/>
    </row>
    <row r="39" spans="1:34">
      <c r="A39" s="2898" t="s">
        <v>2567</v>
      </c>
      <c r="B39" s="2899">
        <f t="shared" si="175"/>
        <v>282.50186729015837</v>
      </c>
      <c r="C39" s="2899">
        <f t="shared" si="175"/>
        <v>238.09796174155468</v>
      </c>
      <c r="D39" s="2899">
        <f t="shared" si="167"/>
        <v>238.09796174155468</v>
      </c>
      <c r="E39" s="2899">
        <f t="shared" si="176"/>
        <v>385.33438646014054</v>
      </c>
      <c r="F39" s="2899">
        <f t="shared" si="176"/>
        <v>221.55034055567739</v>
      </c>
      <c r="G39" s="3550"/>
      <c r="H39" s="2900">
        <v>1</v>
      </c>
      <c r="I39" s="2900">
        <v>1.67</v>
      </c>
      <c r="J39" s="2900">
        <v>1.31</v>
      </c>
      <c r="K39" s="2900">
        <v>1.85</v>
      </c>
      <c r="L39" s="2906">
        <v>0.96</v>
      </c>
      <c r="N39" s="2903">
        <f t="shared" si="169"/>
        <v>1.67E-2</v>
      </c>
      <c r="O39" s="2904">
        <f t="shared" si="165"/>
        <v>1.3100000000000001E-2</v>
      </c>
      <c r="P39" s="2904">
        <f t="shared" si="165"/>
        <v>1.8500000000000003E-2</v>
      </c>
      <c r="Q39" s="2904">
        <f t="shared" si="165"/>
        <v>9.5999999999999992E-3</v>
      </c>
      <c r="R39" s="2902"/>
      <c r="S39" s="2903">
        <f>B39/B40-1</f>
        <v>1.6193767230785472E-2</v>
      </c>
      <c r="T39" s="2904">
        <f>C39/C40-1</f>
        <v>1.7512657015190891E-2</v>
      </c>
      <c r="U39" s="2904">
        <f>E39/E40-1</f>
        <v>1.6713420739157048E-2</v>
      </c>
      <c r="V39" s="2904">
        <f>F39/F40-1</f>
        <v>7.0470025258062563E-3</v>
      </c>
      <c r="X39" s="2947"/>
      <c r="Y39" s="2887"/>
      <c r="Z39" s="2887"/>
    </row>
    <row r="40" spans="1:34" ht="13.5" thickBot="1">
      <c r="A40" s="2898" t="s">
        <v>2568</v>
      </c>
      <c r="B40" s="2948">
        <v>278</v>
      </c>
      <c r="C40" s="2948">
        <v>234</v>
      </c>
      <c r="D40" s="2948">
        <f t="shared" si="167"/>
        <v>234</v>
      </c>
      <c r="E40" s="2948">
        <v>379</v>
      </c>
      <c r="F40" s="2949">
        <v>220</v>
      </c>
      <c r="G40" s="3543">
        <v>2012</v>
      </c>
      <c r="H40" s="2922">
        <v>4</v>
      </c>
      <c r="I40" s="2922">
        <v>0.91</v>
      </c>
      <c r="J40" s="2922">
        <v>0.68</v>
      </c>
      <c r="K40" s="2922">
        <v>0.98</v>
      </c>
      <c r="L40" s="2923">
        <v>0.9</v>
      </c>
      <c r="N40" s="2901">
        <f t="shared" si="169"/>
        <v>9.1000000000000004E-3</v>
      </c>
      <c r="O40" s="2887">
        <f t="shared" si="169"/>
        <v>6.8000000000000005E-3</v>
      </c>
      <c r="P40" s="2887">
        <f t="shared" si="169"/>
        <v>9.7999999999999997E-3</v>
      </c>
      <c r="Q40" s="2887">
        <f t="shared" si="169"/>
        <v>9.0000000000000011E-3</v>
      </c>
      <c r="R40" s="2902"/>
      <c r="S40" s="2911"/>
      <c r="T40" s="2912"/>
      <c r="U40" s="2912"/>
      <c r="V40" s="2912"/>
      <c r="X40" s="2912"/>
      <c r="Y40" s="2912"/>
      <c r="Z40" s="2912"/>
    </row>
    <row r="41" spans="1:34">
      <c r="A41" s="2898" t="s">
        <v>2569</v>
      </c>
      <c r="B41" s="2899">
        <f>B40/(1+N40)</f>
        <v>275.49301357645425</v>
      </c>
      <c r="C41" s="2899">
        <f>C40/(1+O40)</f>
        <v>232.41954707985698</v>
      </c>
      <c r="D41" s="2899">
        <f t="shared" si="167"/>
        <v>232.41954707985698</v>
      </c>
      <c r="E41" s="2899">
        <f t="shared" ref="E41:F43" si="177">E40/(1+P40)</f>
        <v>375.32184591008121</v>
      </c>
      <c r="F41" s="2899">
        <f t="shared" si="177"/>
        <v>218.03766105054513</v>
      </c>
      <c r="G41" s="3541"/>
      <c r="H41" s="2925">
        <v>3</v>
      </c>
      <c r="I41" s="2925">
        <v>0.09</v>
      </c>
      <c r="J41" s="2925">
        <v>0.28999999999999998</v>
      </c>
      <c r="K41" s="2925">
        <v>-0.01</v>
      </c>
      <c r="L41" s="2926">
        <v>0.57999999999999996</v>
      </c>
      <c r="N41" s="2901">
        <f t="shared" si="169"/>
        <v>8.9999999999999998E-4</v>
      </c>
      <c r="O41" s="2887">
        <f t="shared" si="169"/>
        <v>2.8999999999999998E-3</v>
      </c>
      <c r="P41" s="2887">
        <f t="shared" si="169"/>
        <v>-1E-4</v>
      </c>
      <c r="Q41" s="2887">
        <f t="shared" si="169"/>
        <v>5.7999999999999996E-3</v>
      </c>
      <c r="R41" s="2902"/>
      <c r="S41" s="2901"/>
      <c r="T41" s="2887"/>
      <c r="U41" s="2887"/>
      <c r="V41" s="2887"/>
    </row>
    <row r="42" spans="1:34">
      <c r="A42" s="2898" t="s">
        <v>2570</v>
      </c>
      <c r="B42" s="2899">
        <f>B41/(1+N41)</f>
        <v>275.24529281292263</v>
      </c>
      <c r="C42" s="2899">
        <f>C41/(1+O41)</f>
        <v>231.74747938962707</v>
      </c>
      <c r="D42" s="2899">
        <f t="shared" si="167"/>
        <v>231.74747938962707</v>
      </c>
      <c r="E42" s="2899">
        <f t="shared" si="177"/>
        <v>375.35938184826603</v>
      </c>
      <c r="F42" s="2899">
        <f t="shared" si="177"/>
        <v>216.78033510692495</v>
      </c>
      <c r="G42" s="3541"/>
      <c r="H42" s="2913">
        <v>2</v>
      </c>
      <c r="I42" s="2913">
        <v>0.02</v>
      </c>
      <c r="J42" s="2913">
        <v>0.12</v>
      </c>
      <c r="K42" s="2913">
        <v>-0.08</v>
      </c>
      <c r="L42" s="2914">
        <v>1.24</v>
      </c>
      <c r="N42" s="2901">
        <f t="shared" si="169"/>
        <v>2.0000000000000001E-4</v>
      </c>
      <c r="O42" s="2887">
        <f t="shared" si="169"/>
        <v>1.1999999999999999E-3</v>
      </c>
      <c r="P42" s="2887">
        <f t="shared" si="169"/>
        <v>-8.0000000000000004E-4</v>
      </c>
      <c r="Q42" s="2887">
        <f t="shared" si="169"/>
        <v>1.24E-2</v>
      </c>
      <c r="R42" s="2902"/>
      <c r="S42" s="2901"/>
      <c r="T42" s="2887"/>
      <c r="U42" s="2887"/>
      <c r="V42" s="2887"/>
    </row>
    <row r="43" spans="1:34" ht="13.5" thickBot="1">
      <c r="A43" s="2898" t="s">
        <v>2571</v>
      </c>
      <c r="B43" s="2899">
        <f>B42/(1+N42)</f>
        <v>275.19025476197027</v>
      </c>
      <c r="C43" s="2950">
        <v>232</v>
      </c>
      <c r="D43" s="2950">
        <f t="shared" si="167"/>
        <v>232</v>
      </c>
      <c r="E43" s="2899">
        <f t="shared" si="177"/>
        <v>375.65990977608692</v>
      </c>
      <c r="F43" s="2899">
        <f t="shared" si="177"/>
        <v>214.12518283971252</v>
      </c>
      <c r="G43" s="3544"/>
      <c r="H43" s="2900">
        <v>1</v>
      </c>
      <c r="I43" s="2900">
        <v>0.02</v>
      </c>
      <c r="J43" s="2900">
        <v>0.13</v>
      </c>
      <c r="K43" s="2900">
        <v>-0.04</v>
      </c>
      <c r="L43" s="2906">
        <v>0.46</v>
      </c>
      <c r="N43" s="2901">
        <f t="shared" si="169"/>
        <v>2.0000000000000001E-4</v>
      </c>
      <c r="O43" s="2887">
        <f t="shared" si="169"/>
        <v>1.2999999999999999E-3</v>
      </c>
      <c r="P43" s="2887">
        <f t="shared" si="169"/>
        <v>-4.0000000000000002E-4</v>
      </c>
      <c r="Q43" s="2887">
        <f t="shared" si="169"/>
        <v>4.5999999999999999E-3</v>
      </c>
      <c r="R43" s="2902"/>
      <c r="S43" s="2903">
        <f>B43/B44-1</f>
        <v>6.9183549807361189E-4</v>
      </c>
      <c r="T43" s="2904">
        <f>C43/C44-1</f>
        <v>0</v>
      </c>
      <c r="U43" s="2904">
        <f>E43/E44-1</f>
        <v>-9.0449527636460303E-4</v>
      </c>
      <c r="V43" s="2904">
        <f>F43/F44-1</f>
        <v>5.2825485432512753E-3</v>
      </c>
      <c r="X43" s="2887"/>
      <c r="Y43" s="2887"/>
      <c r="Z43" s="2887"/>
    </row>
    <row r="44" spans="1:34" ht="13.5" thickBot="1">
      <c r="A44" s="2898" t="s">
        <v>2572</v>
      </c>
      <c r="B44" s="2920">
        <v>275</v>
      </c>
      <c r="C44" s="2920">
        <v>232</v>
      </c>
      <c r="D44" s="2920">
        <f t="shared" si="167"/>
        <v>232</v>
      </c>
      <c r="E44" s="2920">
        <v>376</v>
      </c>
      <c r="F44" s="2921">
        <v>213</v>
      </c>
      <c r="G44" s="3543">
        <v>2011</v>
      </c>
      <c r="H44" s="2922">
        <v>4</v>
      </c>
      <c r="I44" s="2922">
        <v>-0.2</v>
      </c>
      <c r="J44" s="2922">
        <v>0.04</v>
      </c>
      <c r="K44" s="2922">
        <v>-0.34</v>
      </c>
      <c r="L44" s="2923">
        <v>0.46</v>
      </c>
      <c r="N44" s="2917">
        <f t="shared" si="169"/>
        <v>-2E-3</v>
      </c>
      <c r="O44" s="2918">
        <f t="shared" si="169"/>
        <v>4.0000000000000002E-4</v>
      </c>
      <c r="P44" s="2918">
        <f t="shared" si="169"/>
        <v>-3.4000000000000002E-3</v>
      </c>
      <c r="Q44" s="2918">
        <f t="shared" si="169"/>
        <v>4.5999999999999999E-3</v>
      </c>
      <c r="R44" s="2902"/>
      <c r="S44" s="2911"/>
      <c r="T44" s="2912"/>
      <c r="U44" s="2912"/>
      <c r="V44" s="2912"/>
      <c r="X44" s="2912"/>
      <c r="Y44" s="2912"/>
      <c r="Z44" s="2912"/>
    </row>
    <row r="45" spans="1:34">
      <c r="A45" s="2898" t="s">
        <v>2573</v>
      </c>
      <c r="B45" s="2899">
        <f t="shared" ref="B45:C47" si="178">B44/(1+N44)</f>
        <v>275.55110220440883</v>
      </c>
      <c r="C45" s="2899">
        <f t="shared" si="178"/>
        <v>231.90723710515795</v>
      </c>
      <c r="D45" s="2899">
        <f t="shared" si="167"/>
        <v>231.90723710515795</v>
      </c>
      <c r="E45" s="2899">
        <f t="shared" ref="E45:F47" si="179">E44/(1+P44)</f>
        <v>377.28276138872161</v>
      </c>
      <c r="F45" s="2899">
        <f t="shared" si="179"/>
        <v>212.02468644236512</v>
      </c>
      <c r="G45" s="3541">
        <v>2011</v>
      </c>
      <c r="H45" s="2925">
        <v>3</v>
      </c>
      <c r="I45" s="2925">
        <v>0.13</v>
      </c>
      <c r="J45" s="2925">
        <v>0.75</v>
      </c>
      <c r="K45" s="2925">
        <v>-0.08</v>
      </c>
      <c r="L45" s="2926">
        <v>0.53</v>
      </c>
      <c r="N45" s="2901">
        <f t="shared" si="169"/>
        <v>1.2999999999999999E-3</v>
      </c>
      <c r="O45" s="2919">
        <f t="shared" si="169"/>
        <v>7.4999999999999997E-3</v>
      </c>
      <c r="P45" s="2919">
        <f t="shared" si="169"/>
        <v>-8.0000000000000004E-4</v>
      </c>
      <c r="Q45" s="2919">
        <f t="shared" si="169"/>
        <v>5.3E-3</v>
      </c>
      <c r="R45" s="2902"/>
      <c r="S45" s="2901"/>
      <c r="T45" s="2887"/>
      <c r="U45" s="2887"/>
      <c r="V45" s="2887"/>
    </row>
    <row r="46" spans="1:34">
      <c r="A46" s="2898" t="s">
        <v>2574</v>
      </c>
      <c r="B46" s="2899">
        <f t="shared" si="178"/>
        <v>275.19335084830601</v>
      </c>
      <c r="C46" s="2899">
        <f t="shared" si="178"/>
        <v>230.18088050139744</v>
      </c>
      <c r="D46" s="2899">
        <f t="shared" si="167"/>
        <v>230.18088050139744</v>
      </c>
      <c r="E46" s="2899">
        <f t="shared" si="179"/>
        <v>377.58482925212331</v>
      </c>
      <c r="F46" s="2899">
        <f t="shared" si="179"/>
        <v>210.90687997847917</v>
      </c>
      <c r="G46" s="3541">
        <v>2011</v>
      </c>
      <c r="H46" s="2913">
        <v>2</v>
      </c>
      <c r="I46" s="2913">
        <v>-0.4</v>
      </c>
      <c r="J46" s="2913">
        <v>0.17</v>
      </c>
      <c r="K46" s="2913">
        <v>-0.57999999999999996</v>
      </c>
      <c r="L46" s="2914">
        <v>-0.2</v>
      </c>
      <c r="N46" s="2901">
        <f t="shared" si="169"/>
        <v>-4.0000000000000001E-3</v>
      </c>
      <c r="O46" s="2919">
        <f t="shared" si="169"/>
        <v>1.7000000000000001E-3</v>
      </c>
      <c r="P46" s="2919">
        <f t="shared" si="169"/>
        <v>-5.7999999999999996E-3</v>
      </c>
      <c r="Q46" s="2919">
        <f t="shared" si="169"/>
        <v>-2E-3</v>
      </c>
      <c r="R46" s="2902"/>
      <c r="S46" s="2901"/>
      <c r="T46" s="2887"/>
      <c r="U46" s="2887"/>
      <c r="V46" s="2887"/>
    </row>
    <row r="47" spans="1:34" ht="13.5" thickBot="1">
      <c r="A47" s="2898" t="s">
        <v>2575</v>
      </c>
      <c r="B47" s="2899">
        <f t="shared" si="178"/>
        <v>276.29854502841971</v>
      </c>
      <c r="C47" s="2899">
        <f t="shared" si="178"/>
        <v>229.79023709833027</v>
      </c>
      <c r="D47" s="2899">
        <f t="shared" si="167"/>
        <v>229.79023709833027</v>
      </c>
      <c r="E47" s="2899">
        <f t="shared" si="179"/>
        <v>379.78759731655936</v>
      </c>
      <c r="F47" s="2899">
        <f t="shared" si="179"/>
        <v>211.32953905659235</v>
      </c>
      <c r="G47" s="3544">
        <v>2011</v>
      </c>
      <c r="H47" s="2900">
        <v>1</v>
      </c>
      <c r="I47" s="2900">
        <v>2.65</v>
      </c>
      <c r="J47" s="2900">
        <v>3.76</v>
      </c>
      <c r="K47" s="2900">
        <v>1.89</v>
      </c>
      <c r="L47" s="2906">
        <v>7.95</v>
      </c>
      <c r="N47" s="2903">
        <f t="shared" si="169"/>
        <v>2.6499999999999999E-2</v>
      </c>
      <c r="O47" s="2904">
        <f t="shared" si="169"/>
        <v>3.7599999999999995E-2</v>
      </c>
      <c r="P47" s="2904">
        <f t="shared" si="169"/>
        <v>1.89E-2</v>
      </c>
      <c r="Q47" s="2904">
        <f t="shared" si="169"/>
        <v>7.9500000000000001E-2</v>
      </c>
      <c r="R47" s="2902"/>
      <c r="S47" s="2903">
        <f>B47/B48-1</f>
        <v>2.713213765211786E-2</v>
      </c>
      <c r="T47" s="2904">
        <f>C47/C48-1</f>
        <v>3.9774828499231862E-2</v>
      </c>
      <c r="U47" s="2904">
        <f>E47/E48-1</f>
        <v>1.8197311840641772E-2</v>
      </c>
      <c r="V47" s="2904">
        <f>F47/F48-1</f>
        <v>7.8211933962205826E-2</v>
      </c>
      <c r="X47" s="2887"/>
      <c r="Y47" s="2887"/>
      <c r="Z47" s="2887"/>
    </row>
    <row r="48" spans="1:34" ht="13.5" thickBot="1">
      <c r="A48" s="2898" t="s">
        <v>2576</v>
      </c>
      <c r="B48" s="2920">
        <v>269</v>
      </c>
      <c r="C48" s="2920">
        <v>221</v>
      </c>
      <c r="D48" s="2920">
        <f t="shared" si="167"/>
        <v>221</v>
      </c>
      <c r="E48" s="2920">
        <v>373</v>
      </c>
      <c r="F48" s="2921">
        <v>196</v>
      </c>
      <c r="G48" s="3543">
        <v>2010</v>
      </c>
      <c r="H48" s="2922">
        <v>4</v>
      </c>
      <c r="I48" s="2922">
        <v>5.72</v>
      </c>
      <c r="J48" s="2922">
        <v>6.57</v>
      </c>
      <c r="K48" s="2922">
        <v>5.72</v>
      </c>
      <c r="L48" s="2923">
        <v>2.72</v>
      </c>
      <c r="N48" s="2901">
        <f t="shared" si="169"/>
        <v>5.7200000000000001E-2</v>
      </c>
      <c r="O48" s="2887">
        <f t="shared" si="169"/>
        <v>6.5700000000000008E-2</v>
      </c>
      <c r="P48" s="2887">
        <f t="shared" si="169"/>
        <v>5.7200000000000001E-2</v>
      </c>
      <c r="Q48" s="2887">
        <f t="shared" si="169"/>
        <v>2.7200000000000002E-2</v>
      </c>
      <c r="R48" s="2902"/>
      <c r="S48" s="2911"/>
      <c r="T48" s="2912"/>
      <c r="U48" s="2912"/>
      <c r="V48" s="2912"/>
      <c r="X48" s="2912"/>
      <c r="Y48" s="2912"/>
      <c r="Z48" s="2912"/>
    </row>
    <row r="49" spans="1:26">
      <c r="A49" s="2898" t="s">
        <v>2577</v>
      </c>
      <c r="B49" s="2899">
        <f t="shared" ref="B49:C51" si="180">B48/(1+N48)</f>
        <v>254.44570563753314</v>
      </c>
      <c r="C49" s="2899">
        <f t="shared" si="180"/>
        <v>207.37543398705074</v>
      </c>
      <c r="D49" s="2899">
        <f t="shared" si="167"/>
        <v>207.37543398705074</v>
      </c>
      <c r="E49" s="2899">
        <f t="shared" ref="E49:F51" si="181">E48/(1+P48)</f>
        <v>352.81876655315932</v>
      </c>
      <c r="F49" s="2899">
        <f t="shared" si="181"/>
        <v>190.809968847352</v>
      </c>
      <c r="G49" s="3541">
        <v>2010</v>
      </c>
      <c r="H49" s="2925">
        <v>3</v>
      </c>
      <c r="I49" s="2925">
        <v>4.7300000000000004</v>
      </c>
      <c r="J49" s="2925">
        <v>3.9</v>
      </c>
      <c r="K49" s="2925">
        <v>5.03</v>
      </c>
      <c r="L49" s="2926">
        <v>4.21</v>
      </c>
      <c r="N49" s="2901">
        <f t="shared" si="169"/>
        <v>4.7300000000000002E-2</v>
      </c>
      <c r="O49" s="2887">
        <f t="shared" si="169"/>
        <v>3.9E-2</v>
      </c>
      <c r="P49" s="2887">
        <f t="shared" si="169"/>
        <v>5.0300000000000004E-2</v>
      </c>
      <c r="Q49" s="2887">
        <f t="shared" si="169"/>
        <v>4.2099999999999999E-2</v>
      </c>
      <c r="R49" s="2902"/>
      <c r="S49" s="2901"/>
      <c r="T49" s="2887"/>
      <c r="U49" s="2887"/>
      <c r="V49" s="2887"/>
    </row>
    <row r="50" spans="1:26">
      <c r="A50" s="2898" t="s">
        <v>2578</v>
      </c>
      <c r="B50" s="2899">
        <f t="shared" si="180"/>
        <v>242.95398227588385</v>
      </c>
      <c r="C50" s="2899">
        <f t="shared" si="180"/>
        <v>199.59137053614126</v>
      </c>
      <c r="D50" s="2899">
        <f t="shared" si="167"/>
        <v>199.59137053614126</v>
      </c>
      <c r="E50" s="2899">
        <f t="shared" si="181"/>
        <v>335.92189522342125</v>
      </c>
      <c r="F50" s="2899">
        <f t="shared" si="181"/>
        <v>183.10139991109489</v>
      </c>
      <c r="G50" s="3541">
        <v>2010</v>
      </c>
      <c r="H50" s="2913">
        <v>2</v>
      </c>
      <c r="I50" s="2913">
        <v>4.6900000000000004</v>
      </c>
      <c r="J50" s="2913">
        <v>3.55</v>
      </c>
      <c r="K50" s="2913">
        <v>5.07</v>
      </c>
      <c r="L50" s="2914">
        <v>4.2300000000000004</v>
      </c>
      <c r="N50" s="2901">
        <f t="shared" si="169"/>
        <v>4.6900000000000004E-2</v>
      </c>
      <c r="O50" s="2887">
        <f t="shared" si="169"/>
        <v>3.5499999999999997E-2</v>
      </c>
      <c r="P50" s="2887">
        <f t="shared" si="169"/>
        <v>5.0700000000000002E-2</v>
      </c>
      <c r="Q50" s="2887">
        <f t="shared" si="169"/>
        <v>4.2300000000000004E-2</v>
      </c>
      <c r="R50" s="2902"/>
      <c r="S50" s="2901"/>
      <c r="T50" s="2887"/>
      <c r="U50" s="2887"/>
      <c r="V50" s="2887"/>
    </row>
    <row r="51" spans="1:26" ht="13.5" thickBot="1">
      <c r="A51" s="2898" t="s">
        <v>2579</v>
      </c>
      <c r="B51" s="2899">
        <f t="shared" si="180"/>
        <v>232.06990378821649</v>
      </c>
      <c r="C51" s="2899">
        <f t="shared" si="180"/>
        <v>192.74878854286936</v>
      </c>
      <c r="D51" s="2899">
        <f t="shared" si="167"/>
        <v>192.74878854286936</v>
      </c>
      <c r="E51" s="2899">
        <f t="shared" si="181"/>
        <v>319.71247284992984</v>
      </c>
      <c r="F51" s="2899">
        <f t="shared" si="181"/>
        <v>175.67053622862409</v>
      </c>
      <c r="G51" s="3544">
        <v>2010</v>
      </c>
      <c r="H51" s="2900">
        <v>1</v>
      </c>
      <c r="I51" s="2900">
        <v>5.4</v>
      </c>
      <c r="J51" s="2900">
        <v>3.2</v>
      </c>
      <c r="K51" s="2900">
        <v>6.16</v>
      </c>
      <c r="L51" s="2906">
        <v>4.51</v>
      </c>
      <c r="N51" s="2901">
        <f t="shared" si="169"/>
        <v>5.4000000000000006E-2</v>
      </c>
      <c r="O51" s="2887">
        <f t="shared" si="169"/>
        <v>3.2000000000000001E-2</v>
      </c>
      <c r="P51" s="2887">
        <f t="shared" si="169"/>
        <v>6.1600000000000002E-2</v>
      </c>
      <c r="Q51" s="2887">
        <f t="shared" si="169"/>
        <v>4.5100000000000001E-2</v>
      </c>
      <c r="R51" s="2902"/>
      <c r="S51" s="2903">
        <f>B51/B52-1</f>
        <v>5.4863199037347599E-2</v>
      </c>
      <c r="T51" s="2904">
        <f>C51/C52-1</f>
        <v>3.0742184721226584E-2</v>
      </c>
      <c r="U51" s="2904">
        <f>E51/E52-1</f>
        <v>6.2167683886810154E-2</v>
      </c>
      <c r="V51" s="2904">
        <f>F51/F52-1</f>
        <v>4.5657953741810031E-2</v>
      </c>
      <c r="X51" s="2887"/>
      <c r="Y51" s="2887"/>
      <c r="Z51" s="2887"/>
    </row>
    <row r="52" spans="1:26" ht="13.5" thickBot="1">
      <c r="A52" s="2898" t="s">
        <v>2580</v>
      </c>
      <c r="B52" s="2920">
        <v>220</v>
      </c>
      <c r="C52" s="2920">
        <v>187</v>
      </c>
      <c r="D52" s="2920">
        <f t="shared" si="167"/>
        <v>187</v>
      </c>
      <c r="E52" s="2920">
        <v>301</v>
      </c>
      <c r="F52" s="2921">
        <v>168</v>
      </c>
      <c r="G52" s="3543">
        <v>2009</v>
      </c>
      <c r="H52" s="2922">
        <v>4</v>
      </c>
      <c r="I52" s="2922">
        <v>2.2999999999999998</v>
      </c>
      <c r="J52" s="2922">
        <v>1.04</v>
      </c>
      <c r="K52" s="2922">
        <v>2.84</v>
      </c>
      <c r="L52" s="2923">
        <v>0.67</v>
      </c>
      <c r="N52" s="2917">
        <f t="shared" si="169"/>
        <v>2.3E-2</v>
      </c>
      <c r="O52" s="2918">
        <f t="shared" si="169"/>
        <v>1.04E-2</v>
      </c>
      <c r="P52" s="2918">
        <f t="shared" si="169"/>
        <v>2.8399999999999998E-2</v>
      </c>
      <c r="Q52" s="2918">
        <f t="shared" si="169"/>
        <v>6.7000000000000002E-3</v>
      </c>
      <c r="R52" s="2902"/>
      <c r="S52" s="2911"/>
      <c r="T52" s="2912"/>
      <c r="U52" s="2912"/>
      <c r="V52" s="2912"/>
      <c r="X52" s="2912"/>
      <c r="Y52" s="2912"/>
      <c r="Z52" s="2912"/>
    </row>
    <row r="53" spans="1:26">
      <c r="A53" s="2898" t="s">
        <v>2581</v>
      </c>
      <c r="B53" s="2899">
        <f t="shared" ref="B53:C55" si="182">B52/(1+N52)</f>
        <v>215.05376344086022</v>
      </c>
      <c r="C53" s="2899">
        <f t="shared" si="182"/>
        <v>185.0752177355503</v>
      </c>
      <c r="D53" s="2899">
        <f t="shared" si="167"/>
        <v>185.0752177355503</v>
      </c>
      <c r="E53" s="2899">
        <f t="shared" ref="E53:F55" si="183">E52/(1+P52)</f>
        <v>292.68767016725008</v>
      </c>
      <c r="F53" s="2899">
        <f t="shared" si="183"/>
        <v>166.88189132810174</v>
      </c>
      <c r="G53" s="3541">
        <v>2009</v>
      </c>
      <c r="H53" s="2925">
        <v>3</v>
      </c>
      <c r="I53" s="2925">
        <v>2.1</v>
      </c>
      <c r="J53" s="2925">
        <v>1.86</v>
      </c>
      <c r="K53" s="2925">
        <v>2.29</v>
      </c>
      <c r="L53" s="2926">
        <v>0.85</v>
      </c>
      <c r="N53" s="2901">
        <f t="shared" si="169"/>
        <v>2.1000000000000001E-2</v>
      </c>
      <c r="O53" s="2919">
        <f t="shared" si="169"/>
        <v>1.8600000000000002E-2</v>
      </c>
      <c r="P53" s="2919">
        <f t="shared" si="169"/>
        <v>2.29E-2</v>
      </c>
      <c r="Q53" s="2919">
        <f t="shared" si="169"/>
        <v>8.5000000000000006E-3</v>
      </c>
      <c r="R53" s="2902"/>
      <c r="S53" s="2901"/>
      <c r="T53" s="2887"/>
      <c r="U53" s="2887"/>
      <c r="V53" s="2887"/>
    </row>
    <row r="54" spans="1:26">
      <c r="A54" s="2898" t="s">
        <v>2582</v>
      </c>
      <c r="B54" s="2899">
        <f t="shared" si="182"/>
        <v>210.630522469011</v>
      </c>
      <c r="C54" s="2899">
        <f t="shared" si="182"/>
        <v>181.69567812247232</v>
      </c>
      <c r="D54" s="2899">
        <f t="shared" si="167"/>
        <v>181.69567812247232</v>
      </c>
      <c r="E54" s="2899">
        <f t="shared" si="183"/>
        <v>286.13517466736738</v>
      </c>
      <c r="F54" s="2899">
        <f t="shared" si="183"/>
        <v>165.47535084591149</v>
      </c>
      <c r="G54" s="3541">
        <v>2009</v>
      </c>
      <c r="H54" s="2913">
        <v>2</v>
      </c>
      <c r="I54" s="2913">
        <v>0.86</v>
      </c>
      <c r="J54" s="2913">
        <v>-1.1299999999999999</v>
      </c>
      <c r="K54" s="2913">
        <v>1.79</v>
      </c>
      <c r="L54" s="2914">
        <v>-2.0699999999999998</v>
      </c>
      <c r="N54" s="2901">
        <f t="shared" si="169"/>
        <v>8.6E-3</v>
      </c>
      <c r="O54" s="2919">
        <f t="shared" si="169"/>
        <v>-1.1299999999999999E-2</v>
      </c>
      <c r="P54" s="2919">
        <f t="shared" si="169"/>
        <v>1.7899999999999999E-2</v>
      </c>
      <c r="Q54" s="2919">
        <f t="shared" si="169"/>
        <v>-2.07E-2</v>
      </c>
      <c r="R54" s="2902"/>
      <c r="S54" s="2901"/>
      <c r="T54" s="2887"/>
      <c r="U54" s="2887"/>
      <c r="V54" s="2887"/>
    </row>
    <row r="55" spans="1:26">
      <c r="A55" s="2898" t="s">
        <v>2583</v>
      </c>
      <c r="B55" s="2899">
        <f t="shared" si="182"/>
        <v>208.83454537875372</v>
      </c>
      <c r="C55" s="2899">
        <f t="shared" si="182"/>
        <v>183.77230517090351</v>
      </c>
      <c r="D55" s="2899">
        <f t="shared" si="167"/>
        <v>183.77230517090351</v>
      </c>
      <c r="E55" s="2899">
        <f t="shared" si="183"/>
        <v>281.10342338870947</v>
      </c>
      <c r="F55" s="2899">
        <f t="shared" si="183"/>
        <v>168.97309388942256</v>
      </c>
      <c r="G55" s="3544">
        <v>2009</v>
      </c>
      <c r="H55" s="2900">
        <v>1</v>
      </c>
      <c r="I55" s="2900">
        <v>-2.64</v>
      </c>
      <c r="J55" s="2900">
        <v>-2.5299999999999998</v>
      </c>
      <c r="K55" s="2900">
        <v>-3.02</v>
      </c>
      <c r="L55" s="2906">
        <v>1.52</v>
      </c>
      <c r="N55" s="2903">
        <f t="shared" si="169"/>
        <v>-2.64E-2</v>
      </c>
      <c r="O55" s="2904">
        <f t="shared" si="169"/>
        <v>-2.53E-2</v>
      </c>
      <c r="P55" s="2904">
        <f t="shared" si="169"/>
        <v>-3.0200000000000001E-2</v>
      </c>
      <c r="Q55" s="2904">
        <f t="shared" si="169"/>
        <v>1.52E-2</v>
      </c>
      <c r="R55" s="2902"/>
      <c r="S55" s="2903">
        <f>B55/B56-1</f>
        <v>-2.4137638417038754E-2</v>
      </c>
      <c r="T55" s="2904">
        <f>C55/C56-1</f>
        <v>-2.248773845264096E-2</v>
      </c>
      <c r="U55" s="2904">
        <f>E55/E56-1</f>
        <v>-2.7323794502735366E-2</v>
      </c>
      <c r="V55" s="2904">
        <f>F55/F56-1</f>
        <v>1.7910204153148035E-2</v>
      </c>
      <c r="X55" s="2887"/>
      <c r="Y55" s="2887"/>
      <c r="Z55" s="2887"/>
    </row>
    <row r="56" spans="1:26" ht="13.5" thickBot="1">
      <c r="A56" s="2898" t="s">
        <v>2584</v>
      </c>
      <c r="B56" s="2948">
        <v>214</v>
      </c>
      <c r="C56" s="2948">
        <v>188</v>
      </c>
      <c r="D56" s="2948">
        <f t="shared" si="167"/>
        <v>188</v>
      </c>
      <c r="E56" s="2948">
        <v>289</v>
      </c>
      <c r="F56" s="2949">
        <v>166</v>
      </c>
      <c r="G56" s="3543">
        <v>2008</v>
      </c>
      <c r="H56" s="2922">
        <v>4</v>
      </c>
      <c r="I56" s="2922">
        <v>1.73</v>
      </c>
      <c r="J56" s="2922">
        <v>0.03</v>
      </c>
      <c r="K56" s="2922">
        <v>2.59</v>
      </c>
      <c r="L56" s="2923">
        <v>-1.66</v>
      </c>
      <c r="N56" s="2901">
        <f t="shared" si="169"/>
        <v>1.7299999999999999E-2</v>
      </c>
      <c r="O56" s="2887">
        <f t="shared" si="169"/>
        <v>2.9999999999999997E-4</v>
      </c>
      <c r="P56" s="2887">
        <f t="shared" si="169"/>
        <v>2.5899999999999999E-2</v>
      </c>
      <c r="Q56" s="2887">
        <f t="shared" si="169"/>
        <v>-1.66E-2</v>
      </c>
      <c r="R56" s="2902"/>
      <c r="S56" s="2911"/>
      <c r="T56" s="2912"/>
      <c r="U56" s="2912"/>
      <c r="V56" s="2912"/>
      <c r="X56" s="2912"/>
      <c r="Y56" s="2912"/>
      <c r="Z56" s="2912"/>
    </row>
    <row r="57" spans="1:26">
      <c r="A57" s="2898" t="s">
        <v>2585</v>
      </c>
      <c r="B57" s="2899">
        <f t="shared" ref="B57:C59" si="184">B56/(1+N56)</f>
        <v>210.36075887152265</v>
      </c>
      <c r="C57" s="2899">
        <f t="shared" si="184"/>
        <v>187.94361691492554</v>
      </c>
      <c r="D57" s="2899">
        <f t="shared" si="167"/>
        <v>187.94361691492554</v>
      </c>
      <c r="E57" s="2899">
        <f t="shared" ref="E57:F59" si="185">E56/(1+P56)</f>
        <v>281.70386977288234</v>
      </c>
      <c r="F57" s="2899">
        <f t="shared" si="185"/>
        <v>168.80211511083994</v>
      </c>
      <c r="G57" s="3541">
        <v>2008</v>
      </c>
      <c r="H57" s="2925">
        <v>3</v>
      </c>
      <c r="I57" s="2925">
        <v>1.96</v>
      </c>
      <c r="J57" s="2925">
        <v>2.36</v>
      </c>
      <c r="K57" s="2925">
        <v>1.82</v>
      </c>
      <c r="L57" s="2926">
        <v>2.2200000000000002</v>
      </c>
      <c r="N57" s="2901">
        <f t="shared" si="169"/>
        <v>1.9599999999999999E-2</v>
      </c>
      <c r="O57" s="2887">
        <f t="shared" si="169"/>
        <v>2.3599999999999999E-2</v>
      </c>
      <c r="P57" s="2887">
        <f t="shared" si="169"/>
        <v>1.8200000000000001E-2</v>
      </c>
      <c r="Q57" s="2887">
        <f t="shared" si="169"/>
        <v>2.2200000000000001E-2</v>
      </c>
      <c r="R57" s="2902"/>
      <c r="S57" s="2901"/>
      <c r="T57" s="2887"/>
      <c r="U57" s="2887"/>
      <c r="V57" s="2887"/>
    </row>
    <row r="58" spans="1:26">
      <c r="A58" s="2898" t="s">
        <v>2586</v>
      </c>
      <c r="B58" s="2899">
        <f t="shared" si="184"/>
        <v>206.31694671589116</v>
      </c>
      <c r="C58" s="2899">
        <f t="shared" si="184"/>
        <v>183.61041121036101</v>
      </c>
      <c r="D58" s="2899">
        <f t="shared" si="167"/>
        <v>183.61041121036101</v>
      </c>
      <c r="E58" s="2899">
        <f t="shared" si="185"/>
        <v>276.66850301795557</v>
      </c>
      <c r="F58" s="2899">
        <f t="shared" si="185"/>
        <v>165.1360938278614</v>
      </c>
      <c r="G58" s="3541">
        <v>2008</v>
      </c>
      <c r="H58" s="2913">
        <v>2</v>
      </c>
      <c r="I58" s="2913">
        <v>4.93</v>
      </c>
      <c r="J58" s="2913">
        <v>7.38</v>
      </c>
      <c r="K58" s="2913">
        <v>3.98</v>
      </c>
      <c r="L58" s="2914">
        <v>6.86</v>
      </c>
      <c r="N58" s="2901">
        <f t="shared" si="169"/>
        <v>4.9299999999999997E-2</v>
      </c>
      <c r="O58" s="2887">
        <f t="shared" si="169"/>
        <v>7.3800000000000004E-2</v>
      </c>
      <c r="P58" s="2887">
        <f t="shared" si="169"/>
        <v>3.9800000000000002E-2</v>
      </c>
      <c r="Q58" s="2887">
        <f t="shared" si="169"/>
        <v>6.8600000000000008E-2</v>
      </c>
      <c r="R58" s="2902"/>
      <c r="S58" s="2901"/>
      <c r="T58" s="2887"/>
      <c r="U58" s="2887"/>
      <c r="V58" s="2887"/>
    </row>
    <row r="59" spans="1:26" s="2954" customFormat="1" ht="13.5" thickBot="1">
      <c r="A59" s="2898" t="s">
        <v>2587</v>
      </c>
      <c r="B59" s="2951">
        <f t="shared" si="184"/>
        <v>196.62341248059772</v>
      </c>
      <c r="C59" s="2951">
        <f t="shared" si="184"/>
        <v>170.99125648199012</v>
      </c>
      <c r="D59" s="2951">
        <f t="shared" si="167"/>
        <v>170.99125648199012</v>
      </c>
      <c r="E59" s="2951">
        <f t="shared" si="185"/>
        <v>266.07857570490052</v>
      </c>
      <c r="F59" s="2951">
        <f t="shared" si="185"/>
        <v>154.53499328828505</v>
      </c>
      <c r="G59" s="3544">
        <v>2008</v>
      </c>
      <c r="H59" s="2952">
        <v>1</v>
      </c>
      <c r="I59" s="2952">
        <v>4.1399999999999997</v>
      </c>
      <c r="J59" s="2952">
        <v>3.45</v>
      </c>
      <c r="K59" s="2952">
        <v>4.95</v>
      </c>
      <c r="L59" s="2953">
        <v>4.82</v>
      </c>
      <c r="N59" s="2955">
        <f t="shared" si="169"/>
        <v>4.1399999999999999E-2</v>
      </c>
      <c r="O59" s="2956">
        <f t="shared" si="169"/>
        <v>3.4500000000000003E-2</v>
      </c>
      <c r="P59" s="2956">
        <f t="shared" si="169"/>
        <v>4.9500000000000002E-2</v>
      </c>
      <c r="Q59" s="2956">
        <f t="shared" si="169"/>
        <v>4.82E-2</v>
      </c>
      <c r="R59" s="2957"/>
      <c r="S59" s="2955">
        <f>B59/B60-1</f>
        <v>4.5869215322328349E-2</v>
      </c>
      <c r="T59" s="2956">
        <f>C59/C60-1</f>
        <v>3.6310645345394743E-2</v>
      </c>
      <c r="U59" s="2956">
        <f>E59/E60-1</f>
        <v>4.7553447657088688E-2</v>
      </c>
      <c r="V59" s="2956">
        <f>F59/F60-1</f>
        <v>4.4155360055980086E-2</v>
      </c>
      <c r="X59" s="2956"/>
      <c r="Y59" s="2956"/>
      <c r="Z59" s="2956"/>
    </row>
    <row r="60" spans="1:26" ht="13.5" thickBot="1">
      <c r="A60" s="2898" t="s">
        <v>2588</v>
      </c>
      <c r="B60" s="2920">
        <v>188</v>
      </c>
      <c r="C60" s="2920">
        <v>165</v>
      </c>
      <c r="D60" s="2920">
        <f t="shared" si="167"/>
        <v>165</v>
      </c>
      <c r="E60" s="2920">
        <v>254</v>
      </c>
      <c r="F60" s="2921">
        <v>148</v>
      </c>
      <c r="G60" s="3543">
        <v>2007</v>
      </c>
      <c r="H60" s="2958">
        <v>4</v>
      </c>
      <c r="I60" s="2958">
        <v>5.51</v>
      </c>
      <c r="J60" s="2958">
        <v>4.8899999999999997</v>
      </c>
      <c r="K60" s="2958">
        <v>6.43</v>
      </c>
      <c r="L60" s="2959">
        <v>5.36</v>
      </c>
      <c r="N60" s="2960">
        <f t="shared" ref="N60:O63" si="186">B60/B61-1</f>
        <v>4.1339718365245526E-2</v>
      </c>
      <c r="O60" s="2961">
        <f t="shared" si="186"/>
        <v>4.0324492593776018E-2</v>
      </c>
      <c r="P60" s="2961">
        <f t="shared" ref="P60:Q63" si="187">E60/E61-1</f>
        <v>6.1625555347990968E-2</v>
      </c>
      <c r="Q60" s="2961">
        <f t="shared" si="187"/>
        <v>4.6757569250590603E-2</v>
      </c>
      <c r="R60" s="2902"/>
      <c r="S60" s="2911"/>
      <c r="T60" s="2912"/>
      <c r="U60" s="2912"/>
      <c r="V60" s="2912"/>
      <c r="X60" s="2912"/>
      <c r="Y60" s="2912"/>
      <c r="Z60" s="2912"/>
    </row>
    <row r="61" spans="1:26">
      <c r="A61" s="2898" t="s">
        <v>2589</v>
      </c>
      <c r="B61" s="2899">
        <f t="shared" ref="B61:C63" si="188">B62+(B$60-B$64)*I61/SUM(I$60:I$63)</f>
        <v>180.5366651097618</v>
      </c>
      <c r="C61" s="2899">
        <f t="shared" si="188"/>
        <v>158.60435967302453</v>
      </c>
      <c r="D61" s="2899">
        <f t="shared" si="167"/>
        <v>158.60435967302453</v>
      </c>
      <c r="E61" s="2899">
        <f t="shared" ref="E61:F63" si="189">E62+(E$60-E$64)*K61/SUM(K$60:K$63)</f>
        <v>239.25573260785075</v>
      </c>
      <c r="F61" s="2899">
        <f t="shared" si="189"/>
        <v>141.38899430740037</v>
      </c>
      <c r="G61" s="3541">
        <v>2007</v>
      </c>
      <c r="H61" s="2925">
        <v>3</v>
      </c>
      <c r="I61" s="2925">
        <v>8.65</v>
      </c>
      <c r="J61" s="2925">
        <v>8.06</v>
      </c>
      <c r="K61" s="2925">
        <v>9.94</v>
      </c>
      <c r="L61" s="2926">
        <v>5.8</v>
      </c>
      <c r="N61" s="2960">
        <f t="shared" si="186"/>
        <v>6.940217571740015E-2</v>
      </c>
      <c r="O61" s="2961">
        <f t="shared" si="186"/>
        <v>7.1197482471153428E-2</v>
      </c>
      <c r="P61" s="2961">
        <f t="shared" si="187"/>
        <v>0.10529679922579582</v>
      </c>
      <c r="Q61" s="2961">
        <f t="shared" si="187"/>
        <v>5.3292245059512133E-2</v>
      </c>
      <c r="R61" s="2902"/>
      <c r="S61" s="2901"/>
      <c r="T61" s="2887"/>
      <c r="U61" s="2887"/>
      <c r="V61" s="2887"/>
      <c r="X61" s="2962"/>
      <c r="Y61" s="2962"/>
      <c r="Z61" s="2962"/>
    </row>
    <row r="62" spans="1:26">
      <c r="A62" s="2898" t="s">
        <v>2590</v>
      </c>
      <c r="B62" s="2899">
        <f t="shared" si="188"/>
        <v>168.82017748715555</v>
      </c>
      <c r="C62" s="2899">
        <f t="shared" si="188"/>
        <v>148.06267029972753</v>
      </c>
      <c r="D62" s="2899">
        <f t="shared" si="167"/>
        <v>148.06267029972753</v>
      </c>
      <c r="E62" s="2899">
        <f t="shared" si="189"/>
        <v>216.46288379323747</v>
      </c>
      <c r="F62" s="2899">
        <f t="shared" si="189"/>
        <v>134.23529411764704</v>
      </c>
      <c r="G62" s="3541">
        <v>2007</v>
      </c>
      <c r="H62" s="2913">
        <v>2</v>
      </c>
      <c r="I62" s="2913">
        <v>3.67</v>
      </c>
      <c r="J62" s="2913">
        <v>2.3199999999999998</v>
      </c>
      <c r="K62" s="2913">
        <v>5.0199999999999996</v>
      </c>
      <c r="L62" s="2914">
        <v>6.71</v>
      </c>
      <c r="N62" s="2960">
        <f t="shared" si="186"/>
        <v>3.0339138143848032E-2</v>
      </c>
      <c r="O62" s="2961">
        <f t="shared" si="186"/>
        <v>2.0922341588790472E-2</v>
      </c>
      <c r="P62" s="2961">
        <f t="shared" si="187"/>
        <v>5.6164796592717003E-2</v>
      </c>
      <c r="Q62" s="2961">
        <f t="shared" si="187"/>
        <v>6.5704536723887319E-2</v>
      </c>
      <c r="R62" s="2902"/>
      <c r="S62" s="2901"/>
      <c r="T62" s="2887"/>
      <c r="U62" s="2887"/>
      <c r="V62" s="2887"/>
      <c r="X62" s="2962"/>
      <c r="Y62" s="2962"/>
      <c r="Z62" s="2962"/>
    </row>
    <row r="63" spans="1:26">
      <c r="A63" s="2898" t="s">
        <v>2591</v>
      </c>
      <c r="B63" s="2899">
        <f t="shared" si="188"/>
        <v>163.84913591779542</v>
      </c>
      <c r="C63" s="2899">
        <f t="shared" si="188"/>
        <v>145.0283378746594</v>
      </c>
      <c r="D63" s="2899">
        <f t="shared" si="167"/>
        <v>145.0283378746594</v>
      </c>
      <c r="E63" s="2899">
        <f t="shared" si="189"/>
        <v>204.95180722891567</v>
      </c>
      <c r="F63" s="2899">
        <f t="shared" si="189"/>
        <v>125.95920303605313</v>
      </c>
      <c r="G63" s="3544">
        <v>2007</v>
      </c>
      <c r="H63" s="2900">
        <v>1</v>
      </c>
      <c r="I63" s="2900">
        <v>3.58</v>
      </c>
      <c r="J63" s="2900">
        <v>3.08</v>
      </c>
      <c r="K63" s="2900">
        <v>4.34</v>
      </c>
      <c r="L63" s="2906">
        <v>3.21</v>
      </c>
      <c r="N63" s="2963">
        <f t="shared" si="186"/>
        <v>3.0497710174814063E-2</v>
      </c>
      <c r="O63" s="2964">
        <f t="shared" si="186"/>
        <v>2.8569772160704998E-2</v>
      </c>
      <c r="P63" s="2964">
        <f t="shared" si="187"/>
        <v>5.1034908866234296E-2</v>
      </c>
      <c r="Q63" s="2964">
        <f t="shared" si="187"/>
        <v>3.245248390207478E-2</v>
      </c>
      <c r="R63" s="2902"/>
      <c r="S63" s="2903">
        <f>B63/B64-1</f>
        <v>3.0497710174814063E-2</v>
      </c>
      <c r="T63" s="2904">
        <f>C63/C64-1</f>
        <v>2.8569772160704998E-2</v>
      </c>
      <c r="U63" s="2904">
        <f>E63/E64-1</f>
        <v>5.1034908866234296E-2</v>
      </c>
      <c r="V63" s="2904">
        <f>F63/F64-1</f>
        <v>3.245248390207478E-2</v>
      </c>
      <c r="X63" s="2962"/>
      <c r="Y63" s="2962"/>
      <c r="Z63" s="2962"/>
    </row>
    <row r="64" spans="1:26" ht="13.5" thickBot="1">
      <c r="A64" s="2898" t="s">
        <v>2592</v>
      </c>
      <c r="B64" s="2927">
        <v>159</v>
      </c>
      <c r="C64" s="2927">
        <v>141</v>
      </c>
      <c r="D64" s="2927">
        <f t="shared" si="167"/>
        <v>141</v>
      </c>
      <c r="E64" s="2927">
        <v>195</v>
      </c>
      <c r="F64" s="2928">
        <v>122</v>
      </c>
      <c r="G64" s="3543">
        <v>2006</v>
      </c>
      <c r="H64" s="2922">
        <v>4</v>
      </c>
      <c r="I64" s="2922">
        <v>3.79</v>
      </c>
      <c r="J64" s="2922">
        <v>2.21</v>
      </c>
      <c r="K64" s="2922">
        <v>5.65</v>
      </c>
      <c r="L64" s="2923">
        <v>5.41</v>
      </c>
      <c r="N64" s="2960">
        <f t="shared" ref="N64:O67" si="190">I64/SUM(I$64:I$67)*(B$64/B$68-1)</f>
        <v>7.245466462748526E-2</v>
      </c>
      <c r="O64" s="2961">
        <f t="shared" si="190"/>
        <v>2.3237230038062766E-2</v>
      </c>
      <c r="P64" s="2961">
        <f t="shared" ref="P64:Q67" si="191">K64/SUM(K$64:K$67)*(E$64/E$68-1)</f>
        <v>0.16146893866323722</v>
      </c>
      <c r="Q64" s="2961">
        <f t="shared" si="191"/>
        <v>5.0755230321793784E-2</v>
      </c>
      <c r="R64" s="2902"/>
      <c r="S64" s="2911"/>
      <c r="T64" s="2912"/>
      <c r="U64" s="2912"/>
      <c r="V64" s="2912"/>
      <c r="X64" s="2962"/>
      <c r="Y64" s="2962"/>
      <c r="Z64" s="2962"/>
    </row>
    <row r="65" spans="1:26">
      <c r="A65" s="2898" t="s">
        <v>2593</v>
      </c>
      <c r="B65" s="2899">
        <f t="shared" ref="B65:C67" si="192">B66+(B$64-B$68)*I65/SUM(I$64:I$67)</f>
        <v>149.00125628140702</v>
      </c>
      <c r="C65" s="2899">
        <f t="shared" si="192"/>
        <v>137.95592286501378</v>
      </c>
      <c r="D65" s="2899">
        <f t="shared" si="167"/>
        <v>137.95592286501378</v>
      </c>
      <c r="E65" s="2899">
        <f t="shared" ref="E65:F67" si="193">E66+(E$64-E$68)*K65/SUM(K$64:K$67)</f>
        <v>169.97231450719823</v>
      </c>
      <c r="F65" s="2899">
        <f t="shared" si="193"/>
        <v>116.21390374331551</v>
      </c>
      <c r="G65" s="3541">
        <v>2006</v>
      </c>
      <c r="H65" s="2925">
        <v>3</v>
      </c>
      <c r="I65" s="2925">
        <v>0.92</v>
      </c>
      <c r="J65" s="2925">
        <v>1.08</v>
      </c>
      <c r="K65" s="2925">
        <v>0.73</v>
      </c>
      <c r="L65" s="2926">
        <v>1.08</v>
      </c>
      <c r="N65" s="2960">
        <f t="shared" si="190"/>
        <v>1.7587939698492462E-2</v>
      </c>
      <c r="O65" s="2961">
        <f t="shared" si="190"/>
        <v>1.1355750425840628E-2</v>
      </c>
      <c r="P65" s="2961">
        <f t="shared" si="191"/>
        <v>2.0862358446754544E-2</v>
      </c>
      <c r="Q65" s="2961">
        <f t="shared" si="191"/>
        <v>1.0132282578103011E-2</v>
      </c>
      <c r="R65" s="2902"/>
      <c r="S65" s="2901"/>
      <c r="T65" s="2887"/>
      <c r="U65" s="2887"/>
      <c r="V65" s="2887"/>
      <c r="X65" s="2962"/>
      <c r="Y65" s="2962"/>
      <c r="Z65" s="2962"/>
    </row>
    <row r="66" spans="1:26">
      <c r="A66" s="2898" t="s">
        <v>2594</v>
      </c>
      <c r="B66" s="2899">
        <f t="shared" si="192"/>
        <v>146.57412060301507</v>
      </c>
      <c r="C66" s="2899">
        <f t="shared" si="192"/>
        <v>136.46831955922866</v>
      </c>
      <c r="D66" s="2899">
        <f t="shared" si="167"/>
        <v>136.46831955922866</v>
      </c>
      <c r="E66" s="2899">
        <f t="shared" si="193"/>
        <v>166.73864894795128</v>
      </c>
      <c r="F66" s="2899">
        <f t="shared" si="193"/>
        <v>115.05882352941177</v>
      </c>
      <c r="G66" s="3541">
        <v>2006</v>
      </c>
      <c r="H66" s="2913">
        <v>2</v>
      </c>
      <c r="I66" s="2913">
        <v>0.96</v>
      </c>
      <c r="J66" s="2913">
        <v>0.25</v>
      </c>
      <c r="K66" s="2913">
        <v>1.9</v>
      </c>
      <c r="L66" s="2914">
        <v>0.95</v>
      </c>
      <c r="N66" s="2960">
        <f t="shared" si="190"/>
        <v>1.8352632728861701E-2</v>
      </c>
      <c r="O66" s="2961">
        <f t="shared" si="190"/>
        <v>2.6286459319075526E-3</v>
      </c>
      <c r="P66" s="2961">
        <f t="shared" si="191"/>
        <v>5.4299289107991269E-2</v>
      </c>
      <c r="Q66" s="2961">
        <f t="shared" si="191"/>
        <v>8.9126559714794995E-3</v>
      </c>
      <c r="R66" s="2902"/>
      <c r="S66" s="2901"/>
      <c r="T66" s="2887"/>
      <c r="U66" s="2887"/>
      <c r="V66" s="2887"/>
      <c r="X66" s="2962"/>
      <c r="Y66" s="2962"/>
      <c r="Z66" s="2962"/>
    </row>
    <row r="67" spans="1:26">
      <c r="A67" s="2898" t="s">
        <v>2595</v>
      </c>
      <c r="B67" s="2899">
        <f t="shared" si="192"/>
        <v>144.04145728643215</v>
      </c>
      <c r="C67" s="2899">
        <f t="shared" si="192"/>
        <v>136.12396694214877</v>
      </c>
      <c r="D67" s="2899">
        <f t="shared" si="167"/>
        <v>136.12396694214877</v>
      </c>
      <c r="E67" s="2899">
        <f t="shared" si="193"/>
        <v>158.32225913621264</v>
      </c>
      <c r="F67" s="2899">
        <f t="shared" si="193"/>
        <v>114.04278074866311</v>
      </c>
      <c r="G67" s="3544">
        <v>2006</v>
      </c>
      <c r="H67" s="2900">
        <v>1</v>
      </c>
      <c r="I67" s="2900">
        <v>2.29</v>
      </c>
      <c r="J67" s="2900">
        <v>3.72</v>
      </c>
      <c r="K67" s="2900">
        <v>0.75</v>
      </c>
      <c r="L67" s="2906">
        <v>0.04</v>
      </c>
      <c r="N67" s="2963">
        <f t="shared" si="190"/>
        <v>4.3778675988638847E-2</v>
      </c>
      <c r="O67" s="2964">
        <f t="shared" si="190"/>
        <v>3.9114251466784385E-2</v>
      </c>
      <c r="P67" s="2964">
        <f t="shared" si="191"/>
        <v>2.1433929911049188E-2</v>
      </c>
      <c r="Q67" s="2964">
        <f t="shared" si="191"/>
        <v>3.7526972511492629E-4</v>
      </c>
      <c r="R67" s="2902"/>
      <c r="S67" s="2903">
        <f>B67/B68-1</f>
        <v>4.3778675988638716E-2</v>
      </c>
      <c r="T67" s="2904">
        <f>C67/C68-1</f>
        <v>3.91142514667846E-2</v>
      </c>
      <c r="U67" s="2904">
        <f>E67/E68-1</f>
        <v>2.143392991104931E-2</v>
      </c>
      <c r="V67" s="2904">
        <f>F67/F68-1</f>
        <v>3.7526972511492396E-4</v>
      </c>
      <c r="X67" s="2962"/>
      <c r="Y67" s="2962"/>
      <c r="Z67" s="2962"/>
    </row>
    <row r="68" spans="1:26" ht="13.5" thickBot="1">
      <c r="A68" s="2898" t="s">
        <v>2596</v>
      </c>
      <c r="B68" s="2927">
        <v>138</v>
      </c>
      <c r="C68" s="2927">
        <v>131</v>
      </c>
      <c r="D68" s="2927">
        <f t="shared" si="167"/>
        <v>131</v>
      </c>
      <c r="E68" s="2927">
        <v>155</v>
      </c>
      <c r="F68" s="2928">
        <v>114</v>
      </c>
      <c r="G68" s="3543">
        <v>2005</v>
      </c>
      <c r="H68" s="2922">
        <v>4</v>
      </c>
      <c r="I68" s="2922">
        <v>3.29</v>
      </c>
      <c r="J68" s="2922">
        <v>1.44</v>
      </c>
      <c r="K68" s="2922">
        <v>0.66</v>
      </c>
      <c r="L68" s="2923">
        <v>7.78</v>
      </c>
      <c r="N68" s="2960">
        <f t="shared" ref="N68:O71" si="194">I68/SUM(I$68:I$71)*(B$68/B$72-1)</f>
        <v>9.9404603216919935E-2</v>
      </c>
      <c r="O68" s="2961">
        <f t="shared" si="194"/>
        <v>4.7636550760861554E-2</v>
      </c>
      <c r="P68" s="2961">
        <f t="shared" ref="P68:Q71" si="195">K68/SUM(K$68:K$71)*(E$68/E$72-1)</f>
        <v>8.3756345177664976E-2</v>
      </c>
      <c r="Q68" s="2961">
        <f t="shared" si="195"/>
        <v>5.2148766661559584E-2</v>
      </c>
      <c r="R68" s="2902"/>
      <c r="S68" s="2911"/>
      <c r="T68" s="2912"/>
      <c r="U68" s="2912"/>
      <c r="V68" s="2912"/>
      <c r="X68" s="2962"/>
      <c r="Y68" s="2962"/>
      <c r="Z68" s="2962"/>
    </row>
    <row r="69" spans="1:26">
      <c r="A69" s="2898" t="s">
        <v>2597</v>
      </c>
      <c r="B69" s="2899">
        <f t="shared" ref="B69:C71" si="196">B70+(B$68-B$72)*I69/SUM(I$68:I$71)</f>
        <v>125.9720430107527</v>
      </c>
      <c r="C69" s="2899">
        <f t="shared" si="196"/>
        <v>125.1883408071749</v>
      </c>
      <c r="D69" s="2899">
        <f t="shared" si="167"/>
        <v>125.1883408071749</v>
      </c>
      <c r="E69" s="2899">
        <f t="shared" ref="E69:F71" si="197">E70+(E$68-E$72)*K69/SUM(K$68:K$71)</f>
        <v>144.61421319796952</v>
      </c>
      <c r="F69" s="2899">
        <f t="shared" si="197"/>
        <v>108.42008196721311</v>
      </c>
      <c r="G69" s="3541">
        <v>2005</v>
      </c>
      <c r="H69" s="2925">
        <v>3</v>
      </c>
      <c r="I69" s="2925">
        <v>0.46</v>
      </c>
      <c r="J69" s="2925">
        <v>0.32</v>
      </c>
      <c r="K69" s="2925">
        <v>0.42</v>
      </c>
      <c r="L69" s="2926">
        <v>0.64</v>
      </c>
      <c r="N69" s="2960">
        <f t="shared" si="194"/>
        <v>1.3898515951301874E-2</v>
      </c>
      <c r="O69" s="2961">
        <f t="shared" si="194"/>
        <v>1.0585900169080346E-2</v>
      </c>
      <c r="P69" s="2961">
        <f t="shared" si="195"/>
        <v>5.3299492385786795E-2</v>
      </c>
      <c r="Q69" s="2961">
        <f t="shared" si="195"/>
        <v>4.2898728359123568E-3</v>
      </c>
      <c r="R69" s="2902"/>
      <c r="S69" s="2901"/>
      <c r="T69" s="2887"/>
      <c r="U69" s="2887"/>
      <c r="V69" s="2887"/>
      <c r="X69" s="2962"/>
      <c r="Y69" s="2962"/>
      <c r="Z69" s="2962"/>
    </row>
    <row r="70" spans="1:26">
      <c r="A70" s="2898" t="s">
        <v>2598</v>
      </c>
      <c r="B70" s="2899">
        <f t="shared" si="196"/>
        <v>124.29032258064517</v>
      </c>
      <c r="C70" s="2899">
        <f t="shared" si="196"/>
        <v>123.8968609865471</v>
      </c>
      <c r="D70" s="2899">
        <f t="shared" si="167"/>
        <v>123.8968609865471</v>
      </c>
      <c r="E70" s="2899">
        <f t="shared" si="197"/>
        <v>138.00507614213197</v>
      </c>
      <c r="F70" s="2899">
        <f t="shared" si="197"/>
        <v>107.96106557377048</v>
      </c>
      <c r="G70" s="3541">
        <v>2005</v>
      </c>
      <c r="H70" s="2913">
        <v>2</v>
      </c>
      <c r="I70" s="2913">
        <v>0.47</v>
      </c>
      <c r="J70" s="2913">
        <v>0.1</v>
      </c>
      <c r="K70" s="2913">
        <v>0.52</v>
      </c>
      <c r="L70" s="2914">
        <v>0.79</v>
      </c>
      <c r="N70" s="2960">
        <f t="shared" si="194"/>
        <v>1.420065760241713E-2</v>
      </c>
      <c r="O70" s="2961">
        <f t="shared" si="194"/>
        <v>3.3080938028376083E-3</v>
      </c>
      <c r="P70" s="2961">
        <f t="shared" si="195"/>
        <v>6.598984771573603E-2</v>
      </c>
      <c r="Q70" s="2961">
        <f t="shared" si="195"/>
        <v>5.2953117818293153E-3</v>
      </c>
      <c r="R70" s="2902"/>
      <c r="S70" s="2901"/>
      <c r="T70" s="2887"/>
      <c r="U70" s="2887"/>
      <c r="V70" s="2887"/>
      <c r="X70" s="2962"/>
      <c r="Y70" s="2962"/>
      <c r="Z70" s="2962"/>
    </row>
    <row r="71" spans="1:26">
      <c r="A71" s="2898" t="s">
        <v>2599</v>
      </c>
      <c r="B71" s="2899">
        <f t="shared" si="196"/>
        <v>122.57204301075269</v>
      </c>
      <c r="C71" s="2899">
        <f t="shared" si="196"/>
        <v>123.4932735426009</v>
      </c>
      <c r="D71" s="2899">
        <f t="shared" si="167"/>
        <v>123.4932735426009</v>
      </c>
      <c r="E71" s="2899">
        <f t="shared" si="197"/>
        <v>129.82233502538071</v>
      </c>
      <c r="F71" s="2899">
        <f t="shared" si="197"/>
        <v>107.39446721311475</v>
      </c>
      <c r="G71" s="3544">
        <v>2005</v>
      </c>
      <c r="H71" s="2900">
        <v>1</v>
      </c>
      <c r="I71" s="2900">
        <v>0.43</v>
      </c>
      <c r="J71" s="2900">
        <v>0.37</v>
      </c>
      <c r="K71" s="2900">
        <v>0.37</v>
      </c>
      <c r="L71" s="2906">
        <v>0.55000000000000004</v>
      </c>
      <c r="N71" s="2963">
        <f t="shared" si="194"/>
        <v>1.2992090997956099E-2</v>
      </c>
      <c r="O71" s="2964">
        <f t="shared" si="194"/>
        <v>1.2239947070499151E-2</v>
      </c>
      <c r="P71" s="2964">
        <f t="shared" si="195"/>
        <v>4.6954314720812178E-2</v>
      </c>
      <c r="Q71" s="2964">
        <f t="shared" si="195"/>
        <v>3.6866094683621815E-3</v>
      </c>
      <c r="R71" s="2902"/>
      <c r="S71" s="2903">
        <f>B71/B72-1</f>
        <v>1.2992090997956174E-2</v>
      </c>
      <c r="T71" s="2904">
        <f>C71/C72-1</f>
        <v>1.2239947070499246E-2</v>
      </c>
      <c r="U71" s="2904">
        <f>E71/E72-1</f>
        <v>4.695431472081224E-2</v>
      </c>
      <c r="V71" s="2904">
        <f>F71/F72-1</f>
        <v>3.6866094683620787E-3</v>
      </c>
      <c r="X71" s="2962"/>
      <c r="Y71" s="2962"/>
      <c r="Z71" s="2962"/>
    </row>
    <row r="72" spans="1:26" ht="13.5" thickBot="1">
      <c r="A72" s="2898" t="s">
        <v>2600</v>
      </c>
      <c r="B72" s="2948">
        <v>121</v>
      </c>
      <c r="C72" s="2948">
        <v>122</v>
      </c>
      <c r="D72" s="2948">
        <f t="shared" si="167"/>
        <v>122</v>
      </c>
      <c r="E72" s="2948">
        <v>124</v>
      </c>
      <c r="F72" s="2949">
        <v>107</v>
      </c>
      <c r="G72" s="3543">
        <v>2004</v>
      </c>
      <c r="H72" s="2922">
        <v>4</v>
      </c>
      <c r="I72" s="2922">
        <v>0.33</v>
      </c>
      <c r="J72" s="2922">
        <v>0.5</v>
      </c>
      <c r="K72" s="2922">
        <v>0.5</v>
      </c>
      <c r="L72" s="2923">
        <v>0</v>
      </c>
      <c r="N72" s="2960">
        <f t="shared" ref="N72:O75" si="198">I72/SUM(I$72:I$75)*(B$72/B$76-1)</f>
        <v>1.3391770148526898E-2</v>
      </c>
      <c r="O72" s="2961">
        <f t="shared" si="198"/>
        <v>1.063264221158958E-2</v>
      </c>
      <c r="P72" s="2961">
        <f t="shared" ref="P72:Q75" si="199">K72/SUM(K$72:K$75)*(E$72/E$76-1)</f>
        <v>2.2244466688911134E-2</v>
      </c>
      <c r="Q72" s="2961">
        <f t="shared" si="199"/>
        <v>0</v>
      </c>
      <c r="R72" s="2902"/>
      <c r="S72" s="2911"/>
      <c r="T72" s="2912"/>
      <c r="U72" s="2912"/>
      <c r="V72" s="2912"/>
      <c r="X72" s="2962"/>
      <c r="Y72" s="2962"/>
      <c r="Z72" s="2962"/>
    </row>
    <row r="73" spans="1:26">
      <c r="A73" s="2898" t="s">
        <v>2601</v>
      </c>
      <c r="B73" s="2899">
        <f t="shared" ref="B73:C75" si="200">B74+(B$72-B$76)*I73/SUM(I$72:I$75)</f>
        <v>119.51351351351352</v>
      </c>
      <c r="C73" s="2899">
        <f t="shared" si="200"/>
        <v>120.7878787878788</v>
      </c>
      <c r="D73" s="2899">
        <f t="shared" si="167"/>
        <v>120.7878787878788</v>
      </c>
      <c r="E73" s="2899">
        <f t="shared" ref="E73:F75" si="201">E74+(E$72-E$76)*K73/SUM(K$72:K$75)</f>
        <v>121.5975975975976</v>
      </c>
      <c r="F73" s="2899">
        <f t="shared" si="201"/>
        <v>107</v>
      </c>
      <c r="G73" s="3541">
        <v>2004</v>
      </c>
      <c r="H73" s="2925">
        <v>3</v>
      </c>
      <c r="I73" s="2925">
        <v>0.56000000000000005</v>
      </c>
      <c r="J73" s="2925">
        <v>0.8</v>
      </c>
      <c r="K73" s="2925">
        <v>0.83</v>
      </c>
      <c r="L73" s="2926">
        <v>0.06</v>
      </c>
      <c r="N73" s="2960">
        <f t="shared" si="198"/>
        <v>2.2725428130833527E-2</v>
      </c>
      <c r="O73" s="2961">
        <f t="shared" si="198"/>
        <v>1.7012227538543329E-2</v>
      </c>
      <c r="P73" s="2961">
        <f t="shared" si="199"/>
        <v>3.6925814703592477E-2</v>
      </c>
      <c r="Q73" s="2961">
        <f t="shared" si="199"/>
        <v>2.8846153846153744E-2</v>
      </c>
      <c r="R73" s="2902"/>
      <c r="S73" s="2901"/>
      <c r="T73" s="2887"/>
      <c r="U73" s="2887"/>
      <c r="V73" s="2887"/>
      <c r="X73" s="2962"/>
      <c r="Y73" s="2962"/>
      <c r="Z73" s="2962"/>
    </row>
    <row r="74" spans="1:26">
      <c r="A74" s="2898" t="s">
        <v>2602</v>
      </c>
      <c r="B74" s="2899">
        <f t="shared" si="200"/>
        <v>116.99099099099099</v>
      </c>
      <c r="C74" s="2899">
        <f t="shared" si="200"/>
        <v>118.84848484848486</v>
      </c>
      <c r="D74" s="2899">
        <f t="shared" si="167"/>
        <v>118.84848484848486</v>
      </c>
      <c r="E74" s="2899">
        <f t="shared" si="201"/>
        <v>117.60960960960961</v>
      </c>
      <c r="F74" s="2899">
        <f t="shared" si="201"/>
        <v>104</v>
      </c>
      <c r="G74" s="3541">
        <v>2004</v>
      </c>
      <c r="H74" s="2913">
        <v>2</v>
      </c>
      <c r="I74" s="2913">
        <v>1</v>
      </c>
      <c r="J74" s="2913">
        <v>1.5</v>
      </c>
      <c r="K74" s="2913">
        <v>1.5</v>
      </c>
      <c r="L74" s="2914">
        <v>0</v>
      </c>
      <c r="N74" s="2960">
        <f t="shared" si="198"/>
        <v>4.0581121662202721E-2</v>
      </c>
      <c r="O74" s="2961">
        <f t="shared" si="198"/>
        <v>3.1897926634768738E-2</v>
      </c>
      <c r="P74" s="2961">
        <f t="shared" si="199"/>
        <v>6.6733400066733395E-2</v>
      </c>
      <c r="Q74" s="2961">
        <f t="shared" si="199"/>
        <v>0</v>
      </c>
      <c r="R74" s="2902"/>
      <c r="S74" s="2901"/>
      <c r="T74" s="2887"/>
      <c r="U74" s="2887"/>
      <c r="V74" s="2887"/>
      <c r="X74" s="2962"/>
      <c r="Y74" s="2962"/>
      <c r="Z74" s="2962"/>
    </row>
    <row r="75" spans="1:26" s="2954" customFormat="1" ht="13.5" thickBot="1">
      <c r="A75" s="2898" t="s">
        <v>2603</v>
      </c>
      <c r="B75" s="2951">
        <f t="shared" si="200"/>
        <v>112.48648648648648</v>
      </c>
      <c r="C75" s="2951">
        <f t="shared" si="200"/>
        <v>115.21212121212122</v>
      </c>
      <c r="D75" s="2951">
        <f t="shared" si="167"/>
        <v>115.21212121212122</v>
      </c>
      <c r="E75" s="2951">
        <f t="shared" si="201"/>
        <v>110.4024024024024</v>
      </c>
      <c r="F75" s="2951">
        <f t="shared" si="201"/>
        <v>104</v>
      </c>
      <c r="G75" s="3544">
        <v>2004</v>
      </c>
      <c r="H75" s="2952">
        <v>1</v>
      </c>
      <c r="I75" s="2952">
        <v>0.33</v>
      </c>
      <c r="J75" s="2952">
        <v>0.5</v>
      </c>
      <c r="K75" s="2952">
        <v>0.5</v>
      </c>
      <c r="L75" s="2953">
        <v>0</v>
      </c>
      <c r="N75" s="2965">
        <f t="shared" si="198"/>
        <v>1.3391770148526898E-2</v>
      </c>
      <c r="O75" s="2966">
        <f t="shared" si="198"/>
        <v>1.063264221158958E-2</v>
      </c>
      <c r="P75" s="2966">
        <f t="shared" si="199"/>
        <v>2.2244466688911134E-2</v>
      </c>
      <c r="Q75" s="2966">
        <f t="shared" si="199"/>
        <v>0</v>
      </c>
      <c r="R75" s="2957"/>
      <c r="S75" s="2955">
        <f>B75/B76-1</f>
        <v>1.3391770148526883E-2</v>
      </c>
      <c r="T75" s="2956">
        <f>C75/C76-1</f>
        <v>1.063264221158966E-2</v>
      </c>
      <c r="U75" s="2956">
        <f>E75/E76-1</f>
        <v>2.2244466688911224E-2</v>
      </c>
      <c r="V75" s="2956">
        <f>F75/F76-1</f>
        <v>0</v>
      </c>
      <c r="X75" s="2967"/>
      <c r="Y75" s="2967"/>
      <c r="Z75" s="2967"/>
    </row>
    <row r="76" spans="1:26" ht="13.5" thickBot="1">
      <c r="A76" s="2898" t="s">
        <v>2604</v>
      </c>
      <c r="B76" s="2968">
        <v>111</v>
      </c>
      <c r="C76" s="2968">
        <v>114</v>
      </c>
      <c r="D76" s="2968">
        <f t="shared" si="167"/>
        <v>114</v>
      </c>
      <c r="E76" s="2968">
        <v>108</v>
      </c>
      <c r="F76" s="2969">
        <v>104</v>
      </c>
      <c r="G76" s="3543">
        <v>2003</v>
      </c>
      <c r="H76" s="2958">
        <v>4</v>
      </c>
      <c r="I76" s="2970"/>
      <c r="J76" s="2970"/>
      <c r="K76" s="2970"/>
      <c r="L76" s="2970"/>
      <c r="N76" s="2971"/>
      <c r="O76" s="2970"/>
      <c r="P76" s="2970"/>
      <c r="Q76" s="2970"/>
      <c r="S76" s="2971"/>
      <c r="T76" s="2970"/>
      <c r="U76" s="2970"/>
      <c r="V76" s="2970"/>
      <c r="X76" s="2962"/>
      <c r="Y76" s="2962"/>
      <c r="Z76" s="2962"/>
    </row>
    <row r="77" spans="1:26">
      <c r="A77" s="2898" t="s">
        <v>2605</v>
      </c>
      <c r="B77" s="2972">
        <f t="shared" ref="B77:C79" si="202">B78+(B$76-B$80)/4</f>
        <v>109.75</v>
      </c>
      <c r="C77" s="2972">
        <f t="shared" si="202"/>
        <v>112.25</v>
      </c>
      <c r="D77" s="2972">
        <f t="shared" si="167"/>
        <v>112.25</v>
      </c>
      <c r="E77" s="2972">
        <f t="shared" ref="E77:F79" si="203">E78+(E$76-E$80)/4</f>
        <v>107.25</v>
      </c>
      <c r="F77" s="2972">
        <f t="shared" si="203"/>
        <v>103.5</v>
      </c>
      <c r="G77" s="3541">
        <v>2003</v>
      </c>
      <c r="H77" s="2925">
        <v>3</v>
      </c>
      <c r="I77" s="2970"/>
      <c r="J77" s="2970"/>
      <c r="K77" s="2970"/>
      <c r="L77" s="2970"/>
      <c r="X77" s="2962"/>
      <c r="Y77" s="2962"/>
      <c r="Z77" s="2962"/>
    </row>
    <row r="78" spans="1:26">
      <c r="A78" s="2898" t="s">
        <v>2606</v>
      </c>
      <c r="B78" s="2972">
        <f t="shared" si="202"/>
        <v>108.5</v>
      </c>
      <c r="C78" s="2972">
        <f t="shared" si="202"/>
        <v>110.5</v>
      </c>
      <c r="D78" s="2972">
        <f t="shared" si="167"/>
        <v>110.5</v>
      </c>
      <c r="E78" s="2972">
        <f t="shared" si="203"/>
        <v>106.5</v>
      </c>
      <c r="F78" s="2972">
        <f t="shared" si="203"/>
        <v>103</v>
      </c>
      <c r="G78" s="3541">
        <v>2003</v>
      </c>
      <c r="H78" s="2913">
        <v>2</v>
      </c>
      <c r="I78" s="2970"/>
      <c r="J78" s="2970"/>
      <c r="K78" s="2970"/>
      <c r="L78" s="2970"/>
      <c r="X78" s="2962"/>
      <c r="Y78" s="2962"/>
      <c r="Z78" s="2962"/>
    </row>
    <row r="79" spans="1:26" ht="13.5" thickBot="1">
      <c r="A79" s="2898" t="s">
        <v>2607</v>
      </c>
      <c r="B79" s="2972">
        <f t="shared" si="202"/>
        <v>107.25</v>
      </c>
      <c r="C79" s="2972">
        <f t="shared" si="202"/>
        <v>108.75</v>
      </c>
      <c r="D79" s="2972">
        <f t="shared" si="167"/>
        <v>108.75</v>
      </c>
      <c r="E79" s="2972">
        <f t="shared" si="203"/>
        <v>105.75</v>
      </c>
      <c r="F79" s="2972">
        <f t="shared" si="203"/>
        <v>102.5</v>
      </c>
      <c r="G79" s="3544">
        <v>2003</v>
      </c>
      <c r="H79" s="2973">
        <v>1</v>
      </c>
      <c r="I79" s="2970"/>
      <c r="J79" s="2970"/>
      <c r="K79" s="2970"/>
      <c r="L79" s="2970"/>
      <c r="S79" s="2901"/>
      <c r="T79" s="2887"/>
      <c r="U79" s="2887"/>
      <c r="X79" s="2962"/>
      <c r="Y79" s="2962"/>
      <c r="Z79" s="2962"/>
    </row>
    <row r="80" spans="1:26" ht="13.5" thickBot="1">
      <c r="A80" s="2898" t="s">
        <v>2608</v>
      </c>
      <c r="B80" s="2974">
        <v>106</v>
      </c>
      <c r="C80" s="2974">
        <v>107</v>
      </c>
      <c r="D80" s="2974">
        <f t="shared" si="167"/>
        <v>107</v>
      </c>
      <c r="E80" s="2974">
        <v>105</v>
      </c>
      <c r="F80" s="2975">
        <v>102</v>
      </c>
      <c r="G80" s="3543">
        <v>2002</v>
      </c>
      <c r="H80" s="2922">
        <v>4</v>
      </c>
      <c r="I80" s="2970"/>
      <c r="J80" s="2970"/>
      <c r="K80" s="2970"/>
      <c r="L80" s="2970"/>
      <c r="N80" s="2971"/>
      <c r="O80" s="2970"/>
      <c r="P80" s="2970"/>
      <c r="Q80" s="2970"/>
      <c r="S80" s="2971"/>
      <c r="T80" s="2970"/>
      <c r="U80" s="2970"/>
      <c r="V80" s="2970"/>
      <c r="X80" s="2962"/>
      <c r="Y80" s="2962"/>
      <c r="Z80" s="2962"/>
    </row>
    <row r="81" spans="1:26">
      <c r="A81" s="2898" t="s">
        <v>2609</v>
      </c>
      <c r="B81" s="2972">
        <f t="shared" ref="B81:C83" si="204">B82+(B$80-B$84)/4</f>
        <v>105</v>
      </c>
      <c r="C81" s="2972">
        <f t="shared" si="204"/>
        <v>106</v>
      </c>
      <c r="D81" s="2972">
        <f t="shared" si="167"/>
        <v>106</v>
      </c>
      <c r="E81" s="2972">
        <f t="shared" ref="E81:F83" si="205">E82+(E$80-E$84)/4</f>
        <v>104.5</v>
      </c>
      <c r="F81" s="2972">
        <f t="shared" si="205"/>
        <v>101.5</v>
      </c>
      <c r="G81" s="3541">
        <v>2002</v>
      </c>
      <c r="H81" s="2925">
        <v>3</v>
      </c>
      <c r="I81" s="2970"/>
      <c r="J81" s="2970"/>
      <c r="K81" s="2970"/>
      <c r="L81" s="2970"/>
      <c r="X81" s="2962"/>
      <c r="Y81" s="2962"/>
      <c r="Z81" s="2962"/>
    </row>
    <row r="82" spans="1:26">
      <c r="A82" s="2898" t="s">
        <v>2610</v>
      </c>
      <c r="B82" s="2972">
        <f t="shared" si="204"/>
        <v>104</v>
      </c>
      <c r="C82" s="2972">
        <f t="shared" si="204"/>
        <v>105</v>
      </c>
      <c r="D82" s="2972">
        <f t="shared" si="167"/>
        <v>105</v>
      </c>
      <c r="E82" s="2972">
        <f t="shared" si="205"/>
        <v>104</v>
      </c>
      <c r="F82" s="2972">
        <f t="shared" si="205"/>
        <v>101</v>
      </c>
      <c r="G82" s="3541">
        <v>2002</v>
      </c>
      <c r="H82" s="2913">
        <v>2</v>
      </c>
      <c r="I82" s="2970"/>
      <c r="J82" s="2970"/>
      <c r="K82" s="2970"/>
      <c r="L82" s="2970"/>
      <c r="X82" s="2962"/>
      <c r="Y82" s="2962"/>
      <c r="Z82" s="2962"/>
    </row>
    <row r="83" spans="1:26" s="2935" customFormat="1" ht="13.5" thickBot="1">
      <c r="A83" s="2931" t="s">
        <v>2611</v>
      </c>
      <c r="B83" s="2938">
        <f t="shared" si="204"/>
        <v>103</v>
      </c>
      <c r="C83" s="2938">
        <f t="shared" si="204"/>
        <v>104</v>
      </c>
      <c r="D83" s="2938">
        <f t="shared" si="167"/>
        <v>104</v>
      </c>
      <c r="E83" s="2938">
        <f t="shared" si="205"/>
        <v>103.5</v>
      </c>
      <c r="F83" s="2938">
        <f t="shared" si="205"/>
        <v>100.5</v>
      </c>
      <c r="G83" s="3544">
        <v>2002</v>
      </c>
      <c r="H83" s="2976">
        <v>1</v>
      </c>
      <c r="I83" s="2977"/>
      <c r="J83" s="2977"/>
      <c r="K83" s="2977"/>
      <c r="L83" s="2977"/>
      <c r="N83" s="2978"/>
      <c r="S83" s="2978"/>
      <c r="X83" s="2979"/>
      <c r="Y83" s="2979"/>
      <c r="Z83" s="2979"/>
    </row>
    <row r="84" spans="1:26" ht="13.5" thickBot="1">
      <c r="B84" s="2980">
        <v>102</v>
      </c>
      <c r="C84" s="2981">
        <v>103</v>
      </c>
      <c r="D84" s="2981">
        <f t="shared" si="167"/>
        <v>103</v>
      </c>
      <c r="E84" s="2981">
        <v>103</v>
      </c>
      <c r="F84" s="2982">
        <v>100</v>
      </c>
      <c r="I84" s="2970"/>
      <c r="J84" s="2970"/>
      <c r="K84" s="2970"/>
      <c r="L84" s="2970"/>
      <c r="N84" s="2971"/>
      <c r="O84" s="2970"/>
      <c r="P84" s="2970"/>
      <c r="Q84" s="2970"/>
      <c r="S84" s="2971"/>
      <c r="T84" s="2970"/>
      <c r="U84" s="2970"/>
      <c r="V84" s="2970"/>
      <c r="X84" s="2912"/>
      <c r="Y84" s="2912"/>
      <c r="Z84" s="2912"/>
    </row>
    <row r="86" spans="1:26" s="2984" customFormat="1">
      <c r="A86" s="2983" t="s">
        <v>2612</v>
      </c>
      <c r="G86" s="2985"/>
      <c r="N86" s="2985"/>
      <c r="S86" s="2985"/>
    </row>
    <row r="87" spans="1:26" s="2984" customFormat="1">
      <c r="A87" s="2984" t="s">
        <v>2613</v>
      </c>
      <c r="G87" s="2985"/>
      <c r="N87" s="2985"/>
      <c r="S87" s="2985"/>
    </row>
    <row r="88" spans="1:26" s="2984" customFormat="1">
      <c r="A88" s="2984" t="s">
        <v>2614</v>
      </c>
      <c r="G88" s="2985"/>
      <c r="I88" s="2986"/>
      <c r="J88" s="2986"/>
      <c r="K88" s="2986"/>
      <c r="L88" s="2986"/>
      <c r="N88" s="2987"/>
      <c r="O88" s="2986"/>
      <c r="P88" s="2986"/>
      <c r="Q88" s="2986"/>
      <c r="S88" s="2987"/>
      <c r="T88" s="2986"/>
      <c r="U88" s="2986"/>
      <c r="V88" s="2986"/>
    </row>
    <row r="89" spans="1:26" s="2984" customFormat="1">
      <c r="A89" s="2984" t="s">
        <v>2615</v>
      </c>
      <c r="G89" s="2985"/>
      <c r="N89" s="2985"/>
      <c r="S89" s="2985"/>
    </row>
    <row r="96" spans="1:26" ht="13.5" thickBot="1"/>
    <row r="97" spans="7:22">
      <c r="G97" s="2886"/>
      <c r="S97" s="2988" t="s">
        <v>2616</v>
      </c>
      <c r="T97" s="2989" t="s">
        <v>2617</v>
      </c>
      <c r="U97" s="2989" t="s">
        <v>2618</v>
      </c>
      <c r="V97" s="2989" t="s">
        <v>2619</v>
      </c>
    </row>
    <row r="98" spans="7:22">
      <c r="G98" s="2886"/>
      <c r="N98" s="2911"/>
      <c r="O98" s="2912"/>
      <c r="P98" s="2912"/>
      <c r="Q98" s="2912"/>
      <c r="S98" s="2990">
        <v>2006</v>
      </c>
      <c r="T98" s="2991">
        <v>15.1</v>
      </c>
      <c r="U98" s="2991">
        <v>7.43</v>
      </c>
      <c r="V98" s="2991">
        <v>26.26</v>
      </c>
    </row>
    <row r="99" spans="7:22">
      <c r="G99" s="2886"/>
      <c r="N99" s="2911"/>
      <c r="O99" s="2912"/>
      <c r="P99" s="2912"/>
      <c r="Q99" s="2912"/>
      <c r="S99" s="2992">
        <v>2005</v>
      </c>
      <c r="T99" s="2993">
        <v>13.9</v>
      </c>
      <c r="U99" s="2993">
        <v>7.49</v>
      </c>
      <c r="V99" s="2993">
        <v>24.92</v>
      </c>
    </row>
    <row r="100" spans="7:22">
      <c r="G100" s="2886"/>
      <c r="N100" s="2911"/>
      <c r="O100" s="2912"/>
      <c r="P100" s="2912"/>
      <c r="Q100" s="2912"/>
      <c r="S100" s="2990">
        <v>2004</v>
      </c>
      <c r="T100" s="2991">
        <v>9.48</v>
      </c>
      <c r="U100" s="2991">
        <v>7.2</v>
      </c>
      <c r="V100" s="2991">
        <v>14.68</v>
      </c>
    </row>
    <row r="101" spans="7:22">
      <c r="G101" s="2886"/>
      <c r="N101" s="2911"/>
      <c r="O101" s="2912"/>
      <c r="P101" s="2912"/>
      <c r="Q101" s="2912"/>
      <c r="S101" s="2992">
        <v>2003</v>
      </c>
      <c r="T101" s="2993">
        <v>4.5</v>
      </c>
      <c r="U101" s="2993">
        <v>6.12</v>
      </c>
      <c r="V101" s="2993">
        <v>2.34</v>
      </c>
    </row>
    <row r="102" spans="7:22" ht="13.5" thickBot="1">
      <c r="G102" s="2886"/>
      <c r="N102" s="2911"/>
      <c r="O102" s="2912"/>
      <c r="P102" s="2912"/>
      <c r="Q102" s="2912"/>
      <c r="S102" s="2994">
        <v>2002</v>
      </c>
      <c r="T102" s="2995">
        <v>3.59</v>
      </c>
      <c r="U102" s="2995">
        <v>4.54</v>
      </c>
      <c r="V102" s="2995">
        <v>2.5499999999999998</v>
      </c>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row>
    <row r="112" spans="7:22">
      <c r="G112" s="2886"/>
      <c r="N112" s="2911"/>
      <c r="O112" s="2912"/>
      <c r="P112" s="2912"/>
      <c r="Q112" s="2912"/>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row r="117" spans="7:19">
      <c r="G117" s="2886"/>
      <c r="N117" s="2911"/>
      <c r="O117" s="2912"/>
      <c r="P117" s="2912"/>
      <c r="Q117" s="2912"/>
      <c r="S117" s="2886"/>
    </row>
    <row r="118" spans="7:19">
      <c r="G118" s="2886"/>
      <c r="N118" s="2911"/>
      <c r="O118" s="2912"/>
      <c r="P118" s="2912"/>
      <c r="Q118" s="2912"/>
      <c r="S118" s="2886"/>
    </row>
  </sheetData>
  <sheetProtection sheet="1" objects="1" scenarios="1" formatCells="0" formatColumns="0" formatRows="0"/>
  <mergeCells count="23">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 ref="G20:G23"/>
    <mergeCell ref="G16:G19"/>
    <mergeCell ref="G44:G47"/>
    <mergeCell ref="G48:G51"/>
    <mergeCell ref="G52:G55"/>
    <mergeCell ref="G24:G27"/>
    <mergeCell ref="G28:G31"/>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457" t="s">
        <v>2445</v>
      </c>
      <c r="C8" s="1740">
        <f ca="1">ROUND(F8*F10*F9*(1-F11)/10000,0)</f>
        <v>0</v>
      </c>
      <c r="D8" s="1737" t="s">
        <v>2516</v>
      </c>
      <c r="E8" s="61" t="s">
        <v>631</v>
      </c>
      <c r="F8" s="775">
        <f ca="1">INDIRECT("'数据-取费表'!u"&amp;$G$1)</f>
        <v>0</v>
      </c>
      <c r="G8" s="1527"/>
      <c r="H8" s="2357" t="s">
        <v>1815</v>
      </c>
      <c r="I8" s="3457" t="s">
        <v>2445</v>
      </c>
      <c r="J8" s="773">
        <f ca="1">ROUND(M8*M10*M9*(1-M11)/10000,0)</f>
        <v>0</v>
      </c>
      <c r="K8" s="339" t="s">
        <v>2516</v>
      </c>
      <c r="L8" s="774" t="s">
        <v>1729</v>
      </c>
      <c r="M8" s="775">
        <f ca="1">INDIRECT("'数据-取费表'!z"&amp;$G$1)</f>
        <v>0</v>
      </c>
    </row>
    <row r="9" spans="1:25" ht="18" customHeight="1">
      <c r="A9" s="2353"/>
      <c r="B9" s="3458"/>
      <c r="C9" s="1741"/>
      <c r="D9" s="1738"/>
      <c r="E9" s="61" t="s">
        <v>632</v>
      </c>
      <c r="F9" s="775">
        <f ca="1">IF(INDIRECT("'数据-取费表'!ah"&amp;$G$1)="",INDIRECT("'数据-取费表'!k"&amp;$G$1),INDIRECT("'数据-取费表'!ah"&amp;$G$1))</f>
        <v>0</v>
      </c>
      <c r="G9" s="1527"/>
      <c r="H9" s="2342"/>
      <c r="I9" s="3458"/>
      <c r="J9" s="778"/>
      <c r="K9" s="779"/>
      <c r="L9" s="774" t="s">
        <v>1730</v>
      </c>
      <c r="M9" s="775">
        <f ca="1">F9</f>
        <v>0</v>
      </c>
    </row>
    <row r="10" spans="1:25" ht="18" customHeight="1">
      <c r="A10" s="2346"/>
      <c r="B10" s="3459"/>
      <c r="C10" s="1741"/>
      <c r="D10" s="1738"/>
      <c r="E10" s="61" t="s">
        <v>633</v>
      </c>
      <c r="F10" s="775">
        <f ca="1">INDIRECT("'数据-取费表'!ai"&amp;$G$1)</f>
        <v>0</v>
      </c>
      <c r="G10" s="1527"/>
      <c r="H10" s="2342"/>
      <c r="I10" s="3459"/>
      <c r="J10" s="778"/>
      <c r="K10" s="779"/>
      <c r="L10" s="774" t="s">
        <v>1731</v>
      </c>
      <c r="M10" s="775">
        <f ca="1">INDIRECT("'数据-取费表'!ai"&amp;$G$1)</f>
        <v>0</v>
      </c>
    </row>
    <row r="11" spans="1:25" ht="18" customHeight="1">
      <c r="A11" s="776"/>
      <c r="B11" s="3460"/>
      <c r="C11" s="1741"/>
      <c r="D11" s="1738"/>
      <c r="E11" s="61" t="s">
        <v>634</v>
      </c>
      <c r="F11" s="784">
        <f ca="1">INDIRECT("'数据-取费表'!w"&amp;$G$1)</f>
        <v>0</v>
      </c>
      <c r="G11" s="1527"/>
      <c r="H11" s="2358"/>
      <c r="I11" s="3459"/>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7"/>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3" t="s">
        <v>651</v>
      </c>
      <c r="L19" s="1891" t="s">
        <v>652</v>
      </c>
      <c r="M19" s="3018">
        <f ca="1">IF(项目基本情况!B11="企业","——",IF('数据-取费表'!B10="住宅",IF(M8*M9*M10/12/(1+'数据-取费表'!F30)&gt;100000,4%,2.5%),IF(M8*M9*M10/12/(1+'数据-取费表'!F30)&gt;100000,12%,7%)))</f>
        <v>7.0000000000000007E-2</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5.0000000000000001E-4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f ca="1">IF(项目基本情况!B11="企业","——",IF('数据-取费表'!B10="住宅",IF(F8*F9*F10/12/(1+'数据-取费表'!F30)&gt;100000,4%,2.5%),IF(F8*F9*F10/12/(1+'数据-取费表'!F30)&gt;100000,12%,7%)))</f>
        <v>7.0000000000000007E-2</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551"/>
      <c r="J36" s="1962"/>
      <c r="K36" s="1963"/>
      <c r="L36" s="1962"/>
      <c r="M36" s="1962"/>
    </row>
    <row r="37" spans="1:18" ht="18" customHeight="1">
      <c r="A37" s="804"/>
      <c r="B37" s="783"/>
      <c r="C37" s="69"/>
      <c r="D37" s="805"/>
      <c r="E37" s="774" t="s">
        <v>668</v>
      </c>
      <c r="F37" s="775">
        <f ca="1">INDIRECT("'数据-取费表'!r"&amp;$G$1)</f>
        <v>0</v>
      </c>
      <c r="G37" s="1945"/>
      <c r="H37" s="1948"/>
      <c r="I37" s="3551"/>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2943</v>
      </c>
      <c r="J54" s="2858">
        <f ca="1">IF(M48="住宅",MAX(J52,L49-'数据-取费表'!B20),MIN(J52,L49-'数据-取费表'!B20))</f>
        <v>-1</v>
      </c>
      <c r="K54" s="3552"/>
      <c r="L54" s="3553"/>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9" priority="6">
      <formula>$F$12="自定义"</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I56">
    <cfRule type="expression" dxfId="116" priority="4">
      <formula>$J$51&gt;$L$48</formula>
    </cfRule>
  </conditionalFormatting>
  <conditionalFormatting sqref="I61">
    <cfRule type="expression" dxfId="115" priority="2">
      <formula>$J$51&gt;$L$48</formula>
    </cfRule>
  </conditionalFormatting>
  <conditionalFormatting sqref="K61">
    <cfRule type="expression" dxfId="1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54" t="s">
        <v>2453</v>
      </c>
      <c r="B1" s="3555"/>
      <c r="C1" s="3556"/>
      <c r="D1" s="3557">
        <f>SUM(I10,I15,I20,I21,I23)</f>
        <v>0</v>
      </c>
      <c r="E1" s="3557"/>
      <c r="F1" s="3557"/>
      <c r="G1" s="3557"/>
      <c r="H1" s="3557"/>
      <c r="I1" s="3558"/>
    </row>
    <row r="2" spans="1:9">
      <c r="A2" s="3559" t="s">
        <v>2454</v>
      </c>
      <c r="B2" s="3560" t="s">
        <v>2455</v>
      </c>
      <c r="C2" s="3560"/>
      <c r="D2" s="2360" t="s">
        <v>2456</v>
      </c>
      <c r="E2" s="2360" t="s">
        <v>2457</v>
      </c>
      <c r="F2" s="2360" t="s">
        <v>2458</v>
      </c>
      <c r="G2" s="2360" t="s">
        <v>2459</v>
      </c>
      <c r="H2" s="2360" t="s">
        <v>2460</v>
      </c>
      <c r="I2" s="2361" t="s">
        <v>2461</v>
      </c>
    </row>
    <row r="3" spans="1:9">
      <c r="A3" s="3559"/>
      <c r="B3" s="3560" t="s">
        <v>2462</v>
      </c>
      <c r="C3" s="3560"/>
      <c r="D3" s="2362"/>
      <c r="E3" s="2360"/>
      <c r="F3" s="2363"/>
      <c r="G3" s="2363"/>
      <c r="H3" s="2364"/>
      <c r="I3" s="2365">
        <f>ROUND(D3*E3*F3*G3*H3/10000,0)</f>
        <v>0</v>
      </c>
    </row>
    <row r="4" spans="1:9">
      <c r="A4" s="3559"/>
      <c r="B4" s="3560" t="s">
        <v>2463</v>
      </c>
      <c r="C4" s="3560"/>
      <c r="D4" s="2362"/>
      <c r="E4" s="2360"/>
      <c r="F4" s="2363"/>
      <c r="G4" s="2363"/>
      <c r="H4" s="2364"/>
      <c r="I4" s="2365">
        <f t="shared" ref="I4:I9" si="0">ROUND(D4*E4*F4*G4*H4/10000,0)</f>
        <v>0</v>
      </c>
    </row>
    <row r="5" spans="1:9">
      <c r="A5" s="3559"/>
      <c r="B5" s="3560" t="s">
        <v>2464</v>
      </c>
      <c r="C5" s="3560"/>
      <c r="D5" s="2362"/>
      <c r="E5" s="2360"/>
      <c r="F5" s="2363"/>
      <c r="G5" s="2363"/>
      <c r="H5" s="2364"/>
      <c r="I5" s="2365">
        <f t="shared" si="0"/>
        <v>0</v>
      </c>
    </row>
    <row r="6" spans="1:9">
      <c r="A6" s="3559"/>
      <c r="B6" s="3560" t="s">
        <v>2465</v>
      </c>
      <c r="C6" s="3560"/>
      <c r="D6" s="2362"/>
      <c r="E6" s="2360"/>
      <c r="F6" s="2363"/>
      <c r="G6" s="2363"/>
      <c r="H6" s="2364"/>
      <c r="I6" s="2365">
        <f t="shared" si="0"/>
        <v>0</v>
      </c>
    </row>
    <row r="7" spans="1:9">
      <c r="A7" s="3559"/>
      <c r="B7" s="3560" t="s">
        <v>2466</v>
      </c>
      <c r="C7" s="3560"/>
      <c r="D7" s="2362"/>
      <c r="E7" s="2360"/>
      <c r="F7" s="2363"/>
      <c r="G7" s="2363"/>
      <c r="H7" s="2364"/>
      <c r="I7" s="2365">
        <f t="shared" si="0"/>
        <v>0</v>
      </c>
    </row>
    <row r="8" spans="1:9">
      <c r="A8" s="3559"/>
      <c r="B8" s="3560" t="s">
        <v>2467</v>
      </c>
      <c r="C8" s="3560"/>
      <c r="D8" s="2362"/>
      <c r="E8" s="2360"/>
      <c r="F8" s="2363"/>
      <c r="G8" s="2363"/>
      <c r="H8" s="2364"/>
      <c r="I8" s="2365">
        <f t="shared" si="0"/>
        <v>0</v>
      </c>
    </row>
    <row r="9" spans="1:9">
      <c r="A9" s="3559"/>
      <c r="B9" s="3560" t="s">
        <v>2468</v>
      </c>
      <c r="C9" s="3560"/>
      <c r="D9" s="2362"/>
      <c r="E9" s="2360"/>
      <c r="F9" s="2363"/>
      <c r="G9" s="2363"/>
      <c r="H9" s="2364"/>
      <c r="I9" s="2365">
        <f t="shared" si="0"/>
        <v>0</v>
      </c>
    </row>
    <row r="10" spans="1:9">
      <c r="A10" s="3559"/>
      <c r="B10" s="3561" t="s">
        <v>2469</v>
      </c>
      <c r="C10" s="3561"/>
      <c r="D10" s="2366">
        <v>527</v>
      </c>
      <c r="E10" s="2366" t="e">
        <f>ROUND(D1*10000/D10/H9,0)</f>
        <v>#DIV/0!</v>
      </c>
      <c r="F10" s="2367"/>
      <c r="G10" s="2367"/>
      <c r="H10" s="2368"/>
      <c r="I10" s="2369">
        <f>SUM(I3:I9)</f>
        <v>0</v>
      </c>
    </row>
    <row r="11" spans="1:9" ht="14.25">
      <c r="A11" s="3559" t="s">
        <v>2470</v>
      </c>
      <c r="B11" s="3560" t="s">
        <v>2471</v>
      </c>
      <c r="C11" s="3560"/>
      <c r="D11" s="2362" t="s">
        <v>2472</v>
      </c>
      <c r="E11" s="2362" t="s">
        <v>2473</v>
      </c>
      <c r="F11" s="2363" t="s">
        <v>2474</v>
      </c>
      <c r="G11" s="2363" t="s">
        <v>2475</v>
      </c>
      <c r="H11" s="2370" t="s">
        <v>2476</v>
      </c>
      <c r="I11" s="2361" t="s">
        <v>2477</v>
      </c>
    </row>
    <row r="12" spans="1:9">
      <c r="A12" s="3559"/>
      <c r="B12" s="3560" t="s">
        <v>2478</v>
      </c>
      <c r="C12" s="3560"/>
      <c r="D12" s="2362"/>
      <c r="E12" s="2362"/>
      <c r="F12" s="2363"/>
      <c r="G12" s="2364"/>
      <c r="H12" s="2371"/>
      <c r="I12" s="2361">
        <f>ROUND(D12*E12*F12*G12/10000,0)</f>
        <v>0</v>
      </c>
    </row>
    <row r="13" spans="1:9">
      <c r="A13" s="3559"/>
      <c r="B13" s="3560" t="s">
        <v>2479</v>
      </c>
      <c r="C13" s="3560"/>
      <c r="D13" s="2362"/>
      <c r="E13" s="2362"/>
      <c r="F13" s="2363"/>
      <c r="G13" s="2364"/>
      <c r="H13" s="2371"/>
      <c r="I13" s="2361">
        <f>ROUND(D13*E13*F13*G13/10000,0)</f>
        <v>0</v>
      </c>
    </row>
    <row r="14" spans="1:9">
      <c r="A14" s="3559"/>
      <c r="B14" s="3560" t="s">
        <v>2480</v>
      </c>
      <c r="C14" s="3560"/>
      <c r="D14" s="2362"/>
      <c r="E14" s="2362"/>
      <c r="F14" s="2363"/>
      <c r="G14" s="2364"/>
      <c r="H14" s="2371"/>
      <c r="I14" s="2361">
        <f>ROUND(D14*E14*F14*G14/10000,0)</f>
        <v>0</v>
      </c>
    </row>
    <row r="15" spans="1:9">
      <c r="A15" s="3559"/>
      <c r="B15" s="3561" t="s">
        <v>2469</v>
      </c>
      <c r="C15" s="3561"/>
      <c r="D15" s="2366"/>
      <c r="E15" s="2366">
        <f>SUM(E12:E14)</f>
        <v>0</v>
      </c>
      <c r="F15" s="2367"/>
      <c r="G15" s="2364"/>
      <c r="H15" s="2371"/>
      <c r="I15" s="2372">
        <f>SUM(I12:I14)</f>
        <v>0</v>
      </c>
    </row>
    <row r="16" spans="1:9" ht="24">
      <c r="A16" s="3559" t="s">
        <v>2481</v>
      </c>
      <c r="B16" s="3560" t="s">
        <v>2482</v>
      </c>
      <c r="C16" s="3560"/>
      <c r="D16" s="2362" t="s">
        <v>2483</v>
      </c>
      <c r="E16" s="2373" t="s">
        <v>2484</v>
      </c>
      <c r="F16" s="2363" t="s">
        <v>2485</v>
      </c>
      <c r="G16" s="2364" t="s">
        <v>2475</v>
      </c>
      <c r="H16" s="2370" t="s">
        <v>2476</v>
      </c>
      <c r="I16" s="2361" t="s">
        <v>2477</v>
      </c>
    </row>
    <row r="17" spans="1:9" ht="14.25">
      <c r="A17" s="3559"/>
      <c r="B17" s="3560" t="s">
        <v>2486</v>
      </c>
      <c r="C17" s="3560"/>
      <c r="D17" s="2362"/>
      <c r="E17" s="2362"/>
      <c r="F17" s="2363"/>
      <c r="G17" s="2364"/>
      <c r="H17" s="2374"/>
      <c r="I17" s="2375">
        <f>ROUND(D17*E17*F17*G17/10000,0)</f>
        <v>0</v>
      </c>
    </row>
    <row r="18" spans="1:9" ht="14.25">
      <c r="A18" s="3559"/>
      <c r="B18" s="3560" t="s">
        <v>2487</v>
      </c>
      <c r="C18" s="3560"/>
      <c r="D18" s="2362"/>
      <c r="E18" s="2362"/>
      <c r="F18" s="2363"/>
      <c r="G18" s="2364"/>
      <c r="H18" s="2374"/>
      <c r="I18" s="2375">
        <f>ROUND(D18*E18*F18*G18/10000,0)</f>
        <v>0</v>
      </c>
    </row>
    <row r="19" spans="1:9" ht="14.25">
      <c r="A19" s="3559"/>
      <c r="B19" s="3560" t="s">
        <v>2488</v>
      </c>
      <c r="C19" s="3560"/>
      <c r="D19" s="2362"/>
      <c r="E19" s="2362"/>
      <c r="F19" s="2363"/>
      <c r="G19" s="2364"/>
      <c r="H19" s="2374"/>
      <c r="I19" s="2375">
        <f>ROUND(D19*E19*F19*G19/10000,0)</f>
        <v>0</v>
      </c>
    </row>
    <row r="20" spans="1:9">
      <c r="A20" s="3559"/>
      <c r="B20" s="3561" t="s">
        <v>2469</v>
      </c>
      <c r="C20" s="3561"/>
      <c r="D20" s="2366">
        <f>SUM(D17:D19)</f>
        <v>0</v>
      </c>
      <c r="E20" s="2366"/>
      <c r="F20" s="2367"/>
      <c r="G20" s="2364"/>
      <c r="H20" s="2371"/>
      <c r="I20" s="2372">
        <f>SUM(I17:I19)</f>
        <v>0</v>
      </c>
    </row>
    <row r="21" spans="1:9">
      <c r="A21" s="3559" t="s">
        <v>2489</v>
      </c>
      <c r="B21" s="3563"/>
      <c r="C21" s="3563"/>
      <c r="D21" s="3563"/>
      <c r="E21" s="3563"/>
      <c r="F21" s="3563"/>
      <c r="G21" s="3563"/>
      <c r="H21" s="2376">
        <v>0.1</v>
      </c>
      <c r="I21" s="2369">
        <f>ROUND(I10*H21,0)</f>
        <v>0</v>
      </c>
    </row>
    <row r="22" spans="1:9" ht="14.25">
      <c r="A22" s="3564" t="s">
        <v>2490</v>
      </c>
      <c r="B22" s="3565"/>
      <c r="C22" s="3566"/>
      <c r="D22" s="2377" t="s">
        <v>2491</v>
      </c>
      <c r="E22" s="2377" t="s">
        <v>2492</v>
      </c>
      <c r="F22" s="2378" t="s">
        <v>2493</v>
      </c>
      <c r="G22" s="2378" t="s">
        <v>2494</v>
      </c>
      <c r="H22" s="2370" t="s">
        <v>2495</v>
      </c>
      <c r="I22" s="2361" t="s">
        <v>2496</v>
      </c>
    </row>
    <row r="23" spans="1:9" ht="14.25" thickBot="1">
      <c r="A23" s="3567"/>
      <c r="B23" s="3568"/>
      <c r="C23" s="3569"/>
      <c r="D23" s="2379"/>
      <c r="E23" s="2379"/>
      <c r="F23" s="2379"/>
      <c r="G23" s="2380"/>
      <c r="H23" s="2381"/>
      <c r="I23" s="2382">
        <f>ROUND(E23*D23*F23*(1-G23)/10000,0)</f>
        <v>0</v>
      </c>
    </row>
    <row r="26" spans="1:9">
      <c r="A26" s="2383" t="s">
        <v>2497</v>
      </c>
      <c r="B26" s="2383"/>
      <c r="C26" s="2383"/>
      <c r="D26" s="2383"/>
      <c r="E26" s="3570">
        <f>C27-C30-C31-C32</f>
        <v>0</v>
      </c>
      <c r="F26" s="3570"/>
      <c r="G26" s="3570"/>
      <c r="H26" s="2756" t="s">
        <v>2823</v>
      </c>
    </row>
    <row r="27" spans="1:9">
      <c r="A27" s="2384">
        <v>1</v>
      </c>
      <c r="B27" s="2385" t="s">
        <v>2498</v>
      </c>
      <c r="C27" s="2385"/>
      <c r="D27" s="2385"/>
      <c r="E27" s="3571"/>
      <c r="F27" s="3571"/>
      <c r="G27" s="3571"/>
    </row>
    <row r="28" spans="1:9">
      <c r="A28" s="2386" t="s">
        <v>2499</v>
      </c>
      <c r="B28" s="2385" t="s">
        <v>2500</v>
      </c>
      <c r="C28" s="2385"/>
      <c r="D28" s="2385"/>
      <c r="E28" s="3571"/>
      <c r="F28" s="3571"/>
      <c r="G28" s="3571"/>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62"/>
      <c r="F32" s="3562"/>
      <c r="G32" s="3562"/>
    </row>
    <row r="33" spans="1:7" hidden="1">
      <c r="A33" s="3572" t="s">
        <v>2508</v>
      </c>
      <c r="B33" s="3573"/>
      <c r="C33" s="3573"/>
      <c r="D33" s="3574"/>
      <c r="E33" s="3570"/>
      <c r="F33" s="3570"/>
      <c r="G33" s="3570"/>
    </row>
    <row r="34" spans="1:7" hidden="1">
      <c r="A34" s="2388">
        <v>1</v>
      </c>
      <c r="B34" s="2385" t="s">
        <v>2509</v>
      </c>
      <c r="C34" s="2385"/>
      <c r="D34" s="2385"/>
      <c r="E34" s="3571"/>
      <c r="F34" s="3571"/>
      <c r="G34" s="3571"/>
    </row>
    <row r="35" spans="1:7" hidden="1">
      <c r="A35" s="2388">
        <v>2</v>
      </c>
      <c r="B35" s="2385" t="s">
        <v>2510</v>
      </c>
      <c r="C35" s="2385"/>
      <c r="D35" s="2385"/>
      <c r="E35" s="3571"/>
      <c r="F35" s="3571"/>
      <c r="G35" s="3571"/>
    </row>
    <row r="36" spans="1:7" hidden="1">
      <c r="A36" s="2388">
        <v>3</v>
      </c>
      <c r="B36" s="2385" t="s">
        <v>2511</v>
      </c>
      <c r="C36" s="2385"/>
      <c r="D36" s="2385"/>
      <c r="E36" s="3571"/>
      <c r="F36" s="3571"/>
      <c r="G36" s="3571"/>
    </row>
    <row r="37" spans="1:7" hidden="1">
      <c r="A37" s="2388">
        <v>4</v>
      </c>
      <c r="B37" s="2385" t="s">
        <v>2512</v>
      </c>
      <c r="C37" s="2385"/>
      <c r="D37" s="2385"/>
      <c r="E37" s="3571"/>
      <c r="F37" s="3571"/>
      <c r="G37" s="3571"/>
    </row>
    <row r="38" spans="1:7" hidden="1">
      <c r="A38" s="3572" t="s">
        <v>2513</v>
      </c>
      <c r="B38" s="3573"/>
      <c r="C38" s="3573"/>
      <c r="D38" s="3574"/>
      <c r="E38" s="3570"/>
      <c r="F38" s="3570"/>
      <c r="G38" s="35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B3" sqref="B3"/>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39458</v>
      </c>
      <c r="C2" s="3268"/>
      <c r="D2" s="3268"/>
      <c r="E2" s="3268"/>
      <c r="F2" s="3268"/>
      <c r="G2" s="3268"/>
    </row>
    <row r="3" spans="1:25" s="1942" customFormat="1" ht="18" customHeight="1">
      <c r="A3" s="1331" t="s">
        <v>1676</v>
      </c>
      <c r="B3" s="419">
        <f ca="1">ROUND(B2*10000/'数据-汇总表'!E3,0)</f>
        <v>70004</v>
      </c>
      <c r="C3" s="3268"/>
      <c r="D3" s="3268"/>
      <c r="E3" s="3268"/>
      <c r="F3" s="3268"/>
      <c r="G3" s="3268"/>
    </row>
    <row r="4" spans="1:25" s="1942" customFormat="1" ht="18" customHeight="1">
      <c r="A4" s="420" t="s">
        <v>462</v>
      </c>
      <c r="B4" s="421">
        <f ca="1">ROUND(B2*10000/'数据-汇总表'!D3,0)</f>
        <v>4795</v>
      </c>
      <c r="C4" s="3221"/>
      <c r="D4" s="3268"/>
      <c r="E4" s="3268"/>
      <c r="F4" s="3268"/>
      <c r="G4" s="3268"/>
    </row>
    <row r="5" spans="1:25" s="1942" customFormat="1" ht="18" customHeight="1" thickBot="1">
      <c r="A5" s="423"/>
      <c r="B5" s="424">
        <f ca="1">ROUND(B2/('数据-汇总表'!D3/666.67),0)</f>
        <v>320</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37786</v>
      </c>
      <c r="D7" s="740"/>
      <c r="E7" s="741"/>
      <c r="F7" s="741"/>
      <c r="G7" s="2332"/>
    </row>
    <row r="8" spans="1:25" s="2064" customFormat="1" ht="13.5" customHeight="1">
      <c r="A8" s="2323" t="s">
        <v>2423</v>
      </c>
      <c r="B8" s="2326" t="s">
        <v>2425</v>
      </c>
      <c r="C8" s="3271">
        <f t="shared" ref="C8:C9" si="0">ROUND(D8*E8/10000,0)</f>
        <v>37786</v>
      </c>
      <c r="D8" s="3281">
        <f>'数据-汇总表'!D3</f>
        <v>82285.63</v>
      </c>
      <c r="E8" s="3272">
        <f>成本案例!H4</f>
        <v>4592</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113</v>
      </c>
      <c r="D13" s="3271">
        <f>'数据-汇总表'!E6</f>
        <v>5636.57</v>
      </c>
      <c r="E13" s="3271">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1644</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4534</v>
      </c>
      <c r="D18" s="752"/>
      <c r="E18" s="753"/>
      <c r="F18" s="1302">
        <v>0.12</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43964</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10991</v>
      </c>
      <c r="D20" s="750"/>
      <c r="E20" s="740"/>
      <c r="F20" s="1302">
        <v>0.25</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54955</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39458</v>
      </c>
      <c r="D22" s="750"/>
      <c r="E22" s="740"/>
      <c r="F22" s="756">
        <f>'数据-取费表'!AP16</f>
        <v>0.71799999999999997</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39458</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E3:L20"/>
  <sheetViews>
    <sheetView zoomScale="90" zoomScaleNormal="90" workbookViewId="0">
      <selection activeCell="H4" sqref="H4"/>
    </sheetView>
  </sheetViews>
  <sheetFormatPr defaultRowHeight="13.5"/>
  <sheetData>
    <row r="3" spans="5:12">
      <c r="H3">
        <f>E6+E4+L17</f>
        <v>13776.42</v>
      </c>
    </row>
    <row r="4" spans="5:12">
      <c r="E4">
        <v>3196</v>
      </c>
      <c r="H4" s="3280">
        <f>ROUND(H3/3,0)</f>
        <v>4592</v>
      </c>
    </row>
    <row r="5" spans="5:12">
      <c r="E5">
        <v>14497</v>
      </c>
    </row>
    <row r="6" spans="5:12">
      <c r="E6">
        <v>6458</v>
      </c>
    </row>
    <row r="16" spans="5:12">
      <c r="L16">
        <v>1843.69</v>
      </c>
    </row>
    <row r="17" spans="12:12">
      <c r="L17">
        <v>4122.42</v>
      </c>
    </row>
    <row r="18" spans="12:12">
      <c r="L18">
        <v>2633.7</v>
      </c>
    </row>
    <row r="19" spans="12:12">
      <c r="L19">
        <v>1683.18</v>
      </c>
    </row>
    <row r="20" spans="12:12">
      <c r="L20">
        <v>821.74</v>
      </c>
    </row>
  </sheetData>
  <phoneticPr fontId="22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470" t="s">
        <v>516</v>
      </c>
      <c r="D4" s="3471"/>
      <c r="E4" s="3504" t="s">
        <v>517</v>
      </c>
      <c r="F4" s="3505"/>
      <c r="G4" s="3470" t="s">
        <v>518</v>
      </c>
      <c r="H4" s="3471"/>
      <c r="I4" s="3470" t="s">
        <v>519</v>
      </c>
      <c r="J4" s="3471"/>
      <c r="K4" s="842" t="s">
        <v>520</v>
      </c>
      <c r="L4" s="2015"/>
      <c r="M4" s="2016"/>
      <c r="N4" s="2016"/>
      <c r="O4" s="2016"/>
      <c r="P4" s="3472" t="s">
        <v>521</v>
      </c>
      <c r="Q4" s="3473"/>
      <c r="R4" s="3478" t="s">
        <v>517</v>
      </c>
      <c r="S4" s="3479"/>
      <c r="T4" s="3478" t="s">
        <v>518</v>
      </c>
      <c r="U4" s="3479"/>
      <c r="V4" s="3465" t="s">
        <v>519</v>
      </c>
      <c r="W4" s="3465"/>
      <c r="X4" s="1502"/>
      <c r="Y4" s="3478" t="s">
        <v>521</v>
      </c>
      <c r="Z4" s="3479"/>
      <c r="AA4" s="3467" t="s">
        <v>517</v>
      </c>
      <c r="AB4" s="3467" t="s">
        <v>518</v>
      </c>
      <c r="AC4" s="3467" t="s">
        <v>519</v>
      </c>
    </row>
    <row r="5" spans="1:29" ht="15">
      <c r="A5" s="509"/>
      <c r="B5" s="510"/>
      <c r="C5" s="3486" t="s">
        <v>2898</v>
      </c>
      <c r="D5" s="3487"/>
      <c r="E5" s="3506" t="s">
        <v>2899</v>
      </c>
      <c r="F5" s="3507"/>
      <c r="G5" s="3486" t="s">
        <v>2900</v>
      </c>
      <c r="H5" s="3487"/>
      <c r="I5" s="3486" t="s">
        <v>2901</v>
      </c>
      <c r="J5" s="3487"/>
      <c r="K5" s="843"/>
      <c r="L5" s="2015"/>
      <c r="M5" s="2016"/>
      <c r="N5" s="2016"/>
      <c r="O5" s="2016"/>
      <c r="P5" s="3474"/>
      <c r="Q5" s="3475"/>
      <c r="R5" s="3480"/>
      <c r="S5" s="3481"/>
      <c r="T5" s="3480"/>
      <c r="U5" s="3481"/>
      <c r="V5" s="3465"/>
      <c r="W5" s="3465"/>
      <c r="X5" s="1502"/>
      <c r="Y5" s="3480"/>
      <c r="Z5" s="3481"/>
      <c r="AA5" s="3468"/>
      <c r="AB5" s="3468"/>
      <c r="AC5" s="3468"/>
    </row>
    <row r="6" spans="1:29" ht="15.75" thickBot="1">
      <c r="A6" s="511"/>
      <c r="B6" s="512"/>
      <c r="C6" s="3484" t="s">
        <v>2902</v>
      </c>
      <c r="D6" s="3485"/>
      <c r="E6" s="3502" t="s">
        <v>2902</v>
      </c>
      <c r="F6" s="3503"/>
      <c r="G6" s="3484" t="s">
        <v>2902</v>
      </c>
      <c r="H6" s="3485"/>
      <c r="I6" s="3484" t="s">
        <v>2902</v>
      </c>
      <c r="J6" s="3485"/>
      <c r="K6" s="843" t="s">
        <v>522</v>
      </c>
      <c r="L6" s="2015"/>
      <c r="M6" s="2016"/>
      <c r="N6" s="2016"/>
      <c r="O6" s="2016"/>
      <c r="P6" s="3476"/>
      <c r="Q6" s="3477"/>
      <c r="R6" s="3480"/>
      <c r="S6" s="3481"/>
      <c r="T6" s="3482"/>
      <c r="U6" s="3483"/>
      <c r="V6" s="3465"/>
      <c r="W6" s="3465"/>
      <c r="X6" s="1502"/>
      <c r="Y6" s="3482"/>
      <c r="Z6" s="3483"/>
      <c r="AA6" s="3469"/>
      <c r="AB6" s="3469"/>
      <c r="AC6" s="3469"/>
    </row>
    <row r="7" spans="1:29" s="1203" customFormat="1" ht="15.75" thickBot="1">
      <c r="A7" s="2629"/>
      <c r="B7" s="2636" t="s">
        <v>523</v>
      </c>
      <c r="C7" s="513">
        <f>'数据-取费表'!B2</f>
        <v>44458</v>
      </c>
      <c r="D7" s="514">
        <v>100</v>
      </c>
      <c r="E7" s="515"/>
      <c r="F7" s="516">
        <f>SUMIF(58:58,YEAR(E7)&amp;"-"&amp;MONTH(E7),59:59)</f>
        <v>0</v>
      </c>
      <c r="G7" s="517"/>
      <c r="H7" s="514">
        <f>SUMIF(58:58,YEAR(G7)&amp;"-"&amp;MONTH(G7),59:59)</f>
        <v>0</v>
      </c>
      <c r="I7" s="517"/>
      <c r="J7" s="514">
        <f>SUMIF(58:58,YEAR(I7)&amp;"-"&amp;MONTH(I7),59:59)</f>
        <v>0</v>
      </c>
      <c r="K7" s="844"/>
      <c r="L7" s="2017"/>
      <c r="M7" s="2018"/>
      <c r="N7" s="2018"/>
      <c r="O7" s="2018"/>
      <c r="P7" s="3495" t="s">
        <v>524</v>
      </c>
      <c r="Q7" s="3497"/>
      <c r="R7" s="1503" t="s">
        <v>13</v>
      </c>
      <c r="S7" s="1504">
        <f t="shared" ref="S7:S15" si="0">F7</f>
        <v>0</v>
      </c>
      <c r="T7" s="1503" t="s">
        <v>13</v>
      </c>
      <c r="U7" s="1504">
        <f t="shared" ref="U7:U15" si="1">H7</f>
        <v>0</v>
      </c>
      <c r="V7" s="1503" t="s">
        <v>13</v>
      </c>
      <c r="W7" s="1504">
        <f t="shared" ref="W7:W15" si="2">J7</f>
        <v>0</v>
      </c>
      <c r="X7" s="1505"/>
      <c r="Y7" s="3495" t="s">
        <v>524</v>
      </c>
      <c r="Z7" s="3496"/>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495" t="s">
        <v>527</v>
      </c>
      <c r="Q8" s="3496"/>
      <c r="R8" s="1503" t="s">
        <v>13</v>
      </c>
      <c r="S8" s="1504">
        <f t="shared" si="0"/>
        <v>0</v>
      </c>
      <c r="T8" s="1503" t="s">
        <v>13</v>
      </c>
      <c r="U8" s="1504">
        <f t="shared" si="1"/>
        <v>0</v>
      </c>
      <c r="V8" s="1503" t="s">
        <v>13</v>
      </c>
      <c r="W8" s="1504">
        <f t="shared" si="2"/>
        <v>0</v>
      </c>
      <c r="X8" s="1505"/>
      <c r="Y8" s="3495" t="s">
        <v>527</v>
      </c>
      <c r="Z8" s="3496"/>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64" t="s">
        <v>529</v>
      </c>
      <c r="Q9" s="1134" t="str">
        <f t="shared" ref="Q9:Q15" si="6">B9</f>
        <v>用途</v>
      </c>
      <c r="R9" s="1503" t="s">
        <v>8</v>
      </c>
      <c r="S9" s="1504">
        <f t="shared" si="0"/>
        <v>100</v>
      </c>
      <c r="T9" s="1503" t="s">
        <v>8</v>
      </c>
      <c r="U9" s="1504">
        <f t="shared" si="1"/>
        <v>100</v>
      </c>
      <c r="V9" s="1503" t="s">
        <v>8</v>
      </c>
      <c r="W9" s="1504">
        <f t="shared" si="2"/>
        <v>100</v>
      </c>
      <c r="X9" s="1505"/>
      <c r="Y9" s="3404"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64"/>
      <c r="Q10" s="1134" t="str">
        <f t="shared" si="6"/>
        <v>土地使用年限（年）</v>
      </c>
      <c r="R10" s="1503" t="s">
        <v>8</v>
      </c>
      <c r="S10" s="1504">
        <f t="shared" si="0"/>
        <v>100</v>
      </c>
      <c r="T10" s="1503" t="s">
        <v>8</v>
      </c>
      <c r="U10" s="1504">
        <f t="shared" si="1"/>
        <v>100</v>
      </c>
      <c r="V10" s="1503" t="s">
        <v>8</v>
      </c>
      <c r="W10" s="1504">
        <f t="shared" si="2"/>
        <v>100</v>
      </c>
      <c r="X10" s="1505"/>
      <c r="Y10" s="3404"/>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64"/>
      <c r="Q11" s="1134" t="str">
        <f t="shared" si="6"/>
        <v>容积率</v>
      </c>
      <c r="R11" s="1503" t="s">
        <v>11</v>
      </c>
      <c r="S11" s="1504" t="e">
        <f t="shared" si="0"/>
        <v>#N/A</v>
      </c>
      <c r="T11" s="1503" t="s">
        <v>11</v>
      </c>
      <c r="U11" s="1504" t="e">
        <f t="shared" si="1"/>
        <v>#N/A</v>
      </c>
      <c r="V11" s="1503" t="s">
        <v>11</v>
      </c>
      <c r="W11" s="1504" t="e">
        <f t="shared" si="2"/>
        <v>#N/A</v>
      </c>
      <c r="X11" s="1505"/>
      <c r="Y11" s="3404"/>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64"/>
      <c r="Q12" s="1134">
        <f t="shared" si="6"/>
        <v>111</v>
      </c>
      <c r="R12" s="1503" t="s">
        <v>11</v>
      </c>
      <c r="S12" s="1504">
        <f t="shared" si="0"/>
        <v>100</v>
      </c>
      <c r="T12" s="1503" t="s">
        <v>11</v>
      </c>
      <c r="U12" s="1504">
        <f t="shared" si="1"/>
        <v>100</v>
      </c>
      <c r="V12" s="1503" t="s">
        <v>11</v>
      </c>
      <c r="W12" s="1504">
        <f t="shared" si="2"/>
        <v>100</v>
      </c>
      <c r="X12" s="1505"/>
      <c r="Y12" s="3404"/>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64"/>
      <c r="Q13" s="1134">
        <f t="shared" si="6"/>
        <v>111</v>
      </c>
      <c r="R13" s="1503" t="s">
        <v>11</v>
      </c>
      <c r="S13" s="1504">
        <f t="shared" si="0"/>
        <v>100</v>
      </c>
      <c r="T13" s="1503" t="s">
        <v>11</v>
      </c>
      <c r="U13" s="1504">
        <f t="shared" si="1"/>
        <v>100</v>
      </c>
      <c r="V13" s="1503" t="s">
        <v>11</v>
      </c>
      <c r="W13" s="1504">
        <f t="shared" si="2"/>
        <v>100</v>
      </c>
      <c r="X13" s="1505"/>
      <c r="Y13" s="3404"/>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64"/>
      <c r="Q14" s="1134">
        <f t="shared" si="6"/>
        <v>111</v>
      </c>
      <c r="R14" s="1503" t="s">
        <v>11</v>
      </c>
      <c r="S14" s="1504">
        <f t="shared" si="0"/>
        <v>100</v>
      </c>
      <c r="T14" s="1503" t="s">
        <v>11</v>
      </c>
      <c r="U14" s="1504">
        <f t="shared" si="1"/>
        <v>100</v>
      </c>
      <c r="V14" s="1503" t="s">
        <v>11</v>
      </c>
      <c r="W14" s="1504">
        <f t="shared" si="2"/>
        <v>100</v>
      </c>
      <c r="X14" s="1505"/>
      <c r="Y14" s="3404"/>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498" t="s">
        <v>534</v>
      </c>
      <c r="Q15" s="1507" t="str">
        <f t="shared" si="6"/>
        <v>居住社区成熟度</v>
      </c>
      <c r="R15" s="1508" t="s">
        <v>11</v>
      </c>
      <c r="S15" s="1509">
        <f t="shared" si="0"/>
        <v>100</v>
      </c>
      <c r="T15" s="1508" t="s">
        <v>11</v>
      </c>
      <c r="U15" s="1509">
        <f t="shared" si="1"/>
        <v>100</v>
      </c>
      <c r="V15" s="1508" t="s">
        <v>11</v>
      </c>
      <c r="W15" s="1509">
        <f t="shared" si="2"/>
        <v>100</v>
      </c>
      <c r="X15" s="1502"/>
      <c r="Y15" s="3498"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499"/>
      <c r="Q16" s="1507"/>
      <c r="R16" s="1508"/>
      <c r="S16" s="1509"/>
      <c r="T16" s="1508"/>
      <c r="U16" s="1509"/>
      <c r="V16" s="1508"/>
      <c r="W16" s="1509"/>
      <c r="X16" s="1502"/>
      <c r="Y16" s="3499"/>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499"/>
      <c r="Q17" s="1507" t="str">
        <f>B17</f>
        <v>交通便捷度</v>
      </c>
      <c r="R17" s="1508" t="s">
        <v>11</v>
      </c>
      <c r="S17" s="1509">
        <f>F17</f>
        <v>100</v>
      </c>
      <c r="T17" s="1508" t="s">
        <v>11</v>
      </c>
      <c r="U17" s="1509">
        <f>H17</f>
        <v>100</v>
      </c>
      <c r="V17" s="1508" t="s">
        <v>11</v>
      </c>
      <c r="W17" s="1509">
        <f>J17</f>
        <v>100</v>
      </c>
      <c r="X17" s="1502"/>
      <c r="Y17" s="349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499"/>
      <c r="Q18" s="1507"/>
      <c r="R18" s="1508"/>
      <c r="S18" s="1509"/>
      <c r="T18" s="1508"/>
      <c r="U18" s="1509"/>
      <c r="V18" s="1508"/>
      <c r="W18" s="1509"/>
      <c r="X18" s="1502"/>
      <c r="Y18" s="3499"/>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499"/>
      <c r="Q19" s="1507" t="str">
        <f>B19</f>
        <v>公共配套设施</v>
      </c>
      <c r="R19" s="1508" t="s">
        <v>11</v>
      </c>
      <c r="S19" s="1509">
        <f>F19</f>
        <v>100</v>
      </c>
      <c r="T19" s="1508" t="s">
        <v>11</v>
      </c>
      <c r="U19" s="1509">
        <f>H19</f>
        <v>100</v>
      </c>
      <c r="V19" s="1508" t="s">
        <v>11</v>
      </c>
      <c r="W19" s="1509">
        <f>J19</f>
        <v>100</v>
      </c>
      <c r="X19" s="1502"/>
      <c r="Y19" s="349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499"/>
      <c r="Q20" s="1507"/>
      <c r="R20" s="1508"/>
      <c r="S20" s="1509"/>
      <c r="T20" s="1508"/>
      <c r="U20" s="1509"/>
      <c r="V20" s="1508"/>
      <c r="W20" s="1509"/>
      <c r="X20" s="1502"/>
      <c r="Y20" s="3499"/>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499"/>
      <c r="Q21" s="2429" t="str">
        <f>B21</f>
        <v>基础设施水平</v>
      </c>
      <c r="R21" s="1508" t="s">
        <v>11</v>
      </c>
      <c r="S21" s="1509">
        <f>F21</f>
        <v>100</v>
      </c>
      <c r="T21" s="1508" t="s">
        <v>11</v>
      </c>
      <c r="U21" s="1509">
        <f>H21</f>
        <v>100</v>
      </c>
      <c r="V21" s="1508" t="s">
        <v>11</v>
      </c>
      <c r="W21" s="1509">
        <f>J21</f>
        <v>100</v>
      </c>
      <c r="X21" s="2431"/>
      <c r="Y21" s="3499"/>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499"/>
      <c r="Q22" s="2429"/>
      <c r="R22" s="1508"/>
      <c r="S22" s="1509"/>
      <c r="T22" s="1508"/>
      <c r="U22" s="1509"/>
      <c r="V22" s="1508"/>
      <c r="W22" s="1509"/>
      <c r="X22" s="2431"/>
      <c r="Y22" s="3499"/>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499"/>
      <c r="Q23" s="1507" t="str">
        <f>B23</f>
        <v>自然及人文环境</v>
      </c>
      <c r="R23" s="1508" t="s">
        <v>11</v>
      </c>
      <c r="S23" s="1509">
        <f>F23</f>
        <v>100</v>
      </c>
      <c r="T23" s="1508" t="s">
        <v>11</v>
      </c>
      <c r="U23" s="1509">
        <f>H23</f>
        <v>100</v>
      </c>
      <c r="V23" s="1508" t="s">
        <v>11</v>
      </c>
      <c r="W23" s="1509">
        <f>J23</f>
        <v>100</v>
      </c>
      <c r="X23" s="1502"/>
      <c r="Y23" s="349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499"/>
      <c r="Q24" s="1507"/>
      <c r="R24" s="1508"/>
      <c r="S24" s="1509"/>
      <c r="T24" s="1508"/>
      <c r="U24" s="1509"/>
      <c r="V24" s="1508"/>
      <c r="W24" s="1509"/>
      <c r="X24" s="1502"/>
      <c r="Y24" s="3499"/>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99"/>
      <c r="Q25" s="1507" t="str">
        <f t="shared" ref="Q25:Q46" si="11">B25</f>
        <v>楼层-1</v>
      </c>
      <c r="R25" s="1508" t="s">
        <v>11</v>
      </c>
      <c r="S25" s="1509">
        <f>F25</f>
        <v>100</v>
      </c>
      <c r="T25" s="1508" t="s">
        <v>11</v>
      </c>
      <c r="U25" s="1509">
        <f>H25</f>
        <v>100</v>
      </c>
      <c r="V25" s="1508" t="s">
        <v>11</v>
      </c>
      <c r="W25" s="1509">
        <f>J25</f>
        <v>100</v>
      </c>
      <c r="X25" s="1502"/>
      <c r="Y25" s="3499"/>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99"/>
      <c r="Q26" s="1507" t="str">
        <f t="shared" si="11"/>
        <v>朝向</v>
      </c>
      <c r="R26" s="1508" t="s">
        <v>11</v>
      </c>
      <c r="S26" s="1509">
        <f>F26</f>
        <v>100</v>
      </c>
      <c r="T26" s="1508" t="s">
        <v>11</v>
      </c>
      <c r="U26" s="1509">
        <f>H26</f>
        <v>100</v>
      </c>
      <c r="V26" s="1508" t="s">
        <v>11</v>
      </c>
      <c r="W26" s="1509">
        <f>J26</f>
        <v>100</v>
      </c>
      <c r="X26" s="1502"/>
      <c r="Y26" s="3499"/>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99"/>
      <c r="Q27" s="1134" t="str">
        <f t="shared" si="11"/>
        <v>道路级别</v>
      </c>
      <c r="R27" s="1503" t="s">
        <v>11</v>
      </c>
      <c r="S27" s="1504">
        <f>F27</f>
        <v>100</v>
      </c>
      <c r="T27" s="1503" t="s">
        <v>11</v>
      </c>
      <c r="U27" s="1504">
        <f>H27</f>
        <v>100</v>
      </c>
      <c r="V27" s="1503" t="s">
        <v>11</v>
      </c>
      <c r="W27" s="1504">
        <f>J27</f>
        <v>100</v>
      </c>
      <c r="X27" s="1505"/>
      <c r="Y27" s="3499"/>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99"/>
      <c r="Q28" s="1507">
        <f t="shared" si="11"/>
        <v>111</v>
      </c>
      <c r="R28" s="1508" t="s">
        <v>11</v>
      </c>
      <c r="S28" s="1509">
        <f t="shared" ref="S28:S46" si="12">F28</f>
        <v>100</v>
      </c>
      <c r="T28" s="1508" t="s">
        <v>11</v>
      </c>
      <c r="U28" s="1509">
        <f t="shared" ref="U28:U46" si="13">H28</f>
        <v>100</v>
      </c>
      <c r="V28" s="1508" t="s">
        <v>11</v>
      </c>
      <c r="W28" s="1509">
        <f t="shared" ref="W28:W46" si="14">J28</f>
        <v>100</v>
      </c>
      <c r="X28" s="1502"/>
      <c r="Y28" s="3499"/>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99"/>
      <c r="Q29" s="1507">
        <f t="shared" si="11"/>
        <v>111</v>
      </c>
      <c r="R29" s="1508" t="s">
        <v>11</v>
      </c>
      <c r="S29" s="1509">
        <f t="shared" si="12"/>
        <v>100</v>
      </c>
      <c r="T29" s="1508" t="s">
        <v>11</v>
      </c>
      <c r="U29" s="1509">
        <f t="shared" si="13"/>
        <v>100</v>
      </c>
      <c r="V29" s="1508" t="s">
        <v>11</v>
      </c>
      <c r="W29" s="1509">
        <f t="shared" si="14"/>
        <v>100</v>
      </c>
      <c r="X29" s="1502"/>
      <c r="Y29" s="3499"/>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99"/>
      <c r="Q30" s="1507">
        <f t="shared" si="11"/>
        <v>111</v>
      </c>
      <c r="R30" s="1508" t="s">
        <v>11</v>
      </c>
      <c r="S30" s="1509">
        <f t="shared" si="12"/>
        <v>100</v>
      </c>
      <c r="T30" s="1508" t="s">
        <v>11</v>
      </c>
      <c r="U30" s="1509">
        <f t="shared" si="13"/>
        <v>100</v>
      </c>
      <c r="V30" s="1508" t="s">
        <v>11</v>
      </c>
      <c r="W30" s="1509">
        <f t="shared" si="14"/>
        <v>100</v>
      </c>
      <c r="X30" s="1502"/>
      <c r="Y30" s="3499"/>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99"/>
      <c r="Q31" s="1507">
        <f t="shared" si="11"/>
        <v>111</v>
      </c>
      <c r="R31" s="1508" t="s">
        <v>11</v>
      </c>
      <c r="S31" s="1509">
        <f t="shared" si="12"/>
        <v>100</v>
      </c>
      <c r="T31" s="1508" t="s">
        <v>11</v>
      </c>
      <c r="U31" s="1509">
        <f t="shared" si="13"/>
        <v>100</v>
      </c>
      <c r="V31" s="1508" t="s">
        <v>11</v>
      </c>
      <c r="W31" s="1509">
        <f t="shared" si="14"/>
        <v>100</v>
      </c>
      <c r="X31" s="1502"/>
      <c r="Y31" s="3499"/>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00" t="s">
        <v>544</v>
      </c>
      <c r="Q32" s="1507" t="str">
        <f t="shared" si="11"/>
        <v>建筑类型</v>
      </c>
      <c r="R32" s="1508" t="s">
        <v>11</v>
      </c>
      <c r="S32" s="1509">
        <f t="shared" si="12"/>
        <v>100</v>
      </c>
      <c r="T32" s="1508" t="s">
        <v>11</v>
      </c>
      <c r="U32" s="1509">
        <f t="shared" si="13"/>
        <v>100</v>
      </c>
      <c r="V32" s="1508" t="s">
        <v>11</v>
      </c>
      <c r="W32" s="1509">
        <f t="shared" si="14"/>
        <v>100</v>
      </c>
      <c r="X32" s="1502"/>
      <c r="Y32" s="3501"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01"/>
      <c r="Q33" s="1536" t="str">
        <f t="shared" si="11"/>
        <v>项目建筑规模</v>
      </c>
      <c r="R33" s="1512" t="s">
        <v>11</v>
      </c>
      <c r="S33" s="1513" t="e">
        <f t="shared" si="12"/>
        <v>#N/A</v>
      </c>
      <c r="T33" s="1512" t="s">
        <v>11</v>
      </c>
      <c r="U33" s="1513" t="e">
        <f t="shared" si="13"/>
        <v>#N/A</v>
      </c>
      <c r="V33" s="1512" t="s">
        <v>11</v>
      </c>
      <c r="W33" s="1513" t="e">
        <f t="shared" si="14"/>
        <v>#N/A</v>
      </c>
      <c r="X33" s="1514"/>
      <c r="Y33" s="3501"/>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01"/>
      <c r="Q34" s="1507" t="str">
        <f t="shared" si="11"/>
        <v>建筑结构</v>
      </c>
      <c r="R34" s="1508" t="s">
        <v>11</v>
      </c>
      <c r="S34" s="1509">
        <f t="shared" si="12"/>
        <v>100</v>
      </c>
      <c r="T34" s="1508" t="s">
        <v>11</v>
      </c>
      <c r="U34" s="1509">
        <f t="shared" si="13"/>
        <v>100</v>
      </c>
      <c r="V34" s="1508" t="s">
        <v>11</v>
      </c>
      <c r="W34" s="1509">
        <f t="shared" si="14"/>
        <v>100</v>
      </c>
      <c r="X34" s="1502"/>
      <c r="Y34" s="3501"/>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01"/>
      <c r="Q35" s="1507" t="str">
        <f t="shared" si="11"/>
        <v>建筑品质</v>
      </c>
      <c r="R35" s="1508" t="s">
        <v>11</v>
      </c>
      <c r="S35" s="1509">
        <f t="shared" si="12"/>
        <v>100</v>
      </c>
      <c r="T35" s="1508" t="s">
        <v>11</v>
      </c>
      <c r="U35" s="1509">
        <f t="shared" si="13"/>
        <v>100</v>
      </c>
      <c r="V35" s="1508" t="s">
        <v>11</v>
      </c>
      <c r="W35" s="1509">
        <f t="shared" si="14"/>
        <v>100</v>
      </c>
      <c r="X35" s="1502"/>
      <c r="Y35" s="3501"/>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01"/>
      <c r="Q36" s="1507" t="str">
        <f t="shared" si="11"/>
        <v>公共部分装修</v>
      </c>
      <c r="R36" s="1508" t="s">
        <v>11</v>
      </c>
      <c r="S36" s="1509">
        <f t="shared" si="12"/>
        <v>100</v>
      </c>
      <c r="T36" s="1508" t="s">
        <v>11</v>
      </c>
      <c r="U36" s="1509">
        <f t="shared" si="13"/>
        <v>100</v>
      </c>
      <c r="V36" s="1508" t="s">
        <v>11</v>
      </c>
      <c r="W36" s="1509">
        <f t="shared" si="14"/>
        <v>100</v>
      </c>
      <c r="X36" s="1502"/>
      <c r="Y36" s="3501"/>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01"/>
      <c r="Q37" s="1134" t="str">
        <f t="shared" si="11"/>
        <v>成新度</v>
      </c>
      <c r="R37" s="1503" t="s">
        <v>11</v>
      </c>
      <c r="S37" s="1504" t="e">
        <f t="shared" si="12"/>
        <v>#N/A</v>
      </c>
      <c r="T37" s="1503" t="s">
        <v>11</v>
      </c>
      <c r="U37" s="1504" t="e">
        <f t="shared" si="13"/>
        <v>#N/A</v>
      </c>
      <c r="V37" s="1503" t="s">
        <v>11</v>
      </c>
      <c r="W37" s="1504" t="e">
        <f t="shared" si="14"/>
        <v>#N/A</v>
      </c>
      <c r="X37" s="1505"/>
      <c r="Y37" s="3501"/>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01" t="s">
        <v>544</v>
      </c>
      <c r="Q38" s="1507" t="str">
        <f t="shared" si="11"/>
        <v>物业管理</v>
      </c>
      <c r="R38" s="1508" t="s">
        <v>11</v>
      </c>
      <c r="S38" s="1509">
        <f t="shared" si="12"/>
        <v>100</v>
      </c>
      <c r="T38" s="1508" t="s">
        <v>11</v>
      </c>
      <c r="U38" s="1509">
        <f t="shared" si="13"/>
        <v>100</v>
      </c>
      <c r="V38" s="1508" t="s">
        <v>11</v>
      </c>
      <c r="W38" s="1509">
        <f t="shared" si="14"/>
        <v>100</v>
      </c>
      <c r="X38" s="1502"/>
      <c r="Y38" s="3501"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01"/>
      <c r="Q39" s="1507" t="str">
        <f t="shared" si="11"/>
        <v>市政基础设施</v>
      </c>
      <c r="R39" s="1508" t="s">
        <v>11</v>
      </c>
      <c r="S39" s="1509">
        <f t="shared" si="12"/>
        <v>100</v>
      </c>
      <c r="T39" s="1508" t="s">
        <v>11</v>
      </c>
      <c r="U39" s="1509">
        <f t="shared" si="13"/>
        <v>100</v>
      </c>
      <c r="V39" s="1508" t="s">
        <v>11</v>
      </c>
      <c r="W39" s="1509">
        <f t="shared" si="14"/>
        <v>100</v>
      </c>
      <c r="X39" s="1502"/>
      <c r="Y39" s="3501"/>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01"/>
      <c r="Q40" s="1507" t="str">
        <f t="shared" si="11"/>
        <v>房型</v>
      </c>
      <c r="R40" s="1508" t="s">
        <v>11</v>
      </c>
      <c r="S40" s="1509">
        <f t="shared" si="12"/>
        <v>100</v>
      </c>
      <c r="T40" s="1508" t="s">
        <v>11</v>
      </c>
      <c r="U40" s="1509">
        <f t="shared" si="13"/>
        <v>100</v>
      </c>
      <c r="V40" s="1508" t="s">
        <v>11</v>
      </c>
      <c r="W40" s="1509">
        <f t="shared" si="14"/>
        <v>100</v>
      </c>
      <c r="X40" s="1502"/>
      <c r="Y40" s="3501"/>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01"/>
      <c r="Q41" s="1536" t="str">
        <f t="shared" si="11"/>
        <v>单套/主力户型建筑面积</v>
      </c>
      <c r="R41" s="1512" t="s">
        <v>11</v>
      </c>
      <c r="S41" s="1513">
        <f t="shared" si="12"/>
        <v>100</v>
      </c>
      <c r="T41" s="1512" t="s">
        <v>11</v>
      </c>
      <c r="U41" s="1513">
        <f t="shared" si="13"/>
        <v>100</v>
      </c>
      <c r="V41" s="1512" t="s">
        <v>11</v>
      </c>
      <c r="W41" s="1513">
        <f t="shared" si="14"/>
        <v>100</v>
      </c>
      <c r="X41" s="1514"/>
      <c r="Y41" s="3501"/>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01"/>
      <c r="Q42" s="1507" t="str">
        <f t="shared" si="11"/>
        <v>内部装修</v>
      </c>
      <c r="R42" s="1508" t="s">
        <v>11</v>
      </c>
      <c r="S42" s="1509">
        <f t="shared" si="12"/>
        <v>100</v>
      </c>
      <c r="T42" s="1508" t="s">
        <v>11</v>
      </c>
      <c r="U42" s="1509">
        <f t="shared" si="13"/>
        <v>100</v>
      </c>
      <c r="V42" s="1508" t="s">
        <v>11</v>
      </c>
      <c r="W42" s="1509">
        <f t="shared" si="14"/>
        <v>100</v>
      </c>
      <c r="X42" s="1502"/>
      <c r="Y42" s="3501"/>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01"/>
      <c r="Q43" s="1507" t="str">
        <f t="shared" si="11"/>
        <v>内部装修维护情况</v>
      </c>
      <c r="R43" s="1508" t="s">
        <v>11</v>
      </c>
      <c r="S43" s="1509">
        <f t="shared" si="12"/>
        <v>100</v>
      </c>
      <c r="T43" s="1508" t="s">
        <v>11</v>
      </c>
      <c r="U43" s="1509">
        <f t="shared" si="13"/>
        <v>100</v>
      </c>
      <c r="V43" s="1508" t="s">
        <v>11</v>
      </c>
      <c r="W43" s="1509">
        <f t="shared" si="14"/>
        <v>100</v>
      </c>
      <c r="X43" s="1502"/>
      <c r="Y43" s="3501"/>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01"/>
      <c r="Q44" s="1134">
        <f t="shared" si="11"/>
        <v>111</v>
      </c>
      <c r="R44" s="1503" t="s">
        <v>11</v>
      </c>
      <c r="S44" s="1504">
        <f t="shared" si="12"/>
        <v>100</v>
      </c>
      <c r="T44" s="1503" t="s">
        <v>11</v>
      </c>
      <c r="U44" s="1504">
        <f t="shared" si="13"/>
        <v>100</v>
      </c>
      <c r="V44" s="1503" t="s">
        <v>11</v>
      </c>
      <c r="W44" s="1504">
        <f t="shared" si="14"/>
        <v>100</v>
      </c>
      <c r="X44" s="1505"/>
      <c r="Y44" s="3501"/>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01"/>
      <c r="Q45" s="1507">
        <f t="shared" si="11"/>
        <v>111</v>
      </c>
      <c r="R45" s="1508" t="s">
        <v>11</v>
      </c>
      <c r="S45" s="1509">
        <f t="shared" si="12"/>
        <v>100</v>
      </c>
      <c r="T45" s="1508" t="s">
        <v>11</v>
      </c>
      <c r="U45" s="1509">
        <f t="shared" si="13"/>
        <v>100</v>
      </c>
      <c r="V45" s="1508" t="s">
        <v>11</v>
      </c>
      <c r="W45" s="1509">
        <f t="shared" si="14"/>
        <v>100</v>
      </c>
      <c r="X45" s="1502"/>
      <c r="Y45" s="3501"/>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77"/>
      <c r="Q46" s="1507">
        <f t="shared" si="11"/>
        <v>111</v>
      </c>
      <c r="R46" s="1508" t="s">
        <v>10</v>
      </c>
      <c r="S46" s="1509">
        <f t="shared" si="12"/>
        <v>100</v>
      </c>
      <c r="T46" s="1508" t="s">
        <v>10</v>
      </c>
      <c r="U46" s="1509">
        <f t="shared" si="13"/>
        <v>100</v>
      </c>
      <c r="V46" s="1508" t="s">
        <v>10</v>
      </c>
      <c r="W46" s="1509">
        <f t="shared" si="14"/>
        <v>100</v>
      </c>
      <c r="X46" s="1502"/>
      <c r="Y46" s="3577"/>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464" t="str">
        <f>A47</f>
        <v>成交单价（元/平方米）</v>
      </c>
      <c r="Q47" s="3464"/>
      <c r="R47" s="3576">
        <f>E47</f>
        <v>0</v>
      </c>
      <c r="S47" s="3576"/>
      <c r="T47" s="3576">
        <f>G47</f>
        <v>0</v>
      </c>
      <c r="U47" s="3576"/>
      <c r="V47" s="3576">
        <f>I47</f>
        <v>0</v>
      </c>
      <c r="W47" s="3576"/>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464" t="str">
        <f>A48</f>
        <v>比较价格（元/平方米）</v>
      </c>
      <c r="Q48" s="3464"/>
      <c r="R48" s="3576" t="e">
        <f>IF(F1="售价",ROUND(PRODUCT(R47,AA7:AA46),0),ROUND(PRODUCT(R47,AA7:AA46),1))</f>
        <v>#DIV/0!</v>
      </c>
      <c r="S48" s="3576"/>
      <c r="T48" s="3576" t="e">
        <f>IF(F1="售价",ROUND(PRODUCT(T47,AB7:AB46),0),ROUND(PRODUCT(T47,AB7:AB46),1))</f>
        <v>#DIV/0!</v>
      </c>
      <c r="U48" s="3576"/>
      <c r="V48" s="3576" t="e">
        <f>IF(F1="售价",ROUND(PRODUCT(V47,AC7:AC46),0),ROUND(PRODUCT(V47,AC7:AC46),1))</f>
        <v>#DIV/0!</v>
      </c>
      <c r="W48" s="3576"/>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38"/>
      <c r="L49" s="2026"/>
      <c r="M49" s="2027"/>
      <c r="N49" s="2027"/>
      <c r="O49" s="2027"/>
      <c r="P49" s="3461" t="str">
        <f>A49</f>
        <v>估价对象XX用房的比较价格（楼面单价，元/平方米）</v>
      </c>
      <c r="Q49" s="3462"/>
      <c r="R49" s="3575" t="e">
        <f>IF(F1="售价",ROUND(IF(D48="简单平均",AVERAGE(R48:V48),R48*F48+T48*H48+V48*J48),0),ROUND(IF(D48="简单平均",AVERAGE(R48:V48),R48*F48+T48*H48+V48*J48),1))</f>
        <v>#DIV/0!</v>
      </c>
      <c r="S49" s="3575"/>
      <c r="T49" s="3575"/>
      <c r="U49" s="3575"/>
      <c r="V49" s="3575"/>
      <c r="W49" s="3575"/>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2021-9</v>
      </c>
      <c r="D58" s="2521">
        <f>EDATE(C58,-1)</f>
        <v>44409</v>
      </c>
      <c r="E58" s="2521">
        <f t="shared" ref="E58:O58" si="16">EDATE(D58,-1)</f>
        <v>44378</v>
      </c>
      <c r="F58" s="2521">
        <f t="shared" si="16"/>
        <v>44348</v>
      </c>
      <c r="G58" s="2521">
        <f t="shared" si="16"/>
        <v>44317</v>
      </c>
      <c r="H58" s="2521">
        <f t="shared" si="16"/>
        <v>44287</v>
      </c>
      <c r="I58" s="2521">
        <f t="shared" si="16"/>
        <v>44256</v>
      </c>
      <c r="J58" s="2521">
        <f t="shared" si="16"/>
        <v>44228</v>
      </c>
      <c r="K58" s="2521">
        <f t="shared" si="16"/>
        <v>44197</v>
      </c>
      <c r="L58" s="2521">
        <f t="shared" si="16"/>
        <v>44166</v>
      </c>
      <c r="M58" s="2521">
        <f t="shared" si="16"/>
        <v>44136</v>
      </c>
      <c r="N58" s="2521">
        <f t="shared" si="16"/>
        <v>44105</v>
      </c>
      <c r="O58" s="2521">
        <f t="shared" si="16"/>
        <v>44075</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70" t="s">
        <v>516</v>
      </c>
      <c r="D4" s="3471"/>
      <c r="E4" s="3504" t="s">
        <v>517</v>
      </c>
      <c r="F4" s="3505"/>
      <c r="G4" s="3470" t="s">
        <v>518</v>
      </c>
      <c r="H4" s="3471"/>
      <c r="I4" s="3470" t="s">
        <v>519</v>
      </c>
      <c r="J4" s="3471"/>
      <c r="K4" s="508" t="s">
        <v>520</v>
      </c>
      <c r="L4" s="2015"/>
      <c r="M4" s="2016"/>
      <c r="N4" s="2016"/>
      <c r="O4" s="2016"/>
      <c r="P4" s="3472" t="s">
        <v>521</v>
      </c>
      <c r="Q4" s="3473"/>
      <c r="R4" s="3478" t="s">
        <v>517</v>
      </c>
      <c r="S4" s="3479"/>
      <c r="T4" s="3478" t="s">
        <v>518</v>
      </c>
      <c r="U4" s="3479"/>
      <c r="V4" s="3465" t="s">
        <v>519</v>
      </c>
      <c r="W4" s="3465"/>
      <c r="X4" s="1502"/>
      <c r="Y4" s="3478" t="s">
        <v>521</v>
      </c>
      <c r="Z4" s="3479"/>
      <c r="AA4" s="3467" t="s">
        <v>517</v>
      </c>
      <c r="AB4" s="3465" t="s">
        <v>518</v>
      </c>
      <c r="AC4" s="3467" t="s">
        <v>519</v>
      </c>
    </row>
    <row r="5" spans="1:29" ht="15">
      <c r="A5" s="509"/>
      <c r="B5" s="510"/>
      <c r="C5" s="3486" t="s">
        <v>2898</v>
      </c>
      <c r="D5" s="3487"/>
      <c r="E5" s="3506" t="s">
        <v>2899</v>
      </c>
      <c r="F5" s="3507"/>
      <c r="G5" s="3486" t="s">
        <v>2900</v>
      </c>
      <c r="H5" s="3487"/>
      <c r="I5" s="3486" t="s">
        <v>2901</v>
      </c>
      <c r="J5" s="3487"/>
      <c r="K5" s="508"/>
      <c r="L5" s="2015"/>
      <c r="M5" s="2016"/>
      <c r="N5" s="2016"/>
      <c r="O5" s="2016"/>
      <c r="P5" s="3474"/>
      <c r="Q5" s="3475"/>
      <c r="R5" s="3480"/>
      <c r="S5" s="3481"/>
      <c r="T5" s="3480"/>
      <c r="U5" s="3481"/>
      <c r="V5" s="3465"/>
      <c r="W5" s="3465"/>
      <c r="X5" s="1502"/>
      <c r="Y5" s="3480"/>
      <c r="Z5" s="3481"/>
      <c r="AA5" s="3468"/>
      <c r="AB5" s="3465"/>
      <c r="AC5" s="3468"/>
    </row>
    <row r="6" spans="1:29" ht="15.75" thickBot="1">
      <c r="A6" s="511"/>
      <c r="B6" s="512"/>
      <c r="C6" s="3484" t="s">
        <v>2902</v>
      </c>
      <c r="D6" s="3485"/>
      <c r="E6" s="3502" t="s">
        <v>2902</v>
      </c>
      <c r="F6" s="3503"/>
      <c r="G6" s="3484" t="s">
        <v>2902</v>
      </c>
      <c r="H6" s="3485"/>
      <c r="I6" s="3484" t="s">
        <v>2902</v>
      </c>
      <c r="J6" s="3485"/>
      <c r="K6" s="508" t="s">
        <v>522</v>
      </c>
      <c r="L6" s="2015"/>
      <c r="M6" s="2016"/>
      <c r="N6" s="2016"/>
      <c r="O6" s="2016"/>
      <c r="P6" s="3476"/>
      <c r="Q6" s="3477"/>
      <c r="R6" s="3480"/>
      <c r="S6" s="3481"/>
      <c r="T6" s="3482"/>
      <c r="U6" s="3483"/>
      <c r="V6" s="3465"/>
      <c r="W6" s="3465"/>
      <c r="X6" s="1502"/>
      <c r="Y6" s="3482"/>
      <c r="Z6" s="3483"/>
      <c r="AA6" s="3469"/>
      <c r="AB6" s="3465"/>
      <c r="AC6" s="3469"/>
    </row>
    <row r="7" spans="1:29" s="1203" customFormat="1" ht="15.75" thickBot="1">
      <c r="A7" s="2629"/>
      <c r="B7" s="2636" t="s">
        <v>523</v>
      </c>
      <c r="C7" s="513">
        <f>'数据-取费表'!B2</f>
        <v>44458</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95" t="s">
        <v>524</v>
      </c>
      <c r="Q7" s="3497"/>
      <c r="R7" s="1503" t="s">
        <v>8</v>
      </c>
      <c r="S7" s="1504">
        <f t="shared" ref="S7:S15" si="0">F7</f>
        <v>0</v>
      </c>
      <c r="T7" s="1503" t="s">
        <v>8</v>
      </c>
      <c r="U7" s="1504">
        <f t="shared" ref="U7:U15" si="1">H7</f>
        <v>0</v>
      </c>
      <c r="V7" s="1503" t="s">
        <v>8</v>
      </c>
      <c r="W7" s="1504">
        <f t="shared" ref="W7:W15" si="2">J7</f>
        <v>0</v>
      </c>
      <c r="X7" s="1505"/>
      <c r="Y7" s="3495" t="s">
        <v>524</v>
      </c>
      <c r="Z7" s="3496"/>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95" t="s">
        <v>527</v>
      </c>
      <c r="Q8" s="3496"/>
      <c r="R8" s="1503" t="s">
        <v>8</v>
      </c>
      <c r="S8" s="1504">
        <f t="shared" si="0"/>
        <v>0</v>
      </c>
      <c r="T8" s="1503" t="s">
        <v>8</v>
      </c>
      <c r="U8" s="1504">
        <f t="shared" si="1"/>
        <v>0</v>
      </c>
      <c r="V8" s="1503" t="s">
        <v>8</v>
      </c>
      <c r="W8" s="1504">
        <f t="shared" si="2"/>
        <v>0</v>
      </c>
      <c r="X8" s="1505"/>
      <c r="Y8" s="3495" t="s">
        <v>527</v>
      </c>
      <c r="Z8" s="3496"/>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64" t="s">
        <v>529</v>
      </c>
      <c r="Q9" s="1134" t="str">
        <f t="shared" ref="Q9:Q15" si="6">B9</f>
        <v>用途</v>
      </c>
      <c r="R9" s="1503" t="s">
        <v>8</v>
      </c>
      <c r="S9" s="1504">
        <f t="shared" si="0"/>
        <v>100</v>
      </c>
      <c r="T9" s="1503" t="s">
        <v>8</v>
      </c>
      <c r="U9" s="1504">
        <f t="shared" si="1"/>
        <v>100</v>
      </c>
      <c r="V9" s="1503" t="s">
        <v>8</v>
      </c>
      <c r="W9" s="1504">
        <f t="shared" si="2"/>
        <v>100</v>
      </c>
      <c r="X9" s="1505"/>
      <c r="Y9" s="3404"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64"/>
      <c r="Q10" s="1134" t="str">
        <f t="shared" si="6"/>
        <v>土地使用年限（年）</v>
      </c>
      <c r="R10" s="1503" t="s">
        <v>8</v>
      </c>
      <c r="S10" s="1504">
        <f t="shared" si="0"/>
        <v>100</v>
      </c>
      <c r="T10" s="1503" t="s">
        <v>8</v>
      </c>
      <c r="U10" s="1504">
        <f t="shared" si="1"/>
        <v>100</v>
      </c>
      <c r="V10" s="1503" t="s">
        <v>8</v>
      </c>
      <c r="W10" s="1504">
        <f t="shared" si="2"/>
        <v>100</v>
      </c>
      <c r="X10" s="1505"/>
      <c r="Y10" s="3404"/>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64"/>
      <c r="Q11" s="1134" t="str">
        <f t="shared" si="6"/>
        <v>容积率</v>
      </c>
      <c r="R11" s="1503" t="s">
        <v>8</v>
      </c>
      <c r="S11" s="1504" t="e">
        <f t="shared" si="0"/>
        <v>#N/A</v>
      </c>
      <c r="T11" s="1503" t="s">
        <v>8</v>
      </c>
      <c r="U11" s="1504" t="e">
        <f t="shared" si="1"/>
        <v>#N/A</v>
      </c>
      <c r="V11" s="1503" t="s">
        <v>8</v>
      </c>
      <c r="W11" s="1504" t="e">
        <f t="shared" si="2"/>
        <v>#N/A</v>
      </c>
      <c r="X11" s="1505"/>
      <c r="Y11" s="3404"/>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64"/>
      <c r="Q12" s="1134">
        <f t="shared" si="6"/>
        <v>111</v>
      </c>
      <c r="R12" s="1503" t="s">
        <v>8</v>
      </c>
      <c r="S12" s="1504">
        <f t="shared" si="0"/>
        <v>100</v>
      </c>
      <c r="T12" s="1503" t="s">
        <v>8</v>
      </c>
      <c r="U12" s="1504">
        <f t="shared" si="1"/>
        <v>100</v>
      </c>
      <c r="V12" s="1503" t="s">
        <v>8</v>
      </c>
      <c r="W12" s="1504">
        <f t="shared" si="2"/>
        <v>100</v>
      </c>
      <c r="X12" s="1505"/>
      <c r="Y12" s="3404"/>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64"/>
      <c r="Q13" s="1134">
        <f t="shared" si="6"/>
        <v>111</v>
      </c>
      <c r="R13" s="1503" t="s">
        <v>8</v>
      </c>
      <c r="S13" s="1504">
        <f t="shared" si="0"/>
        <v>100</v>
      </c>
      <c r="T13" s="1503" t="s">
        <v>8</v>
      </c>
      <c r="U13" s="1504">
        <f t="shared" si="1"/>
        <v>100</v>
      </c>
      <c r="V13" s="1503" t="s">
        <v>8</v>
      </c>
      <c r="W13" s="1504">
        <f t="shared" si="2"/>
        <v>100</v>
      </c>
      <c r="X13" s="1505"/>
      <c r="Y13" s="3404"/>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64"/>
      <c r="Q14" s="1134">
        <f t="shared" si="6"/>
        <v>111</v>
      </c>
      <c r="R14" s="1503" t="s">
        <v>8</v>
      </c>
      <c r="S14" s="1504">
        <f t="shared" si="0"/>
        <v>100</v>
      </c>
      <c r="T14" s="1503" t="s">
        <v>8</v>
      </c>
      <c r="U14" s="1504">
        <f t="shared" si="1"/>
        <v>100</v>
      </c>
      <c r="V14" s="1503" t="s">
        <v>8</v>
      </c>
      <c r="W14" s="1504">
        <f t="shared" si="2"/>
        <v>100</v>
      </c>
      <c r="X14" s="1505"/>
      <c r="Y14" s="3404"/>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498" t="s">
        <v>534</v>
      </c>
      <c r="Q15" s="1507" t="str">
        <f t="shared" si="6"/>
        <v>商业繁华度</v>
      </c>
      <c r="R15" s="1508" t="s">
        <v>8</v>
      </c>
      <c r="S15" s="1509">
        <f t="shared" si="0"/>
        <v>100</v>
      </c>
      <c r="T15" s="1508" t="s">
        <v>8</v>
      </c>
      <c r="U15" s="1509">
        <f t="shared" si="1"/>
        <v>100</v>
      </c>
      <c r="V15" s="1508" t="s">
        <v>8</v>
      </c>
      <c r="W15" s="1509">
        <f t="shared" si="2"/>
        <v>100</v>
      </c>
      <c r="X15" s="1502"/>
      <c r="Y15" s="3498"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99"/>
      <c r="Q16" s="1507"/>
      <c r="R16" s="1508"/>
      <c r="S16" s="1509"/>
      <c r="T16" s="1508"/>
      <c r="U16" s="1509"/>
      <c r="V16" s="1508"/>
      <c r="W16" s="1509"/>
      <c r="X16" s="1502"/>
      <c r="Y16" s="3499"/>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499"/>
      <c r="Q17" s="1507" t="str">
        <f>B17</f>
        <v>交通便捷度</v>
      </c>
      <c r="R17" s="1508" t="s">
        <v>8</v>
      </c>
      <c r="S17" s="1509">
        <f>F17</f>
        <v>100</v>
      </c>
      <c r="T17" s="1508" t="s">
        <v>8</v>
      </c>
      <c r="U17" s="1509">
        <f>H17</f>
        <v>100</v>
      </c>
      <c r="V17" s="1508" t="s">
        <v>8</v>
      </c>
      <c r="W17" s="1509">
        <f>J17</f>
        <v>100</v>
      </c>
      <c r="X17" s="1502"/>
      <c r="Y17" s="349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99"/>
      <c r="Q18" s="1507"/>
      <c r="R18" s="1508"/>
      <c r="S18" s="1509"/>
      <c r="T18" s="1508"/>
      <c r="U18" s="1509"/>
      <c r="V18" s="1508"/>
      <c r="W18" s="1509"/>
      <c r="X18" s="1502"/>
      <c r="Y18" s="3499"/>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499"/>
      <c r="Q19" s="1507" t="str">
        <f>B19</f>
        <v>公共配套设施</v>
      </c>
      <c r="R19" s="1508" t="s">
        <v>8</v>
      </c>
      <c r="S19" s="1509">
        <f>F19</f>
        <v>100</v>
      </c>
      <c r="T19" s="1508" t="s">
        <v>8</v>
      </c>
      <c r="U19" s="1509">
        <f>H19</f>
        <v>100</v>
      </c>
      <c r="V19" s="1508" t="s">
        <v>8</v>
      </c>
      <c r="W19" s="1509">
        <f>J19</f>
        <v>100</v>
      </c>
      <c r="X19" s="1502"/>
      <c r="Y19" s="349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499"/>
      <c r="Q20" s="1507"/>
      <c r="R20" s="1508"/>
      <c r="S20" s="1509"/>
      <c r="T20" s="1508"/>
      <c r="U20" s="1509"/>
      <c r="V20" s="1508"/>
      <c r="W20" s="1509"/>
      <c r="X20" s="1502"/>
      <c r="Y20" s="3499"/>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499"/>
      <c r="Q21" s="2429" t="str">
        <f>B21</f>
        <v>基础设施水平</v>
      </c>
      <c r="R21" s="1508" t="s">
        <v>8</v>
      </c>
      <c r="S21" s="1509">
        <f>F21</f>
        <v>100</v>
      </c>
      <c r="T21" s="1508" t="s">
        <v>8</v>
      </c>
      <c r="U21" s="1509">
        <f>H21</f>
        <v>100</v>
      </c>
      <c r="V21" s="1508" t="s">
        <v>8</v>
      </c>
      <c r="W21" s="1509">
        <f>J21</f>
        <v>100</v>
      </c>
      <c r="X21" s="2431"/>
      <c r="Y21" s="3499"/>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499"/>
      <c r="Q22" s="2429"/>
      <c r="R22" s="1508"/>
      <c r="S22" s="1509"/>
      <c r="T22" s="1508"/>
      <c r="U22" s="1509"/>
      <c r="V22" s="1508"/>
      <c r="W22" s="1509"/>
      <c r="X22" s="2431"/>
      <c r="Y22" s="3499"/>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499"/>
      <c r="Q23" s="1507" t="str">
        <f>B23</f>
        <v>自然及人文环境</v>
      </c>
      <c r="R23" s="1508" t="s">
        <v>8</v>
      </c>
      <c r="S23" s="1509">
        <f>F23</f>
        <v>100</v>
      </c>
      <c r="T23" s="1508" t="s">
        <v>8</v>
      </c>
      <c r="U23" s="1509">
        <f>H23</f>
        <v>100</v>
      </c>
      <c r="V23" s="1508" t="s">
        <v>8</v>
      </c>
      <c r="W23" s="1509">
        <f>J23</f>
        <v>100</v>
      </c>
      <c r="X23" s="1502"/>
      <c r="Y23" s="349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499"/>
      <c r="Q24" s="1507"/>
      <c r="R24" s="1508"/>
      <c r="S24" s="1509"/>
      <c r="T24" s="1508"/>
      <c r="U24" s="1509"/>
      <c r="V24" s="1508"/>
      <c r="W24" s="1509"/>
      <c r="X24" s="1502"/>
      <c r="Y24" s="3499"/>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99"/>
      <c r="Q25" s="1507" t="str">
        <f t="shared" ref="Q25:Q46" si="11">B25</f>
        <v>临街状况</v>
      </c>
      <c r="R25" s="1508" t="s">
        <v>8</v>
      </c>
      <c r="S25" s="1509">
        <f>F25</f>
        <v>100</v>
      </c>
      <c r="T25" s="1508" t="s">
        <v>8</v>
      </c>
      <c r="U25" s="1509">
        <f>H25</f>
        <v>100</v>
      </c>
      <c r="V25" s="1508" t="s">
        <v>8</v>
      </c>
      <c r="W25" s="1509">
        <f>J25</f>
        <v>100</v>
      </c>
      <c r="X25" s="1502"/>
      <c r="Y25" s="3499"/>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99"/>
      <c r="Q26" s="1507" t="str">
        <f t="shared" si="11"/>
        <v>平面位置/可视性</v>
      </c>
      <c r="R26" s="1508" t="s">
        <v>8</v>
      </c>
      <c r="S26" s="1509">
        <f>F26</f>
        <v>100</v>
      </c>
      <c r="T26" s="1508" t="s">
        <v>8</v>
      </c>
      <c r="U26" s="1509">
        <f>H26</f>
        <v>100</v>
      </c>
      <c r="V26" s="1508" t="s">
        <v>8</v>
      </c>
      <c r="W26" s="1509">
        <f>J26</f>
        <v>100</v>
      </c>
      <c r="X26" s="1502"/>
      <c r="Y26" s="3499"/>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499"/>
      <c r="Q27" s="1134" t="str">
        <f t="shared" si="11"/>
        <v>人流量</v>
      </c>
      <c r="R27" s="1503" t="s">
        <v>8</v>
      </c>
      <c r="S27" s="1504">
        <f>F27</f>
        <v>100</v>
      </c>
      <c r="T27" s="1503" t="s">
        <v>8</v>
      </c>
      <c r="U27" s="1504">
        <f>H27</f>
        <v>100</v>
      </c>
      <c r="V27" s="1503" t="s">
        <v>8</v>
      </c>
      <c r="W27" s="1504">
        <f>J27</f>
        <v>100</v>
      </c>
      <c r="X27" s="1505"/>
      <c r="Y27" s="3499"/>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99"/>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99"/>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99"/>
      <c r="Q29" s="1507">
        <f t="shared" si="11"/>
        <v>111</v>
      </c>
      <c r="R29" s="1508" t="s">
        <v>8</v>
      </c>
      <c r="S29" s="1509">
        <f t="shared" si="12"/>
        <v>100</v>
      </c>
      <c r="T29" s="1508" t="s">
        <v>8</v>
      </c>
      <c r="U29" s="1509">
        <f t="shared" si="13"/>
        <v>100</v>
      </c>
      <c r="V29" s="1508" t="s">
        <v>8</v>
      </c>
      <c r="W29" s="1509">
        <f t="shared" si="14"/>
        <v>100</v>
      </c>
      <c r="X29" s="1502"/>
      <c r="Y29" s="3499"/>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99"/>
      <c r="Q30" s="1507">
        <f t="shared" si="11"/>
        <v>111</v>
      </c>
      <c r="R30" s="1508" t="s">
        <v>8</v>
      </c>
      <c r="S30" s="1509">
        <f t="shared" si="12"/>
        <v>100</v>
      </c>
      <c r="T30" s="1508" t="s">
        <v>8</v>
      </c>
      <c r="U30" s="1509">
        <f t="shared" si="13"/>
        <v>100</v>
      </c>
      <c r="V30" s="1508" t="s">
        <v>8</v>
      </c>
      <c r="W30" s="1509">
        <f t="shared" si="14"/>
        <v>100</v>
      </c>
      <c r="X30" s="1502"/>
      <c r="Y30" s="3499"/>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99"/>
      <c r="Q31" s="1507">
        <f t="shared" si="11"/>
        <v>111</v>
      </c>
      <c r="R31" s="1508" t="s">
        <v>8</v>
      </c>
      <c r="S31" s="1509">
        <f t="shared" si="12"/>
        <v>100</v>
      </c>
      <c r="T31" s="1508" t="s">
        <v>8</v>
      </c>
      <c r="U31" s="1509">
        <f t="shared" si="13"/>
        <v>100</v>
      </c>
      <c r="V31" s="1508" t="s">
        <v>8</v>
      </c>
      <c r="W31" s="1509">
        <f t="shared" si="14"/>
        <v>100</v>
      </c>
      <c r="X31" s="1502"/>
      <c r="Y31" s="3499"/>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00" t="s">
        <v>544</v>
      </c>
      <c r="Q32" s="1507" t="str">
        <f t="shared" si="11"/>
        <v>商业类型</v>
      </c>
      <c r="R32" s="1508" t="s">
        <v>8</v>
      </c>
      <c r="S32" s="1509">
        <f t="shared" si="12"/>
        <v>100</v>
      </c>
      <c r="T32" s="1508" t="s">
        <v>8</v>
      </c>
      <c r="U32" s="1509">
        <f t="shared" si="13"/>
        <v>100</v>
      </c>
      <c r="V32" s="1508" t="s">
        <v>8</v>
      </c>
      <c r="W32" s="1509">
        <f t="shared" si="14"/>
        <v>100</v>
      </c>
      <c r="X32" s="1502"/>
      <c r="Y32" s="3501"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01"/>
      <c r="Q33" s="1536" t="str">
        <f t="shared" si="11"/>
        <v>项目建筑规模</v>
      </c>
      <c r="R33" s="1512" t="s">
        <v>8</v>
      </c>
      <c r="S33" s="1513" t="e">
        <f t="shared" si="12"/>
        <v>#N/A</v>
      </c>
      <c r="T33" s="1512" t="s">
        <v>8</v>
      </c>
      <c r="U33" s="1513" t="e">
        <f t="shared" si="13"/>
        <v>#N/A</v>
      </c>
      <c r="V33" s="1512" t="s">
        <v>8</v>
      </c>
      <c r="W33" s="1513" t="e">
        <f t="shared" si="14"/>
        <v>#N/A</v>
      </c>
      <c r="X33" s="1514"/>
      <c r="Y33" s="3501"/>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01"/>
      <c r="Q34" s="1507" t="str">
        <f t="shared" si="11"/>
        <v>建筑结构</v>
      </c>
      <c r="R34" s="1508" t="s">
        <v>8</v>
      </c>
      <c r="S34" s="1509">
        <f t="shared" si="12"/>
        <v>100</v>
      </c>
      <c r="T34" s="1508" t="s">
        <v>8</v>
      </c>
      <c r="U34" s="1509">
        <f t="shared" si="13"/>
        <v>100</v>
      </c>
      <c r="V34" s="1508" t="s">
        <v>8</v>
      </c>
      <c r="W34" s="1509">
        <f t="shared" si="14"/>
        <v>100</v>
      </c>
      <c r="X34" s="1502"/>
      <c r="Y34" s="3501"/>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01"/>
      <c r="Q35" s="1507" t="str">
        <f t="shared" si="11"/>
        <v>公共部分装修</v>
      </c>
      <c r="R35" s="1508" t="s">
        <v>8</v>
      </c>
      <c r="S35" s="1509">
        <f t="shared" si="12"/>
        <v>100</v>
      </c>
      <c r="T35" s="1508" t="s">
        <v>8</v>
      </c>
      <c r="U35" s="1509">
        <f t="shared" si="13"/>
        <v>100</v>
      </c>
      <c r="V35" s="1508" t="s">
        <v>8</v>
      </c>
      <c r="W35" s="1509">
        <f t="shared" si="14"/>
        <v>100</v>
      </c>
      <c r="X35" s="1502"/>
      <c r="Y35" s="3501"/>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01"/>
      <c r="Q36" s="1507" t="str">
        <f t="shared" si="11"/>
        <v>成新度</v>
      </c>
      <c r="R36" s="1508" t="s">
        <v>8</v>
      </c>
      <c r="S36" s="1509" t="e">
        <f t="shared" si="12"/>
        <v>#N/A</v>
      </c>
      <c r="T36" s="1508" t="s">
        <v>8</v>
      </c>
      <c r="U36" s="1509" t="e">
        <f t="shared" si="13"/>
        <v>#N/A</v>
      </c>
      <c r="V36" s="1508" t="s">
        <v>8</v>
      </c>
      <c r="W36" s="1509" t="e">
        <f t="shared" si="14"/>
        <v>#N/A</v>
      </c>
      <c r="X36" s="1502"/>
      <c r="Y36" s="3501"/>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01"/>
      <c r="Q37" s="1134" t="str">
        <f t="shared" si="11"/>
        <v>市政基础设施</v>
      </c>
      <c r="R37" s="1503" t="s">
        <v>8</v>
      </c>
      <c r="S37" s="1504">
        <f t="shared" si="12"/>
        <v>100</v>
      </c>
      <c r="T37" s="1503" t="s">
        <v>8</v>
      </c>
      <c r="U37" s="1504">
        <f t="shared" si="13"/>
        <v>100</v>
      </c>
      <c r="V37" s="1503" t="s">
        <v>8</v>
      </c>
      <c r="W37" s="1504">
        <f t="shared" si="14"/>
        <v>100</v>
      </c>
      <c r="X37" s="1505"/>
      <c r="Y37" s="3501"/>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01" t="s">
        <v>760</v>
      </c>
      <c r="Q38" s="1507" t="str">
        <f t="shared" si="11"/>
        <v>业态</v>
      </c>
      <c r="R38" s="1508" t="s">
        <v>8</v>
      </c>
      <c r="S38" s="1509">
        <f t="shared" si="12"/>
        <v>100</v>
      </c>
      <c r="T38" s="1508" t="s">
        <v>8</v>
      </c>
      <c r="U38" s="1509">
        <f t="shared" si="13"/>
        <v>100</v>
      </c>
      <c r="V38" s="1508" t="s">
        <v>8</v>
      </c>
      <c r="W38" s="1509">
        <f t="shared" si="14"/>
        <v>100</v>
      </c>
      <c r="X38" s="1502"/>
      <c r="Y38" s="3501"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01"/>
      <c r="Q39" s="1507" t="str">
        <f t="shared" si="11"/>
        <v>层高</v>
      </c>
      <c r="R39" s="1508" t="s">
        <v>8</v>
      </c>
      <c r="S39" s="1509">
        <f t="shared" si="12"/>
        <v>100</v>
      </c>
      <c r="T39" s="1508" t="s">
        <v>8</v>
      </c>
      <c r="U39" s="1509">
        <f t="shared" si="13"/>
        <v>100</v>
      </c>
      <c r="V39" s="1508" t="s">
        <v>8</v>
      </c>
      <c r="W39" s="1509">
        <f t="shared" si="14"/>
        <v>100</v>
      </c>
      <c r="X39" s="1502"/>
      <c r="Y39" s="3501"/>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01"/>
      <c r="Q40" s="1507" t="str">
        <f t="shared" si="11"/>
        <v>单套建筑面积</v>
      </c>
      <c r="R40" s="1508" t="s">
        <v>8</v>
      </c>
      <c r="S40" s="1509">
        <f t="shared" si="12"/>
        <v>100</v>
      </c>
      <c r="T40" s="1508" t="s">
        <v>8</v>
      </c>
      <c r="U40" s="1509">
        <f t="shared" si="13"/>
        <v>100</v>
      </c>
      <c r="V40" s="1508" t="s">
        <v>8</v>
      </c>
      <c r="W40" s="1509">
        <f t="shared" si="14"/>
        <v>100</v>
      </c>
      <c r="X40" s="1502"/>
      <c r="Y40" s="3501"/>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01"/>
      <c r="Q41" s="1536" t="str">
        <f t="shared" si="11"/>
        <v>进深比</v>
      </c>
      <c r="R41" s="1512" t="s">
        <v>8</v>
      </c>
      <c r="S41" s="1513">
        <f t="shared" si="12"/>
        <v>100</v>
      </c>
      <c r="T41" s="1512" t="s">
        <v>8</v>
      </c>
      <c r="U41" s="1513">
        <f t="shared" si="13"/>
        <v>100</v>
      </c>
      <c r="V41" s="1512" t="s">
        <v>8</v>
      </c>
      <c r="W41" s="1513">
        <f t="shared" si="14"/>
        <v>100</v>
      </c>
      <c r="X41" s="1514"/>
      <c r="Y41" s="3501"/>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01"/>
      <c r="Q42" s="1507" t="str">
        <f t="shared" si="11"/>
        <v>内部装修</v>
      </c>
      <c r="R42" s="1508" t="s">
        <v>8</v>
      </c>
      <c r="S42" s="1509">
        <f t="shared" si="12"/>
        <v>100</v>
      </c>
      <c r="T42" s="1508" t="s">
        <v>8</v>
      </c>
      <c r="U42" s="1509">
        <f t="shared" si="13"/>
        <v>100</v>
      </c>
      <c r="V42" s="1508" t="s">
        <v>8</v>
      </c>
      <c r="W42" s="1509">
        <f t="shared" si="14"/>
        <v>100</v>
      </c>
      <c r="X42" s="1502"/>
      <c r="Y42" s="3501"/>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01"/>
      <c r="Q43" s="1507" t="str">
        <f t="shared" si="11"/>
        <v>内部装修维护情况</v>
      </c>
      <c r="R43" s="1508" t="s">
        <v>8</v>
      </c>
      <c r="S43" s="1509">
        <f t="shared" si="12"/>
        <v>100</v>
      </c>
      <c r="T43" s="1508" t="s">
        <v>8</v>
      </c>
      <c r="U43" s="1509">
        <f t="shared" si="13"/>
        <v>100</v>
      </c>
      <c r="V43" s="1508" t="s">
        <v>8</v>
      </c>
      <c r="W43" s="1509">
        <f t="shared" si="14"/>
        <v>100</v>
      </c>
      <c r="X43" s="1502"/>
      <c r="Y43" s="3501"/>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01"/>
      <c r="Q44" s="1134">
        <f t="shared" si="11"/>
        <v>111</v>
      </c>
      <c r="R44" s="1503" t="s">
        <v>8</v>
      </c>
      <c r="S44" s="1504">
        <f t="shared" si="12"/>
        <v>100</v>
      </c>
      <c r="T44" s="1503" t="s">
        <v>8</v>
      </c>
      <c r="U44" s="1504">
        <f t="shared" si="13"/>
        <v>100</v>
      </c>
      <c r="V44" s="1503" t="s">
        <v>8</v>
      </c>
      <c r="W44" s="1504">
        <f t="shared" si="14"/>
        <v>100</v>
      </c>
      <c r="X44" s="1505"/>
      <c r="Y44" s="3501"/>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01"/>
      <c r="Q45" s="1507">
        <f t="shared" si="11"/>
        <v>111</v>
      </c>
      <c r="R45" s="1508" t="s">
        <v>8</v>
      </c>
      <c r="S45" s="1509">
        <f t="shared" si="12"/>
        <v>100</v>
      </c>
      <c r="T45" s="1508" t="s">
        <v>8</v>
      </c>
      <c r="U45" s="1509">
        <f t="shared" si="13"/>
        <v>100</v>
      </c>
      <c r="V45" s="1508" t="s">
        <v>8</v>
      </c>
      <c r="W45" s="1509">
        <f t="shared" si="14"/>
        <v>100</v>
      </c>
      <c r="X45" s="1502"/>
      <c r="Y45" s="3501"/>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77"/>
      <c r="Q46" s="1507">
        <f t="shared" si="11"/>
        <v>111</v>
      </c>
      <c r="R46" s="1508" t="s">
        <v>8</v>
      </c>
      <c r="S46" s="1509">
        <f t="shared" si="12"/>
        <v>100</v>
      </c>
      <c r="T46" s="1508" t="s">
        <v>8</v>
      </c>
      <c r="U46" s="1509">
        <f t="shared" si="13"/>
        <v>100</v>
      </c>
      <c r="V46" s="1508" t="s">
        <v>8</v>
      </c>
      <c r="W46" s="1509">
        <f t="shared" si="14"/>
        <v>100</v>
      </c>
      <c r="X46" s="1502"/>
      <c r="Y46" s="3577"/>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464" t="str">
        <f>A47</f>
        <v>成交单价（元/平方米）</v>
      </c>
      <c r="Q47" s="3464"/>
      <c r="R47" s="3576">
        <f>E47</f>
        <v>0</v>
      </c>
      <c r="S47" s="3576"/>
      <c r="T47" s="3576">
        <f>G47</f>
        <v>0</v>
      </c>
      <c r="U47" s="3576"/>
      <c r="V47" s="3576">
        <f>I47</f>
        <v>0</v>
      </c>
      <c r="W47" s="3576"/>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464" t="str">
        <f>A48</f>
        <v>比较价格（元/平方米）</v>
      </c>
      <c r="Q48" s="3464"/>
      <c r="R48" s="3576" t="e">
        <f>IF(F1="售价",ROUND(PRODUCT(R47,AA7:AA46),0),ROUND(PRODUCT(R47,AA7:AA46),1))</f>
        <v>#DIV/0!</v>
      </c>
      <c r="S48" s="3576"/>
      <c r="T48" s="3576" t="e">
        <f>IF(F1="售价",ROUND(PRODUCT(T47,AB7:AB46),0),ROUND(PRODUCT(T47,AB7:AB46),1))</f>
        <v>#DIV/0!</v>
      </c>
      <c r="U48" s="3576"/>
      <c r="V48" s="3576" t="e">
        <f>IF(F1="售价",ROUND(PRODUCT(V47,AC7:AC46),0),ROUND(PRODUCT(V47,AC7:AC46),1))</f>
        <v>#DIV/0!</v>
      </c>
      <c r="W48" s="3576"/>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42"/>
      <c r="L49" s="2026"/>
      <c r="M49" s="2027"/>
      <c r="N49" s="2016"/>
      <c r="O49" s="2027"/>
      <c r="P49" s="3461" t="str">
        <f>A49</f>
        <v>估价对象XX用房的比较价格（楼面单价，元/平方米）</v>
      </c>
      <c r="Q49" s="3462"/>
      <c r="R49" s="3575" t="e">
        <f>IF(F1="售价",ROUND(IF(D48="简单平均",AVERAGE(R48:V48),R48*F48+T48*H48+V48*J48),0),ROUND(IF(D48="简单平均",AVERAGE(R48:V48),R48*F48+T48*H48+V48*J48),1))</f>
        <v>#DIV/0!</v>
      </c>
      <c r="S49" s="3575"/>
      <c r="T49" s="3575"/>
      <c r="U49" s="3575"/>
      <c r="V49" s="3575"/>
      <c r="W49" s="3575"/>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2021-9</v>
      </c>
      <c r="D58" s="2521">
        <f>EDATE(C58,-1)</f>
        <v>44409</v>
      </c>
      <c r="E58" s="2521">
        <f t="shared" ref="E58:O58" si="16">EDATE(D58,-1)</f>
        <v>44378</v>
      </c>
      <c r="F58" s="2521">
        <f t="shared" si="16"/>
        <v>44348</v>
      </c>
      <c r="G58" s="2521">
        <f t="shared" si="16"/>
        <v>44317</v>
      </c>
      <c r="H58" s="2521">
        <f t="shared" si="16"/>
        <v>44287</v>
      </c>
      <c r="I58" s="2521">
        <f t="shared" si="16"/>
        <v>44256</v>
      </c>
      <c r="J58" s="2521">
        <f t="shared" si="16"/>
        <v>44228</v>
      </c>
      <c r="K58" s="2521">
        <f t="shared" si="16"/>
        <v>44197</v>
      </c>
      <c r="L58" s="2521">
        <f t="shared" si="16"/>
        <v>44166</v>
      </c>
      <c r="M58" s="2521">
        <f t="shared" si="16"/>
        <v>44136</v>
      </c>
      <c r="N58" s="2521">
        <f t="shared" si="16"/>
        <v>44105</v>
      </c>
      <c r="O58" s="2521">
        <f t="shared" si="16"/>
        <v>44075</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470" t="s">
        <v>516</v>
      </c>
      <c r="D4" s="3471"/>
      <c r="E4" s="3504" t="s">
        <v>517</v>
      </c>
      <c r="F4" s="3505"/>
      <c r="G4" s="3470" t="s">
        <v>518</v>
      </c>
      <c r="H4" s="3471"/>
      <c r="I4" s="3470" t="s">
        <v>519</v>
      </c>
      <c r="J4" s="3471"/>
      <c r="K4" s="508" t="s">
        <v>520</v>
      </c>
      <c r="L4" s="2015"/>
      <c r="M4" s="2016"/>
      <c r="N4" s="2016"/>
      <c r="O4" s="2016"/>
      <c r="P4" s="3579" t="s">
        <v>521</v>
      </c>
      <c r="Q4" s="3473"/>
      <c r="R4" s="3478" t="s">
        <v>517</v>
      </c>
      <c r="S4" s="3479"/>
      <c r="T4" s="3478" t="s">
        <v>518</v>
      </c>
      <c r="U4" s="3479"/>
      <c r="V4" s="3465" t="s">
        <v>519</v>
      </c>
      <c r="W4" s="3465"/>
      <c r="X4" s="1502"/>
      <c r="Y4" s="3478" t="s">
        <v>521</v>
      </c>
      <c r="Z4" s="3479"/>
      <c r="AA4" s="3467" t="s">
        <v>517</v>
      </c>
      <c r="AB4" s="3467" t="s">
        <v>518</v>
      </c>
      <c r="AC4" s="3467" t="s">
        <v>519</v>
      </c>
    </row>
    <row r="5" spans="1:29" ht="15">
      <c r="A5" s="509"/>
      <c r="B5" s="510"/>
      <c r="C5" s="3486" t="s">
        <v>2898</v>
      </c>
      <c r="D5" s="3487"/>
      <c r="E5" s="3506" t="s">
        <v>2899</v>
      </c>
      <c r="F5" s="3507"/>
      <c r="G5" s="3486" t="s">
        <v>2900</v>
      </c>
      <c r="H5" s="3487"/>
      <c r="I5" s="3486" t="s">
        <v>2901</v>
      </c>
      <c r="J5" s="3487"/>
      <c r="K5" s="508"/>
      <c r="L5" s="2015"/>
      <c r="M5" s="2016"/>
      <c r="N5" s="2016"/>
      <c r="O5" s="2016"/>
      <c r="P5" s="3580"/>
      <c r="Q5" s="3475"/>
      <c r="R5" s="3480"/>
      <c r="S5" s="3481"/>
      <c r="T5" s="3480"/>
      <c r="U5" s="3481"/>
      <c r="V5" s="3465"/>
      <c r="W5" s="3465"/>
      <c r="X5" s="1502"/>
      <c r="Y5" s="3480"/>
      <c r="Z5" s="3481"/>
      <c r="AA5" s="3468"/>
      <c r="AB5" s="3468"/>
      <c r="AC5" s="3468"/>
    </row>
    <row r="6" spans="1:29" ht="15.75" thickBot="1">
      <c r="A6" s="511"/>
      <c r="B6" s="512"/>
      <c r="C6" s="3484" t="s">
        <v>2902</v>
      </c>
      <c r="D6" s="3485"/>
      <c r="E6" s="3502" t="s">
        <v>2902</v>
      </c>
      <c r="F6" s="3503"/>
      <c r="G6" s="3484" t="s">
        <v>2902</v>
      </c>
      <c r="H6" s="3485"/>
      <c r="I6" s="3484" t="s">
        <v>2902</v>
      </c>
      <c r="J6" s="3485"/>
      <c r="K6" s="508" t="s">
        <v>522</v>
      </c>
      <c r="L6" s="2015"/>
      <c r="M6" s="2016"/>
      <c r="N6" s="2016"/>
      <c r="O6" s="2016"/>
      <c r="P6" s="3581"/>
      <c r="Q6" s="3477"/>
      <c r="R6" s="3480"/>
      <c r="S6" s="3481"/>
      <c r="T6" s="3482"/>
      <c r="U6" s="3483"/>
      <c r="V6" s="3465"/>
      <c r="W6" s="3465"/>
      <c r="X6" s="1502"/>
      <c r="Y6" s="3482"/>
      <c r="Z6" s="3483"/>
      <c r="AA6" s="3469"/>
      <c r="AB6" s="3469"/>
      <c r="AC6" s="3469"/>
    </row>
    <row r="7" spans="1:29" s="1203" customFormat="1" ht="15.75" thickBot="1">
      <c r="A7" s="2629"/>
      <c r="B7" s="2636" t="s">
        <v>523</v>
      </c>
      <c r="C7" s="513">
        <f>'数据-取费表'!B2</f>
        <v>44458</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97" t="s">
        <v>524</v>
      </c>
      <c r="Q7" s="3497"/>
      <c r="R7" s="1503" t="s">
        <v>8</v>
      </c>
      <c r="S7" s="1504">
        <f t="shared" ref="S7:S15" si="0">F7</f>
        <v>0</v>
      </c>
      <c r="T7" s="1503" t="s">
        <v>8</v>
      </c>
      <c r="U7" s="1504">
        <f t="shared" ref="U7:U15" si="1">H7</f>
        <v>0</v>
      </c>
      <c r="V7" s="1503" t="s">
        <v>8</v>
      </c>
      <c r="W7" s="1504">
        <f t="shared" ref="W7:W15" si="2">J7</f>
        <v>0</v>
      </c>
      <c r="X7" s="1505"/>
      <c r="Y7" s="3495" t="s">
        <v>524</v>
      </c>
      <c r="Z7" s="3496"/>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97" t="s">
        <v>527</v>
      </c>
      <c r="Q8" s="3496"/>
      <c r="R8" s="1503" t="s">
        <v>8</v>
      </c>
      <c r="S8" s="1504">
        <f t="shared" si="0"/>
        <v>0</v>
      </c>
      <c r="T8" s="1503" t="s">
        <v>8</v>
      </c>
      <c r="U8" s="1504">
        <f t="shared" si="1"/>
        <v>0</v>
      </c>
      <c r="V8" s="1503" t="s">
        <v>8</v>
      </c>
      <c r="W8" s="1504">
        <f t="shared" si="2"/>
        <v>0</v>
      </c>
      <c r="X8" s="1505"/>
      <c r="Y8" s="3495" t="s">
        <v>527</v>
      </c>
      <c r="Z8" s="3496"/>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64" t="s">
        <v>529</v>
      </c>
      <c r="Q9" s="1134" t="str">
        <f t="shared" ref="Q9:Q15" si="6">B9</f>
        <v>用途</v>
      </c>
      <c r="R9" s="1503" t="s">
        <v>8</v>
      </c>
      <c r="S9" s="1504">
        <f t="shared" si="0"/>
        <v>100</v>
      </c>
      <c r="T9" s="1503" t="s">
        <v>8</v>
      </c>
      <c r="U9" s="1504">
        <f t="shared" si="1"/>
        <v>100</v>
      </c>
      <c r="V9" s="1503" t="s">
        <v>8</v>
      </c>
      <c r="W9" s="1504">
        <f t="shared" si="2"/>
        <v>100</v>
      </c>
      <c r="X9" s="1505"/>
      <c r="Y9" s="3404"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64"/>
      <c r="Q10" s="1134" t="str">
        <f t="shared" si="6"/>
        <v>土地使用年限（年）</v>
      </c>
      <c r="R10" s="1503" t="s">
        <v>8</v>
      </c>
      <c r="S10" s="1504">
        <f t="shared" si="0"/>
        <v>100</v>
      </c>
      <c r="T10" s="1503" t="s">
        <v>8</v>
      </c>
      <c r="U10" s="1504">
        <f t="shared" si="1"/>
        <v>100</v>
      </c>
      <c r="V10" s="1503" t="s">
        <v>8</v>
      </c>
      <c r="W10" s="1504">
        <f t="shared" si="2"/>
        <v>100</v>
      </c>
      <c r="X10" s="1505"/>
      <c r="Y10" s="3404"/>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64"/>
      <c r="Q11" s="1134" t="str">
        <f t="shared" si="6"/>
        <v>容积率</v>
      </c>
      <c r="R11" s="1503" t="s">
        <v>8</v>
      </c>
      <c r="S11" s="1504" t="e">
        <f t="shared" si="0"/>
        <v>#N/A</v>
      </c>
      <c r="T11" s="1503" t="s">
        <v>8</v>
      </c>
      <c r="U11" s="1504" t="e">
        <f t="shared" si="1"/>
        <v>#N/A</v>
      </c>
      <c r="V11" s="1503" t="s">
        <v>8</v>
      </c>
      <c r="W11" s="1504" t="e">
        <f t="shared" si="2"/>
        <v>#N/A</v>
      </c>
      <c r="X11" s="1505"/>
      <c r="Y11" s="3404"/>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64"/>
      <c r="Q12" s="1134">
        <f t="shared" si="6"/>
        <v>111</v>
      </c>
      <c r="R12" s="1503" t="s">
        <v>8</v>
      </c>
      <c r="S12" s="1504">
        <f t="shared" si="0"/>
        <v>100</v>
      </c>
      <c r="T12" s="1503" t="s">
        <v>8</v>
      </c>
      <c r="U12" s="1504">
        <f t="shared" si="1"/>
        <v>100</v>
      </c>
      <c r="V12" s="1503" t="s">
        <v>8</v>
      </c>
      <c r="W12" s="1504">
        <f t="shared" si="2"/>
        <v>100</v>
      </c>
      <c r="X12" s="1505"/>
      <c r="Y12" s="3404"/>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64"/>
      <c r="Q13" s="1134">
        <f t="shared" si="6"/>
        <v>111</v>
      </c>
      <c r="R13" s="1503" t="s">
        <v>8</v>
      </c>
      <c r="S13" s="1504">
        <f t="shared" si="0"/>
        <v>100</v>
      </c>
      <c r="T13" s="1503" t="s">
        <v>8</v>
      </c>
      <c r="U13" s="1504">
        <f t="shared" si="1"/>
        <v>100</v>
      </c>
      <c r="V13" s="1503" t="s">
        <v>8</v>
      </c>
      <c r="W13" s="1504">
        <f t="shared" si="2"/>
        <v>100</v>
      </c>
      <c r="X13" s="1505"/>
      <c r="Y13" s="3404"/>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64"/>
      <c r="Q14" s="1134">
        <f t="shared" si="6"/>
        <v>111</v>
      </c>
      <c r="R14" s="1503" t="s">
        <v>8</v>
      </c>
      <c r="S14" s="1504">
        <f t="shared" si="0"/>
        <v>100</v>
      </c>
      <c r="T14" s="1503" t="s">
        <v>8</v>
      </c>
      <c r="U14" s="1504">
        <f t="shared" si="1"/>
        <v>100</v>
      </c>
      <c r="V14" s="1503" t="s">
        <v>8</v>
      </c>
      <c r="W14" s="1504">
        <f t="shared" si="2"/>
        <v>100</v>
      </c>
      <c r="X14" s="1505"/>
      <c r="Y14" s="3404"/>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498" t="s">
        <v>534</v>
      </c>
      <c r="Q15" s="1507" t="str">
        <f t="shared" si="6"/>
        <v>办公集聚程度</v>
      </c>
      <c r="R15" s="1508" t="s">
        <v>8</v>
      </c>
      <c r="S15" s="1509">
        <f t="shared" si="0"/>
        <v>100</v>
      </c>
      <c r="T15" s="1508" t="s">
        <v>8</v>
      </c>
      <c r="U15" s="1509">
        <f t="shared" si="1"/>
        <v>100</v>
      </c>
      <c r="V15" s="1508" t="s">
        <v>8</v>
      </c>
      <c r="W15" s="1509">
        <f t="shared" si="2"/>
        <v>100</v>
      </c>
      <c r="X15" s="1502"/>
      <c r="Y15" s="3498"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499"/>
      <c r="Q16" s="1507"/>
      <c r="R16" s="1508"/>
      <c r="S16" s="1509"/>
      <c r="T16" s="1508"/>
      <c r="U16" s="1509"/>
      <c r="V16" s="1508"/>
      <c r="W16" s="1509"/>
      <c r="X16" s="1502"/>
      <c r="Y16" s="3499"/>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499"/>
      <c r="Q17" s="1507" t="str">
        <f>B17</f>
        <v>交通便捷度</v>
      </c>
      <c r="R17" s="1508" t="s">
        <v>8</v>
      </c>
      <c r="S17" s="1509">
        <f>F17</f>
        <v>100</v>
      </c>
      <c r="T17" s="1508" t="s">
        <v>8</v>
      </c>
      <c r="U17" s="1509">
        <f>H17</f>
        <v>100</v>
      </c>
      <c r="V17" s="1508" t="s">
        <v>8</v>
      </c>
      <c r="W17" s="1509">
        <f>J17</f>
        <v>100</v>
      </c>
      <c r="X17" s="1502"/>
      <c r="Y17" s="3499"/>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499"/>
      <c r="Q18" s="1507"/>
      <c r="R18" s="1508"/>
      <c r="S18" s="1509"/>
      <c r="T18" s="1508"/>
      <c r="U18" s="1509"/>
      <c r="V18" s="1508"/>
      <c r="W18" s="1509"/>
      <c r="X18" s="1502"/>
      <c r="Y18" s="3499"/>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499"/>
      <c r="Q19" s="1507" t="str">
        <f>B19</f>
        <v>公共配套设施</v>
      </c>
      <c r="R19" s="1508" t="s">
        <v>8</v>
      </c>
      <c r="S19" s="1509">
        <f>F19</f>
        <v>100</v>
      </c>
      <c r="T19" s="1508" t="s">
        <v>8</v>
      </c>
      <c r="U19" s="1509">
        <f>H19</f>
        <v>100</v>
      </c>
      <c r="V19" s="1508" t="s">
        <v>8</v>
      </c>
      <c r="W19" s="1509">
        <f>J19</f>
        <v>100</v>
      </c>
      <c r="X19" s="1502"/>
      <c r="Y19" s="3499"/>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499"/>
      <c r="Q20" s="1507"/>
      <c r="R20" s="1508"/>
      <c r="S20" s="1509"/>
      <c r="T20" s="1508"/>
      <c r="U20" s="1509"/>
      <c r="V20" s="1508"/>
      <c r="W20" s="1509"/>
      <c r="X20" s="1502"/>
      <c r="Y20" s="3499"/>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499"/>
      <c r="Q21" s="2429" t="str">
        <f>B21</f>
        <v>基础设施水平</v>
      </c>
      <c r="R21" s="1508" t="s">
        <v>8</v>
      </c>
      <c r="S21" s="1509">
        <f>F21</f>
        <v>100</v>
      </c>
      <c r="T21" s="1508" t="s">
        <v>8</v>
      </c>
      <c r="U21" s="1509">
        <f>H21</f>
        <v>100</v>
      </c>
      <c r="V21" s="1508" t="s">
        <v>8</v>
      </c>
      <c r="W21" s="1509">
        <f>J21</f>
        <v>100</v>
      </c>
      <c r="X21" s="2431"/>
      <c r="Y21" s="3499"/>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499"/>
      <c r="Q22" s="2429"/>
      <c r="R22" s="1508"/>
      <c r="S22" s="1509"/>
      <c r="T22" s="1508"/>
      <c r="U22" s="1509"/>
      <c r="V22" s="1508"/>
      <c r="W22" s="1509"/>
      <c r="X22" s="2431"/>
      <c r="Y22" s="3499"/>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499"/>
      <c r="Q23" s="1507" t="str">
        <f>B23</f>
        <v>环境质量</v>
      </c>
      <c r="R23" s="1508" t="s">
        <v>8</v>
      </c>
      <c r="S23" s="1509">
        <f>F23</f>
        <v>100</v>
      </c>
      <c r="T23" s="1508" t="s">
        <v>8</v>
      </c>
      <c r="U23" s="1509">
        <f>H23</f>
        <v>100</v>
      </c>
      <c r="V23" s="1508" t="s">
        <v>8</v>
      </c>
      <c r="W23" s="1509">
        <f>J23</f>
        <v>100</v>
      </c>
      <c r="X23" s="1502"/>
      <c r="Y23" s="3499"/>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499"/>
      <c r="Q24" s="1507"/>
      <c r="R24" s="1508"/>
      <c r="S24" s="1509"/>
      <c r="T24" s="1508"/>
      <c r="U24" s="1509"/>
      <c r="V24" s="1508"/>
      <c r="W24" s="1509"/>
      <c r="X24" s="1502"/>
      <c r="Y24" s="3499"/>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499"/>
      <c r="Q25" s="1507" t="str">
        <f>B25</f>
        <v>毗邻道路的类型与等级</v>
      </c>
      <c r="R25" s="1508" t="s">
        <v>8</v>
      </c>
      <c r="S25" s="1509">
        <f>F25</f>
        <v>100</v>
      </c>
      <c r="T25" s="1508" t="s">
        <v>8</v>
      </c>
      <c r="U25" s="1509">
        <f>H25</f>
        <v>100</v>
      </c>
      <c r="V25" s="1508" t="s">
        <v>8</v>
      </c>
      <c r="W25" s="1509">
        <f>J25</f>
        <v>100</v>
      </c>
      <c r="X25" s="1502"/>
      <c r="Y25" s="3499"/>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499"/>
      <c r="Q26" s="1507"/>
      <c r="R26" s="1508"/>
      <c r="S26" s="1509"/>
      <c r="T26" s="1508"/>
      <c r="U26" s="1509"/>
      <c r="V26" s="1508"/>
      <c r="W26" s="1509"/>
      <c r="X26" s="1502"/>
      <c r="Y26" s="3499"/>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99"/>
      <c r="Q27" s="1507" t="str">
        <f t="shared" ref="Q27:Q47" si="11">B27</f>
        <v>楼层</v>
      </c>
      <c r="R27" s="1508" t="s">
        <v>8</v>
      </c>
      <c r="S27" s="1509">
        <f>F27</f>
        <v>100</v>
      </c>
      <c r="T27" s="1508" t="s">
        <v>8</v>
      </c>
      <c r="U27" s="1509">
        <f>H27</f>
        <v>100</v>
      </c>
      <c r="V27" s="1508" t="s">
        <v>8</v>
      </c>
      <c r="W27" s="1509">
        <f>J27</f>
        <v>100</v>
      </c>
      <c r="X27" s="1502"/>
      <c r="Y27" s="3499"/>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499"/>
      <c r="Q28" s="1134" t="str">
        <f t="shared" si="11"/>
        <v>朝向</v>
      </c>
      <c r="R28" s="1503" t="s">
        <v>8</v>
      </c>
      <c r="S28" s="1504">
        <f>F28</f>
        <v>100</v>
      </c>
      <c r="T28" s="1503" t="s">
        <v>8</v>
      </c>
      <c r="U28" s="1504">
        <f>H28</f>
        <v>100</v>
      </c>
      <c r="V28" s="1503" t="s">
        <v>8</v>
      </c>
      <c r="W28" s="1504">
        <f>J28</f>
        <v>100</v>
      </c>
      <c r="X28" s="1505"/>
      <c r="Y28" s="3499"/>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499"/>
      <c r="Q29" s="1507">
        <f t="shared" si="11"/>
        <v>111</v>
      </c>
      <c r="R29" s="1508" t="s">
        <v>8</v>
      </c>
      <c r="S29" s="1509">
        <f t="shared" ref="S29:S47" si="12">F29</f>
        <v>100</v>
      </c>
      <c r="T29" s="1508" t="s">
        <v>8</v>
      </c>
      <c r="U29" s="1509">
        <f t="shared" ref="U29:U47" si="13">H29</f>
        <v>100</v>
      </c>
      <c r="V29" s="1508" t="s">
        <v>8</v>
      </c>
      <c r="W29" s="1509">
        <f t="shared" ref="W29:W47" si="14">J29</f>
        <v>100</v>
      </c>
      <c r="X29" s="1502"/>
      <c r="Y29" s="3499"/>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499"/>
      <c r="Q30" s="1507">
        <f t="shared" si="11"/>
        <v>111</v>
      </c>
      <c r="R30" s="1508" t="s">
        <v>8</v>
      </c>
      <c r="S30" s="1509">
        <f t="shared" si="12"/>
        <v>100</v>
      </c>
      <c r="T30" s="1508" t="s">
        <v>8</v>
      </c>
      <c r="U30" s="1509">
        <f t="shared" si="13"/>
        <v>100</v>
      </c>
      <c r="V30" s="1508" t="s">
        <v>8</v>
      </c>
      <c r="W30" s="1509">
        <f t="shared" si="14"/>
        <v>100</v>
      </c>
      <c r="X30" s="1502"/>
      <c r="Y30" s="3499"/>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499"/>
      <c r="Q31" s="1507">
        <f t="shared" si="11"/>
        <v>111</v>
      </c>
      <c r="R31" s="1508" t="s">
        <v>8</v>
      </c>
      <c r="S31" s="1509">
        <f t="shared" si="12"/>
        <v>100</v>
      </c>
      <c r="T31" s="1508" t="s">
        <v>8</v>
      </c>
      <c r="U31" s="1509">
        <f t="shared" si="13"/>
        <v>100</v>
      </c>
      <c r="V31" s="1508" t="s">
        <v>8</v>
      </c>
      <c r="W31" s="1509">
        <f t="shared" si="14"/>
        <v>100</v>
      </c>
      <c r="X31" s="1502"/>
      <c r="Y31" s="3499"/>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499"/>
      <c r="Q32" s="1507">
        <f t="shared" si="11"/>
        <v>111</v>
      </c>
      <c r="R32" s="1508" t="s">
        <v>8</v>
      </c>
      <c r="S32" s="1509">
        <f t="shared" si="12"/>
        <v>100</v>
      </c>
      <c r="T32" s="1508" t="s">
        <v>8</v>
      </c>
      <c r="U32" s="1509">
        <f t="shared" si="13"/>
        <v>100</v>
      </c>
      <c r="V32" s="1508" t="s">
        <v>8</v>
      </c>
      <c r="W32" s="1509">
        <f t="shared" si="14"/>
        <v>100</v>
      </c>
      <c r="X32" s="1502"/>
      <c r="Y32" s="3499"/>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00" t="s">
        <v>544</v>
      </c>
      <c r="Q33" s="1507" t="str">
        <f t="shared" si="11"/>
        <v>建筑类型</v>
      </c>
      <c r="R33" s="1508" t="s">
        <v>8</v>
      </c>
      <c r="S33" s="1509">
        <f t="shared" si="12"/>
        <v>100</v>
      </c>
      <c r="T33" s="1508" t="s">
        <v>8</v>
      </c>
      <c r="U33" s="1509">
        <f t="shared" si="13"/>
        <v>100</v>
      </c>
      <c r="V33" s="1508" t="s">
        <v>8</v>
      </c>
      <c r="W33" s="1509">
        <f t="shared" si="14"/>
        <v>100</v>
      </c>
      <c r="X33" s="1502"/>
      <c r="Y33" s="3501"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01"/>
      <c r="Q34" s="1536" t="str">
        <f t="shared" si="11"/>
        <v>项目建筑规模</v>
      </c>
      <c r="R34" s="1512" t="s">
        <v>8</v>
      </c>
      <c r="S34" s="1513" t="e">
        <f t="shared" si="12"/>
        <v>#N/A</v>
      </c>
      <c r="T34" s="1512" t="s">
        <v>8</v>
      </c>
      <c r="U34" s="1513" t="e">
        <f t="shared" si="13"/>
        <v>#N/A</v>
      </c>
      <c r="V34" s="1512" t="s">
        <v>8</v>
      </c>
      <c r="W34" s="1513" t="e">
        <f t="shared" si="14"/>
        <v>#N/A</v>
      </c>
      <c r="X34" s="1514"/>
      <c r="Y34" s="3501"/>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01"/>
      <c r="Q35" s="1507" t="str">
        <f t="shared" si="11"/>
        <v>建筑结构</v>
      </c>
      <c r="R35" s="1508" t="s">
        <v>8</v>
      </c>
      <c r="S35" s="1509">
        <f t="shared" si="12"/>
        <v>100</v>
      </c>
      <c r="T35" s="1508" t="s">
        <v>8</v>
      </c>
      <c r="U35" s="1509">
        <f t="shared" si="13"/>
        <v>100</v>
      </c>
      <c r="V35" s="1508" t="s">
        <v>8</v>
      </c>
      <c r="W35" s="1509">
        <f t="shared" si="14"/>
        <v>100</v>
      </c>
      <c r="X35" s="1502"/>
      <c r="Y35" s="3501"/>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01"/>
      <c r="Q36" s="1507" t="str">
        <f t="shared" si="11"/>
        <v>公共部分装修</v>
      </c>
      <c r="R36" s="1508" t="s">
        <v>8</v>
      </c>
      <c r="S36" s="1509">
        <f t="shared" si="12"/>
        <v>100</v>
      </c>
      <c r="T36" s="1508" t="s">
        <v>8</v>
      </c>
      <c r="U36" s="1509">
        <f t="shared" si="13"/>
        <v>100</v>
      </c>
      <c r="V36" s="1508" t="s">
        <v>8</v>
      </c>
      <c r="W36" s="1509">
        <f t="shared" si="14"/>
        <v>100</v>
      </c>
      <c r="X36" s="1502"/>
      <c r="Y36" s="3501"/>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01"/>
      <c r="Q37" s="1507" t="str">
        <f t="shared" si="11"/>
        <v>成新度</v>
      </c>
      <c r="R37" s="1508" t="s">
        <v>8</v>
      </c>
      <c r="S37" s="1509" t="e">
        <f t="shared" si="12"/>
        <v>#N/A</v>
      </c>
      <c r="T37" s="1508" t="s">
        <v>8</v>
      </c>
      <c r="U37" s="1509" t="e">
        <f t="shared" si="13"/>
        <v>#N/A</v>
      </c>
      <c r="V37" s="1508" t="s">
        <v>8</v>
      </c>
      <c r="W37" s="1509" t="e">
        <f t="shared" si="14"/>
        <v>#N/A</v>
      </c>
      <c r="X37" s="1502"/>
      <c r="Y37" s="3501"/>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01"/>
      <c r="Q38" s="1134" t="str">
        <f t="shared" si="11"/>
        <v>写字楼等级</v>
      </c>
      <c r="R38" s="1503" t="s">
        <v>8</v>
      </c>
      <c r="S38" s="1504">
        <f t="shared" si="12"/>
        <v>100</v>
      </c>
      <c r="T38" s="1503" t="s">
        <v>8</v>
      </c>
      <c r="U38" s="1504">
        <f t="shared" si="13"/>
        <v>100</v>
      </c>
      <c r="V38" s="1503" t="s">
        <v>8</v>
      </c>
      <c r="W38" s="1504">
        <f t="shared" si="14"/>
        <v>100</v>
      </c>
      <c r="X38" s="1505"/>
      <c r="Y38" s="3501"/>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01" t="s">
        <v>544</v>
      </c>
      <c r="Q39" s="1507" t="str">
        <f t="shared" si="11"/>
        <v>物业管理</v>
      </c>
      <c r="R39" s="1508" t="s">
        <v>8</v>
      </c>
      <c r="S39" s="1509">
        <f t="shared" si="12"/>
        <v>100</v>
      </c>
      <c r="T39" s="1508" t="s">
        <v>8</v>
      </c>
      <c r="U39" s="1509">
        <f t="shared" si="13"/>
        <v>100</v>
      </c>
      <c r="V39" s="1508" t="s">
        <v>8</v>
      </c>
      <c r="W39" s="1509">
        <f t="shared" si="14"/>
        <v>100</v>
      </c>
      <c r="X39" s="1502"/>
      <c r="Y39" s="3501"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01"/>
      <c r="Q40" s="1507" t="str">
        <f t="shared" si="11"/>
        <v>市政基础设施</v>
      </c>
      <c r="R40" s="1508" t="s">
        <v>8</v>
      </c>
      <c r="S40" s="1509">
        <f t="shared" si="12"/>
        <v>100</v>
      </c>
      <c r="T40" s="1508" t="s">
        <v>8</v>
      </c>
      <c r="U40" s="1509">
        <f t="shared" si="13"/>
        <v>100</v>
      </c>
      <c r="V40" s="1508" t="s">
        <v>8</v>
      </c>
      <c r="W40" s="1509">
        <f t="shared" si="14"/>
        <v>100</v>
      </c>
      <c r="X40" s="1502"/>
      <c r="Y40" s="3501"/>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01"/>
      <c r="Q41" s="1507" t="str">
        <f t="shared" si="11"/>
        <v>层高</v>
      </c>
      <c r="R41" s="1508" t="s">
        <v>8</v>
      </c>
      <c r="S41" s="1509">
        <f t="shared" si="12"/>
        <v>100</v>
      </c>
      <c r="T41" s="1508" t="s">
        <v>8</v>
      </c>
      <c r="U41" s="1509">
        <f t="shared" si="13"/>
        <v>100</v>
      </c>
      <c r="V41" s="1508" t="s">
        <v>8</v>
      </c>
      <c r="W41" s="1509">
        <f t="shared" si="14"/>
        <v>100</v>
      </c>
      <c r="X41" s="1502"/>
      <c r="Y41" s="3501"/>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01"/>
      <c r="Q42" s="1536" t="str">
        <f t="shared" si="11"/>
        <v>单套建筑面积</v>
      </c>
      <c r="R42" s="1512" t="s">
        <v>8</v>
      </c>
      <c r="S42" s="1513">
        <f t="shared" si="12"/>
        <v>100</v>
      </c>
      <c r="T42" s="1512" t="s">
        <v>8</v>
      </c>
      <c r="U42" s="1513">
        <f t="shared" si="13"/>
        <v>100</v>
      </c>
      <c r="V42" s="1512" t="s">
        <v>8</v>
      </c>
      <c r="W42" s="1513">
        <f t="shared" si="14"/>
        <v>100</v>
      </c>
      <c r="X42" s="1514"/>
      <c r="Y42" s="3501"/>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01"/>
      <c r="Q43" s="1507" t="str">
        <f t="shared" si="11"/>
        <v>内部装修</v>
      </c>
      <c r="R43" s="1508" t="s">
        <v>8</v>
      </c>
      <c r="S43" s="1509">
        <f t="shared" si="12"/>
        <v>100</v>
      </c>
      <c r="T43" s="1508" t="s">
        <v>8</v>
      </c>
      <c r="U43" s="1509">
        <f t="shared" si="13"/>
        <v>100</v>
      </c>
      <c r="V43" s="1508" t="s">
        <v>8</v>
      </c>
      <c r="W43" s="1509">
        <f t="shared" si="14"/>
        <v>100</v>
      </c>
      <c r="X43" s="1502"/>
      <c r="Y43" s="3501"/>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01"/>
      <c r="Q44" s="1507" t="str">
        <f t="shared" si="11"/>
        <v>内部装修维护情况</v>
      </c>
      <c r="R44" s="1508" t="s">
        <v>8</v>
      </c>
      <c r="S44" s="1509">
        <f t="shared" si="12"/>
        <v>100</v>
      </c>
      <c r="T44" s="1508" t="s">
        <v>8</v>
      </c>
      <c r="U44" s="1509">
        <f t="shared" si="13"/>
        <v>100</v>
      </c>
      <c r="V44" s="1508" t="s">
        <v>8</v>
      </c>
      <c r="W44" s="1509">
        <f t="shared" si="14"/>
        <v>100</v>
      </c>
      <c r="X44" s="1502"/>
      <c r="Y44" s="3501"/>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01"/>
      <c r="Q45" s="1134">
        <f t="shared" si="11"/>
        <v>111</v>
      </c>
      <c r="R45" s="1503" t="s">
        <v>8</v>
      </c>
      <c r="S45" s="1504">
        <f t="shared" si="12"/>
        <v>100</v>
      </c>
      <c r="T45" s="1503" t="s">
        <v>8</v>
      </c>
      <c r="U45" s="1504">
        <f t="shared" si="13"/>
        <v>100</v>
      </c>
      <c r="V45" s="1503" t="s">
        <v>8</v>
      </c>
      <c r="W45" s="1504">
        <f t="shared" si="14"/>
        <v>100</v>
      </c>
      <c r="X45" s="1505"/>
      <c r="Y45" s="3501"/>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01"/>
      <c r="Q46" s="1507">
        <f t="shared" si="11"/>
        <v>111</v>
      </c>
      <c r="R46" s="1508" t="s">
        <v>8</v>
      </c>
      <c r="S46" s="1509">
        <f t="shared" si="12"/>
        <v>100</v>
      </c>
      <c r="T46" s="1508" t="s">
        <v>8</v>
      </c>
      <c r="U46" s="1509">
        <f t="shared" si="13"/>
        <v>100</v>
      </c>
      <c r="V46" s="1508" t="s">
        <v>8</v>
      </c>
      <c r="W46" s="1509">
        <f t="shared" si="14"/>
        <v>100</v>
      </c>
      <c r="X46" s="1502"/>
      <c r="Y46" s="3501"/>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77"/>
      <c r="Q47" s="1507">
        <f t="shared" si="11"/>
        <v>111</v>
      </c>
      <c r="R47" s="1508" t="s">
        <v>8</v>
      </c>
      <c r="S47" s="1509">
        <f t="shared" si="12"/>
        <v>100</v>
      </c>
      <c r="T47" s="1508" t="s">
        <v>8</v>
      </c>
      <c r="U47" s="1509">
        <f t="shared" si="13"/>
        <v>100</v>
      </c>
      <c r="V47" s="1508" t="s">
        <v>8</v>
      </c>
      <c r="W47" s="1509">
        <f t="shared" si="14"/>
        <v>100</v>
      </c>
      <c r="X47" s="1502"/>
      <c r="Y47" s="3577"/>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462" t="str">
        <f>A48</f>
        <v>成交单价（元/平方米）</v>
      </c>
      <c r="Q48" s="3464"/>
      <c r="R48" s="3576">
        <f>E48</f>
        <v>0</v>
      </c>
      <c r="S48" s="3576"/>
      <c r="T48" s="3576">
        <f>G48</f>
        <v>0</v>
      </c>
      <c r="U48" s="3576"/>
      <c r="V48" s="3576">
        <f>I48</f>
        <v>0</v>
      </c>
      <c r="W48" s="3576"/>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462" t="str">
        <f>A49</f>
        <v>比较价格（元/平方米）</v>
      </c>
      <c r="Q49" s="3464"/>
      <c r="R49" s="3576" t="e">
        <f>IF(F1="售价",ROUND(PRODUCT(R48,AA7:AA47),0),ROUND(PRODUCT(R48,AA7:AA47),1))</f>
        <v>#DIV/0!</v>
      </c>
      <c r="S49" s="3576"/>
      <c r="T49" s="3576" t="e">
        <f>IF(F1="售价",ROUND(PRODUCT(T48,AB7:AB47),0),ROUND(PRODUCT(T48,AB7:AB47),1))</f>
        <v>#DIV/0!</v>
      </c>
      <c r="U49" s="3576"/>
      <c r="V49" s="3576" t="e">
        <f>IF(F1="售价",ROUND(PRODUCT(V48,AC7:AC47),0),ROUND(PRODUCT(V48,AC7:AC47),1))</f>
        <v>#DIV/0!</v>
      </c>
      <c r="W49" s="3576"/>
      <c r="X49" s="1497"/>
      <c r="Y49" s="1497"/>
      <c r="Z49" s="1497"/>
      <c r="AA49" s="1497"/>
      <c r="AB49" s="1497"/>
      <c r="AC49" s="1497"/>
    </row>
    <row r="50" spans="1:29" ht="15.75" thickBot="1">
      <c r="A50" s="613" t="s">
        <v>2904</v>
      </c>
      <c r="B50" s="614"/>
      <c r="C50" s="2478" t="e">
        <f>R50</f>
        <v>#DIV/0!</v>
      </c>
      <c r="D50" s="2478"/>
      <c r="E50" s="2478"/>
      <c r="F50" s="2478"/>
      <c r="G50" s="2478"/>
      <c r="H50" s="2478"/>
      <c r="I50" s="2478"/>
      <c r="J50" s="2478"/>
      <c r="K50" s="1542"/>
      <c r="L50" s="2026"/>
      <c r="M50" s="2016"/>
      <c r="N50" s="2016"/>
      <c r="O50" s="2016"/>
      <c r="P50" s="3578" t="str">
        <f>A50</f>
        <v>估价对象XX用房的比较价格（楼面单价，元/平方米）</v>
      </c>
      <c r="Q50" s="3462"/>
      <c r="R50" s="3575" t="e">
        <f>IF(F1="售价",ROUND(IF(D49="简单平均",AVERAGE(R49:V49),R49*F49+T49*H49+V49*J49),0),ROUND(IF(D49="简单平均",AVERAGE(R49:V49),R49*F49+T49*H49+V49*J49),1))</f>
        <v>#DIV/0!</v>
      </c>
      <c r="S50" s="3575"/>
      <c r="T50" s="3575"/>
      <c r="U50" s="3575"/>
      <c r="V50" s="3575"/>
      <c r="W50" s="3575"/>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2021-9</v>
      </c>
      <c r="D59" s="2521">
        <f>EDATE(C59,-1)</f>
        <v>44409</v>
      </c>
      <c r="E59" s="2521">
        <f t="shared" ref="E59:O59" si="16">EDATE(D59,-1)</f>
        <v>44378</v>
      </c>
      <c r="F59" s="2521">
        <f t="shared" si="16"/>
        <v>44348</v>
      </c>
      <c r="G59" s="2521">
        <f t="shared" si="16"/>
        <v>44317</v>
      </c>
      <c r="H59" s="2521">
        <f t="shared" si="16"/>
        <v>44287</v>
      </c>
      <c r="I59" s="2521">
        <f t="shared" si="16"/>
        <v>44256</v>
      </c>
      <c r="J59" s="2521">
        <f t="shared" si="16"/>
        <v>44228</v>
      </c>
      <c r="K59" s="2521">
        <f t="shared" si="16"/>
        <v>44197</v>
      </c>
      <c r="L59" s="2521">
        <f t="shared" si="16"/>
        <v>44166</v>
      </c>
      <c r="M59" s="2521">
        <f t="shared" si="16"/>
        <v>44136</v>
      </c>
      <c r="N59" s="2521">
        <f t="shared" si="16"/>
        <v>44105</v>
      </c>
      <c r="O59" s="2521">
        <f t="shared" si="16"/>
        <v>44075</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470" t="s">
        <v>516</v>
      </c>
      <c r="D4" s="3471"/>
      <c r="E4" s="3504" t="s">
        <v>517</v>
      </c>
      <c r="F4" s="3505"/>
      <c r="G4" s="3470" t="s">
        <v>518</v>
      </c>
      <c r="H4" s="3471"/>
      <c r="I4" s="3470" t="s">
        <v>519</v>
      </c>
      <c r="J4" s="3471"/>
      <c r="K4" s="508" t="s">
        <v>520</v>
      </c>
      <c r="L4" s="2015"/>
      <c r="M4" s="2016"/>
      <c r="N4" s="2016"/>
      <c r="O4" s="2016"/>
      <c r="P4" s="3472" t="s">
        <v>521</v>
      </c>
      <c r="Q4" s="3473"/>
      <c r="R4" s="3478" t="s">
        <v>517</v>
      </c>
      <c r="S4" s="3479"/>
      <c r="T4" s="3478" t="s">
        <v>518</v>
      </c>
      <c r="U4" s="3479"/>
      <c r="V4" s="3465" t="s">
        <v>519</v>
      </c>
      <c r="W4" s="3465"/>
      <c r="X4" s="1502"/>
      <c r="Y4" s="3478" t="s">
        <v>521</v>
      </c>
      <c r="Z4" s="3479"/>
      <c r="AA4" s="3467" t="s">
        <v>517</v>
      </c>
      <c r="AB4" s="3468" t="s">
        <v>518</v>
      </c>
      <c r="AC4" s="3467" t="s">
        <v>519</v>
      </c>
    </row>
    <row r="5" spans="1:29" ht="15">
      <c r="A5" s="509"/>
      <c r="B5" s="510"/>
      <c r="C5" s="3486" t="s">
        <v>2898</v>
      </c>
      <c r="D5" s="3487"/>
      <c r="E5" s="3506" t="s">
        <v>2899</v>
      </c>
      <c r="F5" s="3507"/>
      <c r="G5" s="3486" t="s">
        <v>2900</v>
      </c>
      <c r="H5" s="3487"/>
      <c r="I5" s="3486" t="s">
        <v>2901</v>
      </c>
      <c r="J5" s="3487"/>
      <c r="K5" s="508"/>
      <c r="L5" s="2015"/>
      <c r="M5" s="2016"/>
      <c r="N5" s="2016"/>
      <c r="O5" s="2016"/>
      <c r="P5" s="3474"/>
      <c r="Q5" s="3475"/>
      <c r="R5" s="3480"/>
      <c r="S5" s="3481"/>
      <c r="T5" s="3480"/>
      <c r="U5" s="3481"/>
      <c r="V5" s="3465"/>
      <c r="W5" s="3465"/>
      <c r="X5" s="1502"/>
      <c r="Y5" s="3480"/>
      <c r="Z5" s="3481"/>
      <c r="AA5" s="3468"/>
      <c r="AB5" s="3468"/>
      <c r="AC5" s="3468"/>
    </row>
    <row r="6" spans="1:29" ht="15.75" thickBot="1">
      <c r="A6" s="511"/>
      <c r="B6" s="512"/>
      <c r="C6" s="3484" t="s">
        <v>2902</v>
      </c>
      <c r="D6" s="3485"/>
      <c r="E6" s="3502" t="s">
        <v>2902</v>
      </c>
      <c r="F6" s="3503"/>
      <c r="G6" s="3484" t="s">
        <v>2902</v>
      </c>
      <c r="H6" s="3485"/>
      <c r="I6" s="3484" t="s">
        <v>2902</v>
      </c>
      <c r="J6" s="3485"/>
      <c r="K6" s="508" t="s">
        <v>522</v>
      </c>
      <c r="L6" s="2015"/>
      <c r="M6" s="2016"/>
      <c r="N6" s="2016"/>
      <c r="O6" s="2016"/>
      <c r="P6" s="3476"/>
      <c r="Q6" s="3477"/>
      <c r="R6" s="3480"/>
      <c r="S6" s="3481"/>
      <c r="T6" s="3482"/>
      <c r="U6" s="3483"/>
      <c r="V6" s="3465"/>
      <c r="W6" s="3465"/>
      <c r="X6" s="1502"/>
      <c r="Y6" s="3482"/>
      <c r="Z6" s="3483"/>
      <c r="AA6" s="3469"/>
      <c r="AB6" s="3469"/>
      <c r="AC6" s="3469"/>
    </row>
    <row r="7" spans="1:29" s="1203" customFormat="1" ht="15.75" thickBot="1">
      <c r="A7" s="2629"/>
      <c r="B7" s="2636" t="s">
        <v>523</v>
      </c>
      <c r="C7" s="513">
        <f>'数据-取费表'!B2</f>
        <v>44458</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95" t="s">
        <v>524</v>
      </c>
      <c r="Q7" s="3497"/>
      <c r="R7" s="1503" t="s">
        <v>8</v>
      </c>
      <c r="S7" s="1504">
        <f t="shared" ref="S7:S15" si="0">F7</f>
        <v>0</v>
      </c>
      <c r="T7" s="1503" t="s">
        <v>8</v>
      </c>
      <c r="U7" s="1504">
        <f t="shared" ref="U7:U15" si="1">H7</f>
        <v>0</v>
      </c>
      <c r="V7" s="1503" t="s">
        <v>8</v>
      </c>
      <c r="W7" s="1504">
        <f t="shared" ref="W7:W15" si="2">J7</f>
        <v>0</v>
      </c>
      <c r="X7" s="1505"/>
      <c r="Y7" s="3495" t="s">
        <v>524</v>
      </c>
      <c r="Z7" s="3496"/>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95" t="s">
        <v>527</v>
      </c>
      <c r="Q8" s="3496"/>
      <c r="R8" s="1503" t="s">
        <v>8</v>
      </c>
      <c r="S8" s="1504">
        <f t="shared" si="0"/>
        <v>0</v>
      </c>
      <c r="T8" s="1503" t="s">
        <v>8</v>
      </c>
      <c r="U8" s="1504">
        <f t="shared" si="1"/>
        <v>0</v>
      </c>
      <c r="V8" s="1503" t="s">
        <v>8</v>
      </c>
      <c r="W8" s="1504">
        <f t="shared" si="2"/>
        <v>0</v>
      </c>
      <c r="X8" s="1505"/>
      <c r="Y8" s="3495" t="s">
        <v>527</v>
      </c>
      <c r="Z8" s="3496"/>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64" t="s">
        <v>529</v>
      </c>
      <c r="Q9" s="1134" t="str">
        <f t="shared" ref="Q9:Q15" si="6">B9</f>
        <v>用途</v>
      </c>
      <c r="R9" s="1503" t="s">
        <v>8</v>
      </c>
      <c r="S9" s="1504">
        <f t="shared" si="0"/>
        <v>100</v>
      </c>
      <c r="T9" s="1503" t="s">
        <v>8</v>
      </c>
      <c r="U9" s="1504">
        <f t="shared" si="1"/>
        <v>100</v>
      </c>
      <c r="V9" s="1503" t="s">
        <v>8</v>
      </c>
      <c r="W9" s="1504">
        <f t="shared" si="2"/>
        <v>100</v>
      </c>
      <c r="X9" s="1505"/>
      <c r="Y9" s="3404"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64"/>
      <c r="Q10" s="1134" t="str">
        <f t="shared" si="6"/>
        <v>土地使用年限（年）</v>
      </c>
      <c r="R10" s="1503" t="s">
        <v>8</v>
      </c>
      <c r="S10" s="1504">
        <f t="shared" si="0"/>
        <v>100</v>
      </c>
      <c r="T10" s="1503" t="s">
        <v>8</v>
      </c>
      <c r="U10" s="1504">
        <f t="shared" si="1"/>
        <v>100</v>
      </c>
      <c r="V10" s="1503" t="s">
        <v>8</v>
      </c>
      <c r="W10" s="1504">
        <f t="shared" si="2"/>
        <v>100</v>
      </c>
      <c r="X10" s="1505"/>
      <c r="Y10" s="3404"/>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64"/>
      <c r="Q11" s="1134" t="str">
        <f t="shared" si="6"/>
        <v>容积率</v>
      </c>
      <c r="R11" s="1503" t="s">
        <v>8</v>
      </c>
      <c r="S11" s="1504" t="e">
        <f t="shared" si="0"/>
        <v>#N/A</v>
      </c>
      <c r="T11" s="1503" t="s">
        <v>8</v>
      </c>
      <c r="U11" s="1504" t="e">
        <f t="shared" si="1"/>
        <v>#N/A</v>
      </c>
      <c r="V11" s="1503" t="s">
        <v>8</v>
      </c>
      <c r="W11" s="1504" t="e">
        <f t="shared" si="2"/>
        <v>#N/A</v>
      </c>
      <c r="X11" s="1505"/>
      <c r="Y11" s="3404"/>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64"/>
      <c r="Q12" s="1134">
        <f t="shared" si="6"/>
        <v>111</v>
      </c>
      <c r="R12" s="1503" t="s">
        <v>8</v>
      </c>
      <c r="S12" s="1504">
        <f t="shared" si="0"/>
        <v>100</v>
      </c>
      <c r="T12" s="1503" t="s">
        <v>8</v>
      </c>
      <c r="U12" s="1504">
        <f t="shared" si="1"/>
        <v>100</v>
      </c>
      <c r="V12" s="1503" t="s">
        <v>8</v>
      </c>
      <c r="W12" s="1504">
        <f t="shared" si="2"/>
        <v>100</v>
      </c>
      <c r="X12" s="1505"/>
      <c r="Y12" s="3404"/>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64"/>
      <c r="Q13" s="1134">
        <f t="shared" si="6"/>
        <v>111</v>
      </c>
      <c r="R13" s="1503" t="s">
        <v>8</v>
      </c>
      <c r="S13" s="1504">
        <f t="shared" si="0"/>
        <v>100</v>
      </c>
      <c r="T13" s="1503" t="s">
        <v>8</v>
      </c>
      <c r="U13" s="1504">
        <f t="shared" si="1"/>
        <v>100</v>
      </c>
      <c r="V13" s="1503" t="s">
        <v>8</v>
      </c>
      <c r="W13" s="1504">
        <f t="shared" si="2"/>
        <v>100</v>
      </c>
      <c r="X13" s="1505"/>
      <c r="Y13" s="3404"/>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64"/>
      <c r="Q14" s="1134">
        <f t="shared" si="6"/>
        <v>111</v>
      </c>
      <c r="R14" s="1503" t="s">
        <v>8</v>
      </c>
      <c r="S14" s="1504">
        <f t="shared" si="0"/>
        <v>100</v>
      </c>
      <c r="T14" s="1503" t="s">
        <v>8</v>
      </c>
      <c r="U14" s="1504">
        <f t="shared" si="1"/>
        <v>100</v>
      </c>
      <c r="V14" s="1503" t="s">
        <v>8</v>
      </c>
      <c r="W14" s="1504">
        <f t="shared" si="2"/>
        <v>100</v>
      </c>
      <c r="X14" s="1505"/>
      <c r="Y14" s="3404"/>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498" t="s">
        <v>534</v>
      </c>
      <c r="Q15" s="1507" t="str">
        <f t="shared" si="6"/>
        <v>产业集聚程度</v>
      </c>
      <c r="R15" s="1508" t="s">
        <v>8</v>
      </c>
      <c r="S15" s="1509">
        <f t="shared" si="0"/>
        <v>100</v>
      </c>
      <c r="T15" s="1508" t="s">
        <v>8</v>
      </c>
      <c r="U15" s="1509">
        <f t="shared" si="1"/>
        <v>100</v>
      </c>
      <c r="V15" s="1508" t="s">
        <v>8</v>
      </c>
      <c r="W15" s="1509">
        <f t="shared" si="2"/>
        <v>100</v>
      </c>
      <c r="X15" s="1502"/>
      <c r="Y15" s="3498"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99"/>
      <c r="Q16" s="1507"/>
      <c r="R16" s="1508"/>
      <c r="S16" s="1509"/>
      <c r="T16" s="1508"/>
      <c r="U16" s="1509"/>
      <c r="V16" s="1508"/>
      <c r="W16" s="1509"/>
      <c r="X16" s="1502"/>
      <c r="Y16" s="3499"/>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499"/>
      <c r="Q17" s="1507" t="str">
        <f>B17</f>
        <v>交通便捷度</v>
      </c>
      <c r="R17" s="1508" t="s">
        <v>8</v>
      </c>
      <c r="S17" s="1509">
        <f>F17</f>
        <v>100</v>
      </c>
      <c r="T17" s="1508" t="s">
        <v>8</v>
      </c>
      <c r="U17" s="1509">
        <f>H17</f>
        <v>100</v>
      </c>
      <c r="V17" s="1508" t="s">
        <v>8</v>
      </c>
      <c r="W17" s="1509">
        <f>J17</f>
        <v>100</v>
      </c>
      <c r="X17" s="1502"/>
      <c r="Y17" s="349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99"/>
      <c r="Q18" s="1507"/>
      <c r="R18" s="1508"/>
      <c r="S18" s="1509"/>
      <c r="T18" s="1508"/>
      <c r="U18" s="1509"/>
      <c r="V18" s="1508"/>
      <c r="W18" s="1509"/>
      <c r="X18" s="1502"/>
      <c r="Y18" s="3499"/>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499"/>
      <c r="Q19" s="1507" t="str">
        <f>B19</f>
        <v>公共配套设施</v>
      </c>
      <c r="R19" s="1508" t="s">
        <v>8</v>
      </c>
      <c r="S19" s="1509">
        <f>F19</f>
        <v>100</v>
      </c>
      <c r="T19" s="1508" t="s">
        <v>8</v>
      </c>
      <c r="U19" s="1509">
        <f>H19</f>
        <v>100</v>
      </c>
      <c r="V19" s="1508" t="s">
        <v>8</v>
      </c>
      <c r="W19" s="1509">
        <f>J19</f>
        <v>100</v>
      </c>
      <c r="X19" s="1502"/>
      <c r="Y19" s="3499"/>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499"/>
      <c r="Q20" s="1507"/>
      <c r="R20" s="1508"/>
      <c r="S20" s="1509"/>
      <c r="T20" s="1508"/>
      <c r="U20" s="1509"/>
      <c r="V20" s="1508"/>
      <c r="W20" s="1509"/>
      <c r="X20" s="1502"/>
      <c r="Y20" s="3499"/>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499"/>
      <c r="Q21" s="2429" t="str">
        <f>B21</f>
        <v>基础设施水平</v>
      </c>
      <c r="R21" s="1508" t="s">
        <v>8</v>
      </c>
      <c r="S21" s="1509">
        <f>F21</f>
        <v>100</v>
      </c>
      <c r="T21" s="1508" t="s">
        <v>8</v>
      </c>
      <c r="U21" s="1509">
        <f>H21</f>
        <v>100</v>
      </c>
      <c r="V21" s="1508" t="s">
        <v>8</v>
      </c>
      <c r="W21" s="1509">
        <f>J21</f>
        <v>100</v>
      </c>
      <c r="X21" s="2431"/>
      <c r="Y21" s="3499"/>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499"/>
      <c r="Q22" s="2429"/>
      <c r="R22" s="1508"/>
      <c r="S22" s="1509"/>
      <c r="T22" s="1508"/>
      <c r="U22" s="1509"/>
      <c r="V22" s="1508"/>
      <c r="W22" s="1509"/>
      <c r="X22" s="2431"/>
      <c r="Y22" s="3499"/>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499"/>
      <c r="Q23" s="1507" t="str">
        <f>B23</f>
        <v>环境质量</v>
      </c>
      <c r="R23" s="1508" t="s">
        <v>8</v>
      </c>
      <c r="S23" s="1509">
        <f>F23</f>
        <v>100</v>
      </c>
      <c r="T23" s="1508" t="s">
        <v>8</v>
      </c>
      <c r="U23" s="1509">
        <f>H23</f>
        <v>100</v>
      </c>
      <c r="V23" s="1508" t="s">
        <v>8</v>
      </c>
      <c r="W23" s="1509">
        <f>J23</f>
        <v>100</v>
      </c>
      <c r="X23" s="1502"/>
      <c r="Y23" s="3499"/>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499"/>
      <c r="Q24" s="1507"/>
      <c r="R24" s="1508"/>
      <c r="S24" s="1509"/>
      <c r="T24" s="1508"/>
      <c r="U24" s="1509"/>
      <c r="V24" s="1508"/>
      <c r="W24" s="1509"/>
      <c r="X24" s="1502"/>
      <c r="Y24" s="3499"/>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99"/>
      <c r="Q25" s="1507">
        <f>B25</f>
        <v>111</v>
      </c>
      <c r="R25" s="1508" t="s">
        <v>8</v>
      </c>
      <c r="S25" s="1509">
        <f>F25</f>
        <v>100</v>
      </c>
      <c r="T25" s="1508" t="s">
        <v>8</v>
      </c>
      <c r="U25" s="1509">
        <f>H25</f>
        <v>100</v>
      </c>
      <c r="V25" s="1508" t="s">
        <v>8</v>
      </c>
      <c r="W25" s="1509">
        <f>J25</f>
        <v>100</v>
      </c>
      <c r="X25" s="1502"/>
      <c r="Y25" s="3499"/>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99"/>
      <c r="Q26" s="1507">
        <f t="shared" ref="Q26:Q40" si="11">B26</f>
        <v>111</v>
      </c>
      <c r="R26" s="1508" t="s">
        <v>8</v>
      </c>
      <c r="S26" s="1509">
        <f>F26</f>
        <v>100</v>
      </c>
      <c r="T26" s="1508" t="s">
        <v>8</v>
      </c>
      <c r="U26" s="1509">
        <f>H26</f>
        <v>100</v>
      </c>
      <c r="V26" s="1508" t="s">
        <v>8</v>
      </c>
      <c r="W26" s="1509">
        <f>J26</f>
        <v>100</v>
      </c>
      <c r="X26" s="1502"/>
      <c r="Y26" s="3499"/>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99"/>
      <c r="Q27" s="1134">
        <f t="shared" si="11"/>
        <v>111</v>
      </c>
      <c r="R27" s="1503" t="s">
        <v>8</v>
      </c>
      <c r="S27" s="1504">
        <f>F27</f>
        <v>100</v>
      </c>
      <c r="T27" s="1503" t="s">
        <v>8</v>
      </c>
      <c r="U27" s="1504">
        <f>H27</f>
        <v>100</v>
      </c>
      <c r="V27" s="1503" t="s">
        <v>8</v>
      </c>
      <c r="W27" s="1504">
        <f>J27</f>
        <v>100</v>
      </c>
      <c r="X27" s="1505"/>
      <c r="Y27" s="3499"/>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499"/>
      <c r="Q28" s="1507">
        <f t="shared" si="11"/>
        <v>111</v>
      </c>
      <c r="R28" s="1508" t="s">
        <v>8</v>
      </c>
      <c r="S28" s="1509">
        <f t="shared" ref="S28:S40" si="12">F28</f>
        <v>100</v>
      </c>
      <c r="T28" s="1508" t="s">
        <v>8</v>
      </c>
      <c r="U28" s="1509">
        <f t="shared" ref="U28:U40" si="13">H28</f>
        <v>100</v>
      </c>
      <c r="V28" s="1508" t="s">
        <v>8</v>
      </c>
      <c r="W28" s="1509">
        <f t="shared" ref="W28:W40" si="14">J28</f>
        <v>100</v>
      </c>
      <c r="X28" s="1502"/>
      <c r="Y28" s="3499"/>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00" t="s">
        <v>544</v>
      </c>
      <c r="Q29" s="1507" t="str">
        <f t="shared" si="11"/>
        <v>建筑类型</v>
      </c>
      <c r="R29" s="1508" t="s">
        <v>8</v>
      </c>
      <c r="S29" s="1509">
        <f t="shared" si="12"/>
        <v>100</v>
      </c>
      <c r="T29" s="1508" t="s">
        <v>8</v>
      </c>
      <c r="U29" s="1509">
        <f t="shared" si="13"/>
        <v>100</v>
      </c>
      <c r="V29" s="1508" t="s">
        <v>8</v>
      </c>
      <c r="W29" s="1509">
        <f t="shared" si="14"/>
        <v>100</v>
      </c>
      <c r="X29" s="1502"/>
      <c r="Y29" s="3501"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01"/>
      <c r="Q30" s="1536" t="str">
        <f t="shared" si="11"/>
        <v>项目建筑规模</v>
      </c>
      <c r="R30" s="1512" t="s">
        <v>8</v>
      </c>
      <c r="S30" s="1513" t="e">
        <f t="shared" si="12"/>
        <v>#N/A</v>
      </c>
      <c r="T30" s="1512" t="s">
        <v>8</v>
      </c>
      <c r="U30" s="1513" t="e">
        <f t="shared" si="13"/>
        <v>#N/A</v>
      </c>
      <c r="V30" s="1512" t="s">
        <v>8</v>
      </c>
      <c r="W30" s="1513" t="e">
        <f t="shared" si="14"/>
        <v>#N/A</v>
      </c>
      <c r="X30" s="1514"/>
      <c r="Y30" s="3501"/>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01"/>
      <c r="Q31" s="1507" t="str">
        <f t="shared" si="11"/>
        <v>建筑结构</v>
      </c>
      <c r="R31" s="1508" t="s">
        <v>8</v>
      </c>
      <c r="S31" s="1509">
        <f t="shared" si="12"/>
        <v>100</v>
      </c>
      <c r="T31" s="1508" t="s">
        <v>8</v>
      </c>
      <c r="U31" s="1509">
        <f t="shared" si="13"/>
        <v>100</v>
      </c>
      <c r="V31" s="1508" t="s">
        <v>8</v>
      </c>
      <c r="W31" s="1509">
        <f t="shared" si="14"/>
        <v>100</v>
      </c>
      <c r="X31" s="1502"/>
      <c r="Y31" s="3501"/>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01"/>
      <c r="Q32" s="1507" t="str">
        <f t="shared" si="11"/>
        <v>公共部分装修</v>
      </c>
      <c r="R32" s="1508" t="s">
        <v>8</v>
      </c>
      <c r="S32" s="1509">
        <f t="shared" si="12"/>
        <v>100</v>
      </c>
      <c r="T32" s="1508" t="s">
        <v>8</v>
      </c>
      <c r="U32" s="1509">
        <f t="shared" si="13"/>
        <v>100</v>
      </c>
      <c r="V32" s="1508" t="s">
        <v>8</v>
      </c>
      <c r="W32" s="1509">
        <f t="shared" si="14"/>
        <v>100</v>
      </c>
      <c r="X32" s="1502"/>
      <c r="Y32" s="3501"/>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01"/>
      <c r="Q33" s="1507" t="str">
        <f t="shared" si="11"/>
        <v>成新度</v>
      </c>
      <c r="R33" s="1508" t="s">
        <v>8</v>
      </c>
      <c r="S33" s="1509" t="e">
        <f t="shared" si="12"/>
        <v>#N/A</v>
      </c>
      <c r="T33" s="1508" t="s">
        <v>8</v>
      </c>
      <c r="U33" s="1509" t="e">
        <f t="shared" si="13"/>
        <v>#N/A</v>
      </c>
      <c r="V33" s="1508" t="s">
        <v>8</v>
      </c>
      <c r="W33" s="1509" t="e">
        <f t="shared" si="14"/>
        <v>#N/A</v>
      </c>
      <c r="X33" s="1502"/>
      <c r="Y33" s="3501"/>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01"/>
      <c r="Q34" s="1134" t="str">
        <f t="shared" si="11"/>
        <v>物业管理</v>
      </c>
      <c r="R34" s="1503" t="s">
        <v>8</v>
      </c>
      <c r="S34" s="1504">
        <f t="shared" si="12"/>
        <v>100</v>
      </c>
      <c r="T34" s="1503" t="s">
        <v>8</v>
      </c>
      <c r="U34" s="1504">
        <f t="shared" si="13"/>
        <v>100</v>
      </c>
      <c r="V34" s="1503" t="s">
        <v>8</v>
      </c>
      <c r="W34" s="1504">
        <f t="shared" si="14"/>
        <v>100</v>
      </c>
      <c r="X34" s="1505"/>
      <c r="Y34" s="3501"/>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01" t="s">
        <v>544</v>
      </c>
      <c r="Q35" s="1507" t="str">
        <f t="shared" si="11"/>
        <v>市政基础设施</v>
      </c>
      <c r="R35" s="1508" t="s">
        <v>8</v>
      </c>
      <c r="S35" s="1509">
        <f t="shared" si="12"/>
        <v>100</v>
      </c>
      <c r="T35" s="1508" t="s">
        <v>8</v>
      </c>
      <c r="U35" s="1509">
        <f t="shared" si="13"/>
        <v>100</v>
      </c>
      <c r="V35" s="1508" t="s">
        <v>8</v>
      </c>
      <c r="W35" s="1509">
        <f t="shared" si="14"/>
        <v>100</v>
      </c>
      <c r="X35" s="1502"/>
      <c r="Y35" s="3501"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01"/>
      <c r="Q36" s="1507" t="str">
        <f t="shared" si="11"/>
        <v>内部装修</v>
      </c>
      <c r="R36" s="1508" t="s">
        <v>8</v>
      </c>
      <c r="S36" s="1509">
        <f t="shared" si="12"/>
        <v>100</v>
      </c>
      <c r="T36" s="1508" t="s">
        <v>8</v>
      </c>
      <c r="U36" s="1509">
        <f t="shared" si="13"/>
        <v>100</v>
      </c>
      <c r="V36" s="1508" t="s">
        <v>8</v>
      </c>
      <c r="W36" s="1509">
        <f t="shared" si="14"/>
        <v>100</v>
      </c>
      <c r="X36" s="1502"/>
      <c r="Y36" s="3501"/>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01"/>
      <c r="Q37" s="1507" t="str">
        <f t="shared" si="11"/>
        <v>内部装修状况</v>
      </c>
      <c r="R37" s="1508" t="s">
        <v>8</v>
      </c>
      <c r="S37" s="1509">
        <f t="shared" si="12"/>
        <v>100</v>
      </c>
      <c r="T37" s="1508" t="s">
        <v>8</v>
      </c>
      <c r="U37" s="1509">
        <f t="shared" si="13"/>
        <v>100</v>
      </c>
      <c r="V37" s="1508" t="s">
        <v>8</v>
      </c>
      <c r="W37" s="1509">
        <f t="shared" si="14"/>
        <v>100</v>
      </c>
      <c r="X37" s="1502"/>
      <c r="Y37" s="3501"/>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01"/>
      <c r="Q38" s="1536">
        <f t="shared" si="11"/>
        <v>111</v>
      </c>
      <c r="R38" s="1512" t="s">
        <v>8</v>
      </c>
      <c r="S38" s="1513">
        <f t="shared" si="12"/>
        <v>100</v>
      </c>
      <c r="T38" s="1512" t="s">
        <v>8</v>
      </c>
      <c r="U38" s="1513">
        <f t="shared" si="13"/>
        <v>100</v>
      </c>
      <c r="V38" s="1512" t="s">
        <v>8</v>
      </c>
      <c r="W38" s="1513">
        <f t="shared" si="14"/>
        <v>100</v>
      </c>
      <c r="X38" s="1514"/>
      <c r="Y38" s="3501"/>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01"/>
      <c r="Q39" s="1507">
        <f t="shared" si="11"/>
        <v>111</v>
      </c>
      <c r="R39" s="1508" t="s">
        <v>8</v>
      </c>
      <c r="S39" s="1509">
        <f t="shared" si="12"/>
        <v>100</v>
      </c>
      <c r="T39" s="1508" t="s">
        <v>8</v>
      </c>
      <c r="U39" s="1509">
        <f t="shared" si="13"/>
        <v>100</v>
      </c>
      <c r="V39" s="1508" t="s">
        <v>8</v>
      </c>
      <c r="W39" s="1509">
        <f t="shared" si="14"/>
        <v>100</v>
      </c>
      <c r="X39" s="1502"/>
      <c r="Y39" s="3501"/>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77"/>
      <c r="Q40" s="1507">
        <f t="shared" si="11"/>
        <v>111</v>
      </c>
      <c r="R40" s="1508" t="s">
        <v>8</v>
      </c>
      <c r="S40" s="1509">
        <f t="shared" si="12"/>
        <v>100</v>
      </c>
      <c r="T40" s="1508" t="s">
        <v>8</v>
      </c>
      <c r="U40" s="1509">
        <f t="shared" si="13"/>
        <v>100</v>
      </c>
      <c r="V40" s="1508" t="s">
        <v>8</v>
      </c>
      <c r="W40" s="1509">
        <f t="shared" si="14"/>
        <v>100</v>
      </c>
      <c r="X40" s="1502"/>
      <c r="Y40" s="3577"/>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464" t="str">
        <f>A41</f>
        <v>成交单价（元/平方米）</v>
      </c>
      <c r="Q41" s="3464"/>
      <c r="R41" s="3576">
        <f>E41</f>
        <v>0</v>
      </c>
      <c r="S41" s="3576"/>
      <c r="T41" s="3576">
        <f>G41</f>
        <v>0</v>
      </c>
      <c r="U41" s="3576"/>
      <c r="V41" s="3576">
        <f>I41</f>
        <v>0</v>
      </c>
      <c r="W41" s="3576"/>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464" t="str">
        <f>A42</f>
        <v>比较价格（元/平方米）</v>
      </c>
      <c r="Q42" s="3464"/>
      <c r="R42" s="3576" t="e">
        <f>IF(F1="售价",ROUND(PRODUCT(R41,AA7:AA40),0),ROUND(PRODUCT(R41,AA7:AA40),1))</f>
        <v>#DIV/0!</v>
      </c>
      <c r="S42" s="3576"/>
      <c r="T42" s="3576" t="e">
        <f>IF(F1="售价",ROUND(PRODUCT(T41,AB7:AB40),0),ROUND(PRODUCT(T41,AB7:AB40),1))</f>
        <v>#DIV/0!</v>
      </c>
      <c r="U42" s="3576"/>
      <c r="V42" s="3576" t="e">
        <f>IF(F1="售价",ROUND(PRODUCT(V41,AC7:AC40),0),ROUND(PRODUCT(V41,AC7:AC40),1))</f>
        <v>#DIV/0!</v>
      </c>
      <c r="W42" s="3576"/>
      <c r="X42" s="1497"/>
      <c r="Y42" s="1497"/>
      <c r="Z42" s="1497"/>
      <c r="AA42" s="1497"/>
      <c r="AB42" s="1497"/>
      <c r="AC42" s="1497"/>
    </row>
    <row r="43" spans="1:29" ht="15.75" thickBot="1">
      <c r="A43" s="613" t="s">
        <v>2904</v>
      </c>
      <c r="B43" s="614"/>
      <c r="C43" s="2478" t="e">
        <f>R43</f>
        <v>#DIV/0!</v>
      </c>
      <c r="D43" s="2478"/>
      <c r="E43" s="2478"/>
      <c r="F43" s="2478"/>
      <c r="G43" s="2478"/>
      <c r="H43" s="2478"/>
      <c r="I43" s="2478"/>
      <c r="J43" s="2478"/>
      <c r="K43" s="1542"/>
      <c r="L43" s="2026"/>
      <c r="M43" s="2027"/>
      <c r="N43" s="2027"/>
      <c r="O43" s="2027"/>
      <c r="P43" s="3461" t="str">
        <f>A43</f>
        <v>估价对象XX用房的比较价格（楼面单价，元/平方米）</v>
      </c>
      <c r="Q43" s="3462"/>
      <c r="R43" s="3575" t="e">
        <f>IF(F1="售价",ROUND(IF(D42="简单平均",AVERAGE(R42:V42),R42*F42+T42*H42+V42*J42),0),ROUND(IF(D42="简单平均",AVERAGE(R42:V42),R42*F42+T42*H42+V42*J42),1))</f>
        <v>#DIV/0!</v>
      </c>
      <c r="S43" s="3575"/>
      <c r="T43" s="3575"/>
      <c r="U43" s="3575"/>
      <c r="V43" s="3575"/>
      <c r="W43" s="3575"/>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2021-9</v>
      </c>
      <c r="D52" s="2521">
        <f>EDATE(C52,-1)</f>
        <v>44409</v>
      </c>
      <c r="E52" s="2521">
        <f t="shared" ref="E52:O52" si="16">EDATE(D52,-1)</f>
        <v>44378</v>
      </c>
      <c r="F52" s="2521">
        <f t="shared" si="16"/>
        <v>44348</v>
      </c>
      <c r="G52" s="2521">
        <f t="shared" si="16"/>
        <v>44317</v>
      </c>
      <c r="H52" s="2521">
        <f t="shared" si="16"/>
        <v>44287</v>
      </c>
      <c r="I52" s="2521">
        <f t="shared" si="16"/>
        <v>44256</v>
      </c>
      <c r="J52" s="2521">
        <f t="shared" si="16"/>
        <v>44228</v>
      </c>
      <c r="K52" s="2521">
        <f t="shared" si="16"/>
        <v>44197</v>
      </c>
      <c r="L52" s="2521">
        <f t="shared" si="16"/>
        <v>44166</v>
      </c>
      <c r="M52" s="2521">
        <f t="shared" si="16"/>
        <v>44136</v>
      </c>
      <c r="N52" s="2521">
        <f t="shared" si="16"/>
        <v>44105</v>
      </c>
      <c r="O52" s="2521">
        <f t="shared" si="16"/>
        <v>44075</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82285.63平方米。根据《建设工程规划许可证》[]、《出让合同》[]，估价对象规划建筑面积为5636.57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2021年9月19日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根据《国有土地使用证》[]，估价对象（分摊）出让国有建设用地使用权面积为82285.63平方米。根据《建设工程规划许可证》[]、《出让合同》[]，估价对象规划建筑面积为5636.57平方米。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9月19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70" t="s">
        <v>792</v>
      </c>
      <c r="D4" s="3471"/>
      <c r="E4" s="3470" t="s">
        <v>793</v>
      </c>
      <c r="F4" s="3471"/>
      <c r="G4" s="3470" t="s">
        <v>794</v>
      </c>
      <c r="H4" s="3471"/>
      <c r="I4" s="3470" t="s">
        <v>795</v>
      </c>
      <c r="J4" s="3471"/>
      <c r="K4" s="508" t="s">
        <v>796</v>
      </c>
      <c r="L4" s="2015"/>
      <c r="M4" s="2016"/>
      <c r="N4" s="2016"/>
      <c r="O4" s="2016"/>
      <c r="P4" s="3472" t="s">
        <v>797</v>
      </c>
      <c r="Q4" s="3473"/>
      <c r="R4" s="3478" t="s">
        <v>793</v>
      </c>
      <c r="S4" s="3479"/>
      <c r="T4" s="3478" t="s">
        <v>794</v>
      </c>
      <c r="U4" s="3479"/>
      <c r="V4" s="3465" t="s">
        <v>795</v>
      </c>
      <c r="W4" s="3465"/>
      <c r="X4" s="1502"/>
      <c r="Y4" s="3478" t="s">
        <v>797</v>
      </c>
      <c r="Z4" s="3479"/>
      <c r="AA4" s="3467" t="s">
        <v>793</v>
      </c>
      <c r="AB4" s="3468" t="s">
        <v>794</v>
      </c>
      <c r="AC4" s="3467" t="s">
        <v>795</v>
      </c>
    </row>
    <row r="5" spans="1:29" ht="15">
      <c r="A5" s="509"/>
      <c r="B5" s="510"/>
      <c r="C5" s="3486" t="s">
        <v>2898</v>
      </c>
      <c r="D5" s="3487"/>
      <c r="E5" s="3486" t="s">
        <v>2899</v>
      </c>
      <c r="F5" s="3487"/>
      <c r="G5" s="3486" t="s">
        <v>2900</v>
      </c>
      <c r="H5" s="3487"/>
      <c r="I5" s="3486" t="s">
        <v>2901</v>
      </c>
      <c r="J5" s="3487"/>
      <c r="K5" s="508"/>
      <c r="L5" s="2015"/>
      <c r="M5" s="2016"/>
      <c r="N5" s="2016"/>
      <c r="O5" s="2016"/>
      <c r="P5" s="3474"/>
      <c r="Q5" s="3475"/>
      <c r="R5" s="3480"/>
      <c r="S5" s="3481"/>
      <c r="T5" s="3480"/>
      <c r="U5" s="3481"/>
      <c r="V5" s="3465"/>
      <c r="W5" s="3465"/>
      <c r="X5" s="1502"/>
      <c r="Y5" s="3480"/>
      <c r="Z5" s="3481"/>
      <c r="AA5" s="3468"/>
      <c r="AB5" s="3468"/>
      <c r="AC5" s="3468"/>
    </row>
    <row r="6" spans="1:29" ht="15.75" thickBot="1">
      <c r="A6" s="511"/>
      <c r="B6" s="512"/>
      <c r="C6" s="3484" t="s">
        <v>2902</v>
      </c>
      <c r="D6" s="3485"/>
      <c r="E6" s="3488" t="s">
        <v>2902</v>
      </c>
      <c r="F6" s="3489"/>
      <c r="G6" s="3484" t="s">
        <v>2902</v>
      </c>
      <c r="H6" s="3485"/>
      <c r="I6" s="3484" t="s">
        <v>2902</v>
      </c>
      <c r="J6" s="3485"/>
      <c r="K6" s="508" t="s">
        <v>522</v>
      </c>
      <c r="L6" s="2015"/>
      <c r="M6" s="2016"/>
      <c r="N6" s="2016"/>
      <c r="O6" s="2016"/>
      <c r="P6" s="3476"/>
      <c r="Q6" s="3477"/>
      <c r="R6" s="3480"/>
      <c r="S6" s="3481"/>
      <c r="T6" s="3482"/>
      <c r="U6" s="3483"/>
      <c r="V6" s="3465"/>
      <c r="W6" s="3465"/>
      <c r="X6" s="1502"/>
      <c r="Y6" s="3482"/>
      <c r="Z6" s="3483"/>
      <c r="AA6" s="3469"/>
      <c r="AB6" s="3469"/>
      <c r="AC6" s="3469"/>
    </row>
    <row r="7" spans="1:29" s="1203" customFormat="1" ht="15.75" thickBot="1">
      <c r="A7" s="2629"/>
      <c r="B7" s="2636" t="s">
        <v>523</v>
      </c>
      <c r="C7" s="513">
        <f>'数据-取费表'!B2</f>
        <v>44458</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95" t="s">
        <v>524</v>
      </c>
      <c r="Q7" s="3497"/>
      <c r="R7" s="1503" t="s">
        <v>8</v>
      </c>
      <c r="S7" s="1504">
        <f t="shared" ref="S7:S14" si="0">F7</f>
        <v>0</v>
      </c>
      <c r="T7" s="1503" t="s">
        <v>8</v>
      </c>
      <c r="U7" s="1504">
        <f t="shared" ref="U7:U14" si="1">H7</f>
        <v>0</v>
      </c>
      <c r="V7" s="1503" t="s">
        <v>8</v>
      </c>
      <c r="W7" s="1504">
        <f t="shared" ref="W7:W14" si="2">J7</f>
        <v>0</v>
      </c>
      <c r="X7" s="1505"/>
      <c r="Y7" s="3495" t="s">
        <v>524</v>
      </c>
      <c r="Z7" s="3496"/>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95" t="s">
        <v>527</v>
      </c>
      <c r="Q8" s="3496"/>
      <c r="R8" s="1503" t="s">
        <v>8</v>
      </c>
      <c r="S8" s="1504">
        <f t="shared" si="0"/>
        <v>0</v>
      </c>
      <c r="T8" s="1503" t="s">
        <v>8</v>
      </c>
      <c r="U8" s="1504">
        <f t="shared" si="1"/>
        <v>0</v>
      </c>
      <c r="V8" s="1503" t="s">
        <v>8</v>
      </c>
      <c r="W8" s="1504">
        <f t="shared" si="2"/>
        <v>0</v>
      </c>
      <c r="X8" s="1505"/>
      <c r="Y8" s="3495" t="s">
        <v>527</v>
      </c>
      <c r="Z8" s="3496"/>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64" t="s">
        <v>529</v>
      </c>
      <c r="Q9" s="1134" t="str">
        <f t="shared" ref="Q9:Q14" si="6">B9</f>
        <v>用途</v>
      </c>
      <c r="R9" s="1503" t="s">
        <v>8</v>
      </c>
      <c r="S9" s="1504">
        <f t="shared" si="0"/>
        <v>100</v>
      </c>
      <c r="T9" s="1503" t="s">
        <v>8</v>
      </c>
      <c r="U9" s="1504">
        <f t="shared" si="1"/>
        <v>100</v>
      </c>
      <c r="V9" s="1503" t="s">
        <v>8</v>
      </c>
      <c r="W9" s="1504">
        <f t="shared" si="2"/>
        <v>100</v>
      </c>
      <c r="X9" s="1505"/>
      <c r="Y9" s="3404"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64"/>
      <c r="Q10" s="1134" t="str">
        <f t="shared" si="6"/>
        <v>土地使用年限（年）</v>
      </c>
      <c r="R10" s="1503" t="s">
        <v>8</v>
      </c>
      <c r="S10" s="1504">
        <f t="shared" si="0"/>
        <v>100</v>
      </c>
      <c r="T10" s="1503" t="s">
        <v>8</v>
      </c>
      <c r="U10" s="1504">
        <f t="shared" si="1"/>
        <v>100</v>
      </c>
      <c r="V10" s="1503" t="s">
        <v>8</v>
      </c>
      <c r="W10" s="1504">
        <f t="shared" si="2"/>
        <v>100</v>
      </c>
      <c r="X10" s="1505"/>
      <c r="Y10" s="3404"/>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64"/>
      <c r="Q11" s="1134">
        <f t="shared" si="6"/>
        <v>111</v>
      </c>
      <c r="R11" s="1503" t="s">
        <v>8</v>
      </c>
      <c r="S11" s="1504">
        <f t="shared" si="0"/>
        <v>100</v>
      </c>
      <c r="T11" s="1503" t="s">
        <v>8</v>
      </c>
      <c r="U11" s="1504">
        <f t="shared" si="1"/>
        <v>100</v>
      </c>
      <c r="V11" s="1503" t="s">
        <v>8</v>
      </c>
      <c r="W11" s="1504">
        <f t="shared" si="2"/>
        <v>100</v>
      </c>
      <c r="X11" s="1505"/>
      <c r="Y11" s="3404"/>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64"/>
      <c r="Q12" s="1134">
        <f t="shared" si="6"/>
        <v>111</v>
      </c>
      <c r="R12" s="1503" t="s">
        <v>8</v>
      </c>
      <c r="S12" s="1504">
        <f t="shared" si="0"/>
        <v>100</v>
      </c>
      <c r="T12" s="1503" t="s">
        <v>8</v>
      </c>
      <c r="U12" s="1504">
        <f t="shared" si="1"/>
        <v>100</v>
      </c>
      <c r="V12" s="1503" t="s">
        <v>8</v>
      </c>
      <c r="W12" s="1504">
        <f t="shared" si="2"/>
        <v>100</v>
      </c>
      <c r="X12" s="1505"/>
      <c r="Y12" s="3404"/>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64"/>
      <c r="Q13" s="1134">
        <f t="shared" si="6"/>
        <v>111</v>
      </c>
      <c r="R13" s="1503" t="s">
        <v>8</v>
      </c>
      <c r="S13" s="1504">
        <f t="shared" si="0"/>
        <v>100</v>
      </c>
      <c r="T13" s="1503" t="s">
        <v>8</v>
      </c>
      <c r="U13" s="1504">
        <f t="shared" si="1"/>
        <v>100</v>
      </c>
      <c r="V13" s="1503" t="s">
        <v>8</v>
      </c>
      <c r="W13" s="1504">
        <f t="shared" si="2"/>
        <v>100</v>
      </c>
      <c r="X13" s="1505"/>
      <c r="Y13" s="3404"/>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498" t="s">
        <v>534</v>
      </c>
      <c r="Q14" s="1507" t="str">
        <f t="shared" si="6"/>
        <v>交通便捷度</v>
      </c>
      <c r="R14" s="1508" t="s">
        <v>8</v>
      </c>
      <c r="S14" s="1509">
        <f t="shared" si="0"/>
        <v>100</v>
      </c>
      <c r="T14" s="1508" t="s">
        <v>8</v>
      </c>
      <c r="U14" s="1509">
        <f t="shared" si="1"/>
        <v>100</v>
      </c>
      <c r="V14" s="1508" t="s">
        <v>8</v>
      </c>
      <c r="W14" s="1509">
        <f t="shared" si="2"/>
        <v>100</v>
      </c>
      <c r="X14" s="1502"/>
      <c r="Y14" s="3498"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499"/>
      <c r="Q15" s="1507"/>
      <c r="R15" s="1508"/>
      <c r="S15" s="1509"/>
      <c r="T15" s="1508"/>
      <c r="U15" s="1509"/>
      <c r="V15" s="1508"/>
      <c r="W15" s="1509"/>
      <c r="X15" s="1502"/>
      <c r="Y15" s="3499"/>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499"/>
      <c r="Q16" s="1507" t="str">
        <f>B16</f>
        <v>公共配套设施</v>
      </c>
      <c r="R16" s="1508" t="s">
        <v>8</v>
      </c>
      <c r="S16" s="1509">
        <f>F16</f>
        <v>100</v>
      </c>
      <c r="T16" s="1508" t="s">
        <v>8</v>
      </c>
      <c r="U16" s="1509">
        <f>H16</f>
        <v>100</v>
      </c>
      <c r="V16" s="1508" t="s">
        <v>8</v>
      </c>
      <c r="W16" s="1509">
        <f>J16</f>
        <v>100</v>
      </c>
      <c r="X16" s="1502"/>
      <c r="Y16" s="3499"/>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499"/>
      <c r="Q17" s="1507"/>
      <c r="R17" s="1508"/>
      <c r="S17" s="1509"/>
      <c r="T17" s="1508"/>
      <c r="U17" s="1509"/>
      <c r="V17" s="1508"/>
      <c r="W17" s="1509"/>
      <c r="X17" s="1502"/>
      <c r="Y17" s="3499"/>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499"/>
      <c r="Q18" s="2429" t="str">
        <f>B18</f>
        <v>基础设施水平</v>
      </c>
      <c r="R18" s="1508" t="s">
        <v>8</v>
      </c>
      <c r="S18" s="1509">
        <f>F18</f>
        <v>100</v>
      </c>
      <c r="T18" s="1508" t="s">
        <v>8</v>
      </c>
      <c r="U18" s="1509">
        <f>H18</f>
        <v>100</v>
      </c>
      <c r="V18" s="1508" t="s">
        <v>8</v>
      </c>
      <c r="W18" s="1509">
        <f>J18</f>
        <v>100</v>
      </c>
      <c r="X18" s="2431"/>
      <c r="Y18" s="3499"/>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499"/>
      <c r="Q19" s="2429"/>
      <c r="R19" s="1508"/>
      <c r="S19" s="1509"/>
      <c r="T19" s="1508"/>
      <c r="U19" s="1509"/>
      <c r="V19" s="1508"/>
      <c r="W19" s="1509"/>
      <c r="X19" s="2431"/>
      <c r="Y19" s="3499"/>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499"/>
      <c r="Q20" s="1507" t="str">
        <f>B20</f>
        <v>自然及人文环境</v>
      </c>
      <c r="R20" s="1508" t="s">
        <v>8</v>
      </c>
      <c r="S20" s="1509">
        <f>F20</f>
        <v>100</v>
      </c>
      <c r="T20" s="1508" t="s">
        <v>8</v>
      </c>
      <c r="U20" s="1509">
        <f>H20</f>
        <v>100</v>
      </c>
      <c r="V20" s="1508" t="s">
        <v>8</v>
      </c>
      <c r="W20" s="1509">
        <f>J20</f>
        <v>100</v>
      </c>
      <c r="X20" s="1502"/>
      <c r="Y20" s="3499"/>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499"/>
      <c r="Q21" s="1507"/>
      <c r="R21" s="1508"/>
      <c r="S21" s="1509"/>
      <c r="T21" s="1508"/>
      <c r="U21" s="1509"/>
      <c r="V21" s="1508"/>
      <c r="W21" s="1509"/>
      <c r="X21" s="1502"/>
      <c r="Y21" s="3499"/>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99"/>
      <c r="Q22" s="1507" t="str">
        <f>B22</f>
        <v>楼层</v>
      </c>
      <c r="R22" s="1508" t="s">
        <v>8</v>
      </c>
      <c r="S22" s="1509">
        <f>F22</f>
        <v>100</v>
      </c>
      <c r="T22" s="1508" t="s">
        <v>8</v>
      </c>
      <c r="U22" s="1509">
        <f>H22</f>
        <v>100</v>
      </c>
      <c r="V22" s="1508" t="s">
        <v>8</v>
      </c>
      <c r="W22" s="1509">
        <f>J22</f>
        <v>100</v>
      </c>
      <c r="X22" s="1502"/>
      <c r="Y22" s="3499"/>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99"/>
      <c r="Q23" s="1507">
        <f>B23</f>
        <v>111</v>
      </c>
      <c r="R23" s="1508" t="s">
        <v>8</v>
      </c>
      <c r="S23" s="1509">
        <f>F23</f>
        <v>100</v>
      </c>
      <c r="T23" s="1508" t="s">
        <v>8</v>
      </c>
      <c r="U23" s="1509">
        <f>H23</f>
        <v>100</v>
      </c>
      <c r="V23" s="1508" t="s">
        <v>8</v>
      </c>
      <c r="W23" s="1509">
        <f>J23</f>
        <v>100</v>
      </c>
      <c r="X23" s="1502"/>
      <c r="Y23" s="3499"/>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99"/>
      <c r="Q24" s="1507">
        <f t="shared" ref="Q24:Q36" si="11">B24</f>
        <v>111</v>
      </c>
      <c r="R24" s="1508" t="s">
        <v>8</v>
      </c>
      <c r="S24" s="1509">
        <f>F24</f>
        <v>100</v>
      </c>
      <c r="T24" s="1508" t="s">
        <v>8</v>
      </c>
      <c r="U24" s="1509">
        <f>H24</f>
        <v>100</v>
      </c>
      <c r="V24" s="1508" t="s">
        <v>8</v>
      </c>
      <c r="W24" s="1509">
        <f>J24</f>
        <v>100</v>
      </c>
      <c r="X24" s="1502"/>
      <c r="Y24" s="3499"/>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499"/>
      <c r="Q25" s="1134">
        <f t="shared" si="11"/>
        <v>111</v>
      </c>
      <c r="R25" s="1503" t="s">
        <v>8</v>
      </c>
      <c r="S25" s="1504">
        <f>F25</f>
        <v>100</v>
      </c>
      <c r="T25" s="1503" t="s">
        <v>8</v>
      </c>
      <c r="U25" s="1504">
        <f>H25</f>
        <v>100</v>
      </c>
      <c r="V25" s="1503" t="s">
        <v>8</v>
      </c>
      <c r="W25" s="1504">
        <f>J25</f>
        <v>100</v>
      </c>
      <c r="X25" s="1505"/>
      <c r="Y25" s="3499"/>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00"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01"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01"/>
      <c r="Q27" s="1536" t="str">
        <f t="shared" si="11"/>
        <v>项目停车位配比</v>
      </c>
      <c r="R27" s="1512" t="s">
        <v>8</v>
      </c>
      <c r="S27" s="1513">
        <f t="shared" si="12"/>
        <v>100</v>
      </c>
      <c r="T27" s="1512" t="s">
        <v>8</v>
      </c>
      <c r="U27" s="1513">
        <f t="shared" si="13"/>
        <v>100</v>
      </c>
      <c r="V27" s="1512" t="s">
        <v>8</v>
      </c>
      <c r="W27" s="1513">
        <f t="shared" si="14"/>
        <v>100</v>
      </c>
      <c r="X27" s="1514"/>
      <c r="Y27" s="3501"/>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01"/>
      <c r="Q28" s="1507" t="str">
        <f t="shared" si="11"/>
        <v>公共部分装修</v>
      </c>
      <c r="R28" s="1508" t="s">
        <v>8</v>
      </c>
      <c r="S28" s="1509">
        <f t="shared" si="12"/>
        <v>100</v>
      </c>
      <c r="T28" s="1508" t="s">
        <v>8</v>
      </c>
      <c r="U28" s="1509">
        <f t="shared" si="13"/>
        <v>100</v>
      </c>
      <c r="V28" s="1508" t="s">
        <v>8</v>
      </c>
      <c r="W28" s="1509">
        <f t="shared" si="14"/>
        <v>100</v>
      </c>
      <c r="X28" s="1502"/>
      <c r="Y28" s="3501"/>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01"/>
      <c r="Q29" s="1507" t="str">
        <f t="shared" si="11"/>
        <v>成新率</v>
      </c>
      <c r="R29" s="1508" t="s">
        <v>8</v>
      </c>
      <c r="S29" s="1509" t="e">
        <f t="shared" si="12"/>
        <v>#N/A</v>
      </c>
      <c r="T29" s="1508" t="s">
        <v>8</v>
      </c>
      <c r="U29" s="1509" t="e">
        <f t="shared" si="13"/>
        <v>#N/A</v>
      </c>
      <c r="V29" s="1508" t="s">
        <v>8</v>
      </c>
      <c r="W29" s="1509" t="e">
        <f t="shared" si="14"/>
        <v>#N/A</v>
      </c>
      <c r="X29" s="1502"/>
      <c r="Y29" s="3501"/>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01"/>
      <c r="Q30" s="1507" t="str">
        <f t="shared" si="11"/>
        <v>物业等级</v>
      </c>
      <c r="R30" s="1508" t="s">
        <v>8</v>
      </c>
      <c r="S30" s="1509">
        <f t="shared" si="12"/>
        <v>100</v>
      </c>
      <c r="T30" s="1508" t="s">
        <v>8</v>
      </c>
      <c r="U30" s="1509">
        <f t="shared" si="13"/>
        <v>100</v>
      </c>
      <c r="V30" s="1508" t="s">
        <v>8</v>
      </c>
      <c r="W30" s="1509">
        <f t="shared" si="14"/>
        <v>100</v>
      </c>
      <c r="X30" s="1502"/>
      <c r="Y30" s="3501"/>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01"/>
      <c r="Q31" s="1134" t="str">
        <f t="shared" si="11"/>
        <v>停车位面积</v>
      </c>
      <c r="R31" s="1503" t="s">
        <v>8</v>
      </c>
      <c r="S31" s="1504" t="e">
        <f t="shared" si="12"/>
        <v>#N/A</v>
      </c>
      <c r="T31" s="1503" t="s">
        <v>8</v>
      </c>
      <c r="U31" s="1504" t="e">
        <f t="shared" si="13"/>
        <v>#N/A</v>
      </c>
      <c r="V31" s="1503" t="s">
        <v>8</v>
      </c>
      <c r="W31" s="1504" t="e">
        <f t="shared" si="14"/>
        <v>#N/A</v>
      </c>
      <c r="X31" s="1505"/>
      <c r="Y31" s="3501"/>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01" t="s">
        <v>544</v>
      </c>
      <c r="Q32" s="1507" t="str">
        <f t="shared" si="11"/>
        <v>车位类型</v>
      </c>
      <c r="R32" s="1508" t="s">
        <v>8</v>
      </c>
      <c r="S32" s="1509">
        <f t="shared" si="12"/>
        <v>100</v>
      </c>
      <c r="T32" s="1508" t="s">
        <v>8</v>
      </c>
      <c r="U32" s="1509">
        <f t="shared" si="13"/>
        <v>100</v>
      </c>
      <c r="V32" s="1508" t="s">
        <v>8</v>
      </c>
      <c r="W32" s="1509">
        <f t="shared" si="14"/>
        <v>100</v>
      </c>
      <c r="X32" s="1502"/>
      <c r="Y32" s="3501"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01"/>
      <c r="Q33" s="1507" t="str">
        <f t="shared" si="11"/>
        <v>是否直接入户</v>
      </c>
      <c r="R33" s="1508" t="s">
        <v>8</v>
      </c>
      <c r="S33" s="1509">
        <f t="shared" si="12"/>
        <v>100</v>
      </c>
      <c r="T33" s="1508" t="s">
        <v>8</v>
      </c>
      <c r="U33" s="1509">
        <f t="shared" si="13"/>
        <v>100</v>
      </c>
      <c r="V33" s="1508" t="s">
        <v>8</v>
      </c>
      <c r="W33" s="1509">
        <f t="shared" si="14"/>
        <v>100</v>
      </c>
      <c r="X33" s="1502"/>
      <c r="Y33" s="3501"/>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01"/>
      <c r="Q34" s="1507">
        <f t="shared" si="11"/>
        <v>111</v>
      </c>
      <c r="R34" s="1508" t="s">
        <v>8</v>
      </c>
      <c r="S34" s="1509">
        <f t="shared" si="12"/>
        <v>100</v>
      </c>
      <c r="T34" s="1508" t="s">
        <v>8</v>
      </c>
      <c r="U34" s="1509">
        <f t="shared" si="13"/>
        <v>100</v>
      </c>
      <c r="V34" s="1508" t="s">
        <v>8</v>
      </c>
      <c r="W34" s="1509">
        <f t="shared" si="14"/>
        <v>100</v>
      </c>
      <c r="X34" s="1502"/>
      <c r="Y34" s="3501"/>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01"/>
      <c r="Q35" s="1536">
        <f t="shared" si="11"/>
        <v>111</v>
      </c>
      <c r="R35" s="1512" t="s">
        <v>8</v>
      </c>
      <c r="S35" s="1513">
        <f t="shared" si="12"/>
        <v>100</v>
      </c>
      <c r="T35" s="1512" t="s">
        <v>8</v>
      </c>
      <c r="U35" s="1513">
        <f t="shared" si="13"/>
        <v>100</v>
      </c>
      <c r="V35" s="1512" t="s">
        <v>8</v>
      </c>
      <c r="W35" s="1513">
        <f t="shared" si="14"/>
        <v>100</v>
      </c>
      <c r="X35" s="1514"/>
      <c r="Y35" s="3501"/>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01"/>
      <c r="Q36" s="1507">
        <f t="shared" si="11"/>
        <v>111</v>
      </c>
      <c r="R36" s="1508" t="s">
        <v>8</v>
      </c>
      <c r="S36" s="1509">
        <f t="shared" si="12"/>
        <v>100</v>
      </c>
      <c r="T36" s="1508" t="s">
        <v>8</v>
      </c>
      <c r="U36" s="1509">
        <f t="shared" si="13"/>
        <v>100</v>
      </c>
      <c r="V36" s="1508" t="s">
        <v>8</v>
      </c>
      <c r="W36" s="1509">
        <f t="shared" si="14"/>
        <v>100</v>
      </c>
      <c r="X36" s="1502"/>
      <c r="Y36" s="3501"/>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464" t="str">
        <f>A37</f>
        <v>成交单价</v>
      </c>
      <c r="Q37" s="3464"/>
      <c r="R37" s="3576">
        <f>E37</f>
        <v>0</v>
      </c>
      <c r="S37" s="3576"/>
      <c r="T37" s="3576">
        <f>G37</f>
        <v>0</v>
      </c>
      <c r="U37" s="3576"/>
      <c r="V37" s="3576">
        <f>I37</f>
        <v>0</v>
      </c>
      <c r="W37" s="3576"/>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464" t="str">
        <f>A38</f>
        <v>比较价格（元/平方米）</v>
      </c>
      <c r="Q38" s="3464"/>
      <c r="R38" s="3576" t="e">
        <f>IF(F1="售价",ROUND(PRODUCT(R37,AA7:AA36),0),ROUND(PRODUCT(R37,AA7:AA36),1))</f>
        <v>#DIV/0!</v>
      </c>
      <c r="S38" s="3576"/>
      <c r="T38" s="3576" t="e">
        <f>IF(F1="售价",ROUND(PRODUCT(T37,AB7:AB36),0),ROUND(PRODUCT(T37,AB7:AB36),1))</f>
        <v>#DIV/0!</v>
      </c>
      <c r="U38" s="3576"/>
      <c r="V38" s="3576" t="e">
        <f>IF(F1="售价",ROUND(PRODUCT(V37,AC7:AC36),0),ROUND(PRODUCT(V37,AC7:AC36),1))</f>
        <v>#DIV/0!</v>
      </c>
      <c r="W38" s="3576"/>
      <c r="X38" s="1497"/>
      <c r="Y38" s="1497"/>
      <c r="Z38" s="1497"/>
      <c r="AA38" s="1497"/>
      <c r="AB38" s="1497"/>
      <c r="AC38" s="1497"/>
    </row>
    <row r="39" spans="1:29" ht="15.75" thickBot="1">
      <c r="A39" s="613" t="s">
        <v>2904</v>
      </c>
      <c r="B39" s="614"/>
      <c r="C39" s="2478" t="e">
        <f>R39</f>
        <v>#DIV/0!</v>
      </c>
      <c r="D39" s="2478"/>
      <c r="E39" s="2478"/>
      <c r="F39" s="2478"/>
      <c r="G39" s="2478"/>
      <c r="H39" s="2478"/>
      <c r="I39" s="2478"/>
      <c r="J39" s="2478"/>
      <c r="K39" s="1542"/>
      <c r="L39" s="2026"/>
      <c r="M39" s="2027"/>
      <c r="N39" s="2027"/>
      <c r="O39" s="2027"/>
      <c r="P39" s="3461" t="str">
        <f>A39</f>
        <v>估价对象XX用房的比较价格（楼面单价，元/平方米）</v>
      </c>
      <c r="Q39" s="3462"/>
      <c r="R39" s="3575" t="e">
        <f>IF(F1="售价",ROUND(IF(D38="简单平均",AVERAGE(R38:W38),R38*F38+T38*H38+V38*J38),0),ROUND(IF(D38="简单平均",AVERAGE(R38:V38),R38*F38+T38*H38+V38*J38),1))</f>
        <v>#DIV/0!</v>
      </c>
      <c r="S39" s="3575"/>
      <c r="T39" s="3575"/>
      <c r="U39" s="3575"/>
      <c r="V39" s="3575"/>
      <c r="W39" s="3575"/>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2021-9</v>
      </c>
      <c r="D48" s="2521">
        <f>EDATE(C48,-1)</f>
        <v>44409</v>
      </c>
      <c r="E48" s="2521">
        <f t="shared" ref="E48:O48" si="16">EDATE(D48,-1)</f>
        <v>44378</v>
      </c>
      <c r="F48" s="2521">
        <f t="shared" si="16"/>
        <v>44348</v>
      </c>
      <c r="G48" s="2521">
        <f t="shared" si="16"/>
        <v>44317</v>
      </c>
      <c r="H48" s="2521">
        <f t="shared" si="16"/>
        <v>44287</v>
      </c>
      <c r="I48" s="2521">
        <f t="shared" si="16"/>
        <v>44256</v>
      </c>
      <c r="J48" s="2521">
        <f t="shared" si="16"/>
        <v>44228</v>
      </c>
      <c r="K48" s="2521">
        <f t="shared" si="16"/>
        <v>44197</v>
      </c>
      <c r="L48" s="2521">
        <f t="shared" si="16"/>
        <v>44166</v>
      </c>
      <c r="M48" s="2521">
        <f t="shared" si="16"/>
        <v>44136</v>
      </c>
      <c r="N48" s="2521">
        <f t="shared" si="16"/>
        <v>44105</v>
      </c>
      <c r="O48" s="2521">
        <f t="shared" si="16"/>
        <v>44075</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70" t="s">
        <v>792</v>
      </c>
      <c r="D4" s="3471"/>
      <c r="E4" s="3504" t="s">
        <v>793</v>
      </c>
      <c r="F4" s="3505"/>
      <c r="G4" s="3470" t="s">
        <v>794</v>
      </c>
      <c r="H4" s="3471"/>
      <c r="I4" s="3470" t="s">
        <v>795</v>
      </c>
      <c r="J4" s="3471"/>
      <c r="K4" s="508" t="s">
        <v>796</v>
      </c>
      <c r="L4" s="2015"/>
      <c r="M4" s="2016"/>
      <c r="N4" s="2016"/>
      <c r="O4" s="2016"/>
      <c r="P4" s="3472" t="s">
        <v>797</v>
      </c>
      <c r="Q4" s="3473"/>
      <c r="R4" s="3478" t="s">
        <v>793</v>
      </c>
      <c r="S4" s="3479"/>
      <c r="T4" s="3478" t="s">
        <v>794</v>
      </c>
      <c r="U4" s="3479"/>
      <c r="V4" s="3465" t="s">
        <v>795</v>
      </c>
      <c r="W4" s="3465"/>
      <c r="X4" s="1502"/>
      <c r="Y4" s="3478" t="s">
        <v>797</v>
      </c>
      <c r="Z4" s="3479"/>
      <c r="AA4" s="3467" t="s">
        <v>793</v>
      </c>
      <c r="AB4" s="3468" t="s">
        <v>794</v>
      </c>
      <c r="AC4" s="3467" t="s">
        <v>795</v>
      </c>
    </row>
    <row r="5" spans="1:29" ht="15">
      <c r="A5" s="509"/>
      <c r="B5" s="510"/>
      <c r="C5" s="3486" t="s">
        <v>2898</v>
      </c>
      <c r="D5" s="3487"/>
      <c r="E5" s="3506" t="s">
        <v>2899</v>
      </c>
      <c r="F5" s="3507"/>
      <c r="G5" s="3486" t="s">
        <v>2900</v>
      </c>
      <c r="H5" s="3487"/>
      <c r="I5" s="3486" t="s">
        <v>2901</v>
      </c>
      <c r="J5" s="3487"/>
      <c r="K5" s="508"/>
      <c r="L5" s="2015"/>
      <c r="M5" s="2016"/>
      <c r="N5" s="2016"/>
      <c r="O5" s="2016"/>
      <c r="P5" s="3474"/>
      <c r="Q5" s="3475"/>
      <c r="R5" s="3480"/>
      <c r="S5" s="3481"/>
      <c r="T5" s="3480"/>
      <c r="U5" s="3481"/>
      <c r="V5" s="3465"/>
      <c r="W5" s="3465"/>
      <c r="X5" s="1502"/>
      <c r="Y5" s="3480"/>
      <c r="Z5" s="3481"/>
      <c r="AA5" s="3468"/>
      <c r="AB5" s="3468"/>
      <c r="AC5" s="3468"/>
    </row>
    <row r="6" spans="1:29" ht="15.75" thickBot="1">
      <c r="A6" s="511"/>
      <c r="B6" s="512"/>
      <c r="C6" s="3484" t="s">
        <v>2902</v>
      </c>
      <c r="D6" s="3485"/>
      <c r="E6" s="3502" t="s">
        <v>2902</v>
      </c>
      <c r="F6" s="3503"/>
      <c r="G6" s="3484" t="s">
        <v>2902</v>
      </c>
      <c r="H6" s="3485"/>
      <c r="I6" s="3484" t="s">
        <v>2902</v>
      </c>
      <c r="J6" s="3485"/>
      <c r="K6" s="508" t="s">
        <v>522</v>
      </c>
      <c r="L6" s="2015"/>
      <c r="M6" s="2016"/>
      <c r="N6" s="2016"/>
      <c r="O6" s="2016"/>
      <c r="P6" s="3476"/>
      <c r="Q6" s="3477"/>
      <c r="R6" s="3480"/>
      <c r="S6" s="3481"/>
      <c r="T6" s="3482"/>
      <c r="U6" s="3483"/>
      <c r="V6" s="3465"/>
      <c r="W6" s="3465"/>
      <c r="X6" s="1502"/>
      <c r="Y6" s="3482"/>
      <c r="Z6" s="3483"/>
      <c r="AA6" s="3469"/>
      <c r="AB6" s="3469"/>
      <c r="AC6" s="3469"/>
    </row>
    <row r="7" spans="1:29" s="1203" customFormat="1" ht="15.75" thickBot="1">
      <c r="A7" s="2629"/>
      <c r="B7" s="2636" t="s">
        <v>523</v>
      </c>
      <c r="C7" s="513">
        <f>'数据-取费表'!B2</f>
        <v>44458</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95" t="s">
        <v>524</v>
      </c>
      <c r="Q7" s="3497"/>
      <c r="R7" s="1503" t="s">
        <v>8</v>
      </c>
      <c r="S7" s="1504">
        <f t="shared" ref="S7:S14" si="0">F7</f>
        <v>0</v>
      </c>
      <c r="T7" s="1503" t="s">
        <v>8</v>
      </c>
      <c r="U7" s="1504">
        <f t="shared" ref="U7:U14" si="1">H7</f>
        <v>0</v>
      </c>
      <c r="V7" s="1503" t="s">
        <v>8</v>
      </c>
      <c r="W7" s="1504">
        <f t="shared" ref="W7:W14" si="2">J7</f>
        <v>0</v>
      </c>
      <c r="X7" s="1505"/>
      <c r="Y7" s="3495" t="s">
        <v>524</v>
      </c>
      <c r="Z7" s="3496"/>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95" t="s">
        <v>527</v>
      </c>
      <c r="Q8" s="3496"/>
      <c r="R8" s="1503" t="s">
        <v>8</v>
      </c>
      <c r="S8" s="1504">
        <f t="shared" si="0"/>
        <v>0</v>
      </c>
      <c r="T8" s="1503" t="s">
        <v>8</v>
      </c>
      <c r="U8" s="1504">
        <f t="shared" si="1"/>
        <v>0</v>
      </c>
      <c r="V8" s="1503" t="s">
        <v>8</v>
      </c>
      <c r="W8" s="1504">
        <f t="shared" si="2"/>
        <v>0</v>
      </c>
      <c r="X8" s="1505"/>
      <c r="Y8" s="3495" t="s">
        <v>527</v>
      </c>
      <c r="Z8" s="3496"/>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64" t="s">
        <v>529</v>
      </c>
      <c r="Q9" s="1134" t="str">
        <f t="shared" ref="Q9:Q14" si="6">B9</f>
        <v>用途</v>
      </c>
      <c r="R9" s="1503" t="s">
        <v>8</v>
      </c>
      <c r="S9" s="1504">
        <f t="shared" si="0"/>
        <v>100</v>
      </c>
      <c r="T9" s="1503" t="s">
        <v>8</v>
      </c>
      <c r="U9" s="1504">
        <f t="shared" si="1"/>
        <v>100</v>
      </c>
      <c r="V9" s="1503" t="s">
        <v>8</v>
      </c>
      <c r="W9" s="1504">
        <f t="shared" si="2"/>
        <v>100</v>
      </c>
      <c r="X9" s="1505"/>
      <c r="Y9" s="3404"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64"/>
      <c r="Q10" s="1134" t="str">
        <f t="shared" si="6"/>
        <v>土地使用年限（年）</v>
      </c>
      <c r="R10" s="1503" t="s">
        <v>8</v>
      </c>
      <c r="S10" s="1504">
        <f t="shared" si="0"/>
        <v>100</v>
      </c>
      <c r="T10" s="1503" t="s">
        <v>8</v>
      </c>
      <c r="U10" s="1504">
        <f t="shared" si="1"/>
        <v>100</v>
      </c>
      <c r="V10" s="1503" t="s">
        <v>8</v>
      </c>
      <c r="W10" s="1504">
        <f t="shared" si="2"/>
        <v>100</v>
      </c>
      <c r="X10" s="1505"/>
      <c r="Y10" s="3404"/>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64"/>
      <c r="Q11" s="1134">
        <f t="shared" si="6"/>
        <v>111</v>
      </c>
      <c r="R11" s="1503" t="s">
        <v>8</v>
      </c>
      <c r="S11" s="1504">
        <f t="shared" si="0"/>
        <v>100</v>
      </c>
      <c r="T11" s="1503" t="s">
        <v>8</v>
      </c>
      <c r="U11" s="1504">
        <f t="shared" si="1"/>
        <v>100</v>
      </c>
      <c r="V11" s="1503" t="s">
        <v>8</v>
      </c>
      <c r="W11" s="1504">
        <f t="shared" si="2"/>
        <v>100</v>
      </c>
      <c r="X11" s="1505"/>
      <c r="Y11" s="3404"/>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64"/>
      <c r="Q12" s="1134">
        <f t="shared" si="6"/>
        <v>111</v>
      </c>
      <c r="R12" s="1503" t="s">
        <v>8</v>
      </c>
      <c r="S12" s="1504">
        <f t="shared" si="0"/>
        <v>100</v>
      </c>
      <c r="T12" s="1503" t="s">
        <v>8</v>
      </c>
      <c r="U12" s="1504">
        <f t="shared" si="1"/>
        <v>100</v>
      </c>
      <c r="V12" s="1503" t="s">
        <v>8</v>
      </c>
      <c r="W12" s="1504">
        <f t="shared" si="2"/>
        <v>100</v>
      </c>
      <c r="X12" s="1505"/>
      <c r="Y12" s="3404"/>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64"/>
      <c r="Q13" s="1134">
        <f t="shared" si="6"/>
        <v>111</v>
      </c>
      <c r="R13" s="1503" t="s">
        <v>8</v>
      </c>
      <c r="S13" s="1504">
        <f t="shared" si="0"/>
        <v>100</v>
      </c>
      <c r="T13" s="1503" t="s">
        <v>8</v>
      </c>
      <c r="U13" s="1504">
        <f t="shared" si="1"/>
        <v>100</v>
      </c>
      <c r="V13" s="1503" t="s">
        <v>8</v>
      </c>
      <c r="W13" s="1504">
        <f t="shared" si="2"/>
        <v>100</v>
      </c>
      <c r="X13" s="1505"/>
      <c r="Y13" s="3404"/>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498" t="s">
        <v>534</v>
      </c>
      <c r="Q14" s="1507" t="str">
        <f t="shared" si="6"/>
        <v>交通便捷度</v>
      </c>
      <c r="R14" s="1508" t="s">
        <v>8</v>
      </c>
      <c r="S14" s="1509">
        <f t="shared" si="0"/>
        <v>100</v>
      </c>
      <c r="T14" s="1508" t="s">
        <v>8</v>
      </c>
      <c r="U14" s="1509">
        <f t="shared" si="1"/>
        <v>100</v>
      </c>
      <c r="V14" s="1508" t="s">
        <v>8</v>
      </c>
      <c r="W14" s="1509">
        <f t="shared" si="2"/>
        <v>100</v>
      </c>
      <c r="X14" s="1502"/>
      <c r="Y14" s="3498"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499"/>
      <c r="Q15" s="1507"/>
      <c r="R15" s="1508"/>
      <c r="S15" s="1509"/>
      <c r="T15" s="1508"/>
      <c r="U15" s="1509"/>
      <c r="V15" s="1508"/>
      <c r="W15" s="1509"/>
      <c r="X15" s="1502"/>
      <c r="Y15" s="3499"/>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499"/>
      <c r="Q16" s="1507" t="str">
        <f>B16</f>
        <v>公共配套设施</v>
      </c>
      <c r="R16" s="1508" t="s">
        <v>8</v>
      </c>
      <c r="S16" s="1509">
        <f>F16</f>
        <v>100</v>
      </c>
      <c r="T16" s="1508" t="s">
        <v>8</v>
      </c>
      <c r="U16" s="1509">
        <f>H16</f>
        <v>100</v>
      </c>
      <c r="V16" s="1508" t="s">
        <v>8</v>
      </c>
      <c r="W16" s="1509">
        <f>J16</f>
        <v>100</v>
      </c>
      <c r="X16" s="1502"/>
      <c r="Y16" s="3499"/>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499"/>
      <c r="Q17" s="1507"/>
      <c r="R17" s="1508"/>
      <c r="S17" s="1509"/>
      <c r="T17" s="1508"/>
      <c r="U17" s="1509"/>
      <c r="V17" s="1508"/>
      <c r="W17" s="1509"/>
      <c r="X17" s="1502"/>
      <c r="Y17" s="3499"/>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499"/>
      <c r="Q18" s="2429" t="str">
        <f>B18</f>
        <v>基础设施水平</v>
      </c>
      <c r="R18" s="1508" t="s">
        <v>8</v>
      </c>
      <c r="S18" s="1509">
        <f>F18</f>
        <v>100</v>
      </c>
      <c r="T18" s="1508" t="s">
        <v>8</v>
      </c>
      <c r="U18" s="1509">
        <f>H18</f>
        <v>100</v>
      </c>
      <c r="V18" s="1508" t="s">
        <v>8</v>
      </c>
      <c r="W18" s="1509">
        <f>J18</f>
        <v>100</v>
      </c>
      <c r="X18" s="2431"/>
      <c r="Y18" s="3499"/>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499"/>
      <c r="Q19" s="2429"/>
      <c r="R19" s="1508"/>
      <c r="S19" s="1509"/>
      <c r="T19" s="1508"/>
      <c r="U19" s="1509"/>
      <c r="V19" s="1508"/>
      <c r="W19" s="1509"/>
      <c r="X19" s="2431"/>
      <c r="Y19" s="3499"/>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499"/>
      <c r="Q20" s="1507" t="str">
        <f>B20</f>
        <v>自然及人文环境</v>
      </c>
      <c r="R20" s="1508" t="s">
        <v>8</v>
      </c>
      <c r="S20" s="1509">
        <f>F20</f>
        <v>100</v>
      </c>
      <c r="T20" s="1508" t="s">
        <v>8</v>
      </c>
      <c r="U20" s="1509">
        <f>H20</f>
        <v>100</v>
      </c>
      <c r="V20" s="1508" t="s">
        <v>8</v>
      </c>
      <c r="W20" s="1509">
        <f>J20</f>
        <v>100</v>
      </c>
      <c r="X20" s="1502"/>
      <c r="Y20" s="3499"/>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499"/>
      <c r="Q21" s="1507"/>
      <c r="R21" s="1508"/>
      <c r="S21" s="1509"/>
      <c r="T21" s="1508"/>
      <c r="U21" s="1509"/>
      <c r="V21" s="1508"/>
      <c r="W21" s="1509"/>
      <c r="X21" s="1502"/>
      <c r="Y21" s="3499"/>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99"/>
      <c r="Q22" s="1507" t="str">
        <f>B22</f>
        <v>楼层</v>
      </c>
      <c r="R22" s="1508" t="s">
        <v>8</v>
      </c>
      <c r="S22" s="1509">
        <f>F22</f>
        <v>100</v>
      </c>
      <c r="T22" s="1508" t="s">
        <v>8</v>
      </c>
      <c r="U22" s="1509">
        <f>H22</f>
        <v>100</v>
      </c>
      <c r="V22" s="1508" t="s">
        <v>8</v>
      </c>
      <c r="W22" s="1509">
        <f>J22</f>
        <v>100</v>
      </c>
      <c r="X22" s="1502"/>
      <c r="Y22" s="3499"/>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99"/>
      <c r="Q23" s="1507">
        <f>B23</f>
        <v>111</v>
      </c>
      <c r="R23" s="1508" t="s">
        <v>8</v>
      </c>
      <c r="S23" s="1509">
        <f>F23</f>
        <v>100</v>
      </c>
      <c r="T23" s="1508" t="s">
        <v>8</v>
      </c>
      <c r="U23" s="1509">
        <f>H23</f>
        <v>100</v>
      </c>
      <c r="V23" s="1508" t="s">
        <v>8</v>
      </c>
      <c r="W23" s="1509">
        <f>J23</f>
        <v>100</v>
      </c>
      <c r="X23" s="1502"/>
      <c r="Y23" s="3499"/>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99"/>
      <c r="Q24" s="1507">
        <f t="shared" ref="Q24:Q34" si="11">B24</f>
        <v>111</v>
      </c>
      <c r="R24" s="1508" t="s">
        <v>8</v>
      </c>
      <c r="S24" s="1509">
        <f>F24</f>
        <v>100</v>
      </c>
      <c r="T24" s="1508" t="s">
        <v>8</v>
      </c>
      <c r="U24" s="1509">
        <f>H24</f>
        <v>100</v>
      </c>
      <c r="V24" s="1508" t="s">
        <v>8</v>
      </c>
      <c r="W24" s="1509">
        <f>J24</f>
        <v>100</v>
      </c>
      <c r="X24" s="1502"/>
      <c r="Y24" s="3499"/>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499"/>
      <c r="Q25" s="1134">
        <f t="shared" si="11"/>
        <v>111</v>
      </c>
      <c r="R25" s="1503" t="s">
        <v>8</v>
      </c>
      <c r="S25" s="1504">
        <f>F25</f>
        <v>100</v>
      </c>
      <c r="T25" s="1503" t="s">
        <v>8</v>
      </c>
      <c r="U25" s="1504">
        <f>H25</f>
        <v>100</v>
      </c>
      <c r="V25" s="1503" t="s">
        <v>8</v>
      </c>
      <c r="W25" s="1504">
        <f>J25</f>
        <v>100</v>
      </c>
      <c r="X25" s="1505"/>
      <c r="Y25" s="3499"/>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00"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01"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01"/>
      <c r="Q27" s="1536" t="str">
        <f t="shared" si="11"/>
        <v>成新率</v>
      </c>
      <c r="R27" s="1512" t="s">
        <v>8</v>
      </c>
      <c r="S27" s="1513" t="e">
        <f t="shared" si="12"/>
        <v>#N/A</v>
      </c>
      <c r="T27" s="1512" t="s">
        <v>8</v>
      </c>
      <c r="U27" s="1513" t="e">
        <f t="shared" si="13"/>
        <v>#N/A</v>
      </c>
      <c r="V27" s="1512" t="s">
        <v>8</v>
      </c>
      <c r="W27" s="1513" t="e">
        <f t="shared" si="14"/>
        <v>#N/A</v>
      </c>
      <c r="X27" s="1514"/>
      <c r="Y27" s="3501"/>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01"/>
      <c r="Q28" s="1507" t="str">
        <f t="shared" si="11"/>
        <v>物业等级</v>
      </c>
      <c r="R28" s="1508" t="s">
        <v>8</v>
      </c>
      <c r="S28" s="1509">
        <f t="shared" si="12"/>
        <v>100</v>
      </c>
      <c r="T28" s="1508" t="s">
        <v>8</v>
      </c>
      <c r="U28" s="1509">
        <f t="shared" si="13"/>
        <v>100</v>
      </c>
      <c r="V28" s="1508" t="s">
        <v>8</v>
      </c>
      <c r="W28" s="1509">
        <f t="shared" si="14"/>
        <v>100</v>
      </c>
      <c r="X28" s="1502"/>
      <c r="Y28" s="3501"/>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01"/>
      <c r="Q29" s="1507" t="str">
        <f t="shared" si="11"/>
        <v>有无电梯</v>
      </c>
      <c r="R29" s="1508" t="s">
        <v>8</v>
      </c>
      <c r="S29" s="1509">
        <f t="shared" si="12"/>
        <v>100</v>
      </c>
      <c r="T29" s="1508" t="s">
        <v>8</v>
      </c>
      <c r="U29" s="1509">
        <f t="shared" si="13"/>
        <v>100</v>
      </c>
      <c r="V29" s="1508" t="s">
        <v>8</v>
      </c>
      <c r="W29" s="1509">
        <f t="shared" si="14"/>
        <v>100</v>
      </c>
      <c r="X29" s="1502"/>
      <c r="Y29" s="3501"/>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01"/>
      <c r="Q30" s="1507" t="str">
        <f t="shared" si="11"/>
        <v>建筑面积</v>
      </c>
      <c r="R30" s="1508" t="s">
        <v>8</v>
      </c>
      <c r="S30" s="1509" t="e">
        <f t="shared" si="12"/>
        <v>#N/A</v>
      </c>
      <c r="T30" s="1508" t="s">
        <v>8</v>
      </c>
      <c r="U30" s="1509" t="e">
        <f t="shared" si="13"/>
        <v>#N/A</v>
      </c>
      <c r="V30" s="1508" t="s">
        <v>8</v>
      </c>
      <c r="W30" s="1509" t="e">
        <f t="shared" si="14"/>
        <v>#N/A</v>
      </c>
      <c r="X30" s="1502"/>
      <c r="Y30" s="3501"/>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01"/>
      <c r="Q31" s="1134" t="str">
        <f t="shared" si="11"/>
        <v>是否封闭</v>
      </c>
      <c r="R31" s="1503" t="s">
        <v>8</v>
      </c>
      <c r="S31" s="1504">
        <f t="shared" si="12"/>
        <v>100</v>
      </c>
      <c r="T31" s="1503" t="s">
        <v>8</v>
      </c>
      <c r="U31" s="1504">
        <f t="shared" si="13"/>
        <v>100</v>
      </c>
      <c r="V31" s="1503" t="s">
        <v>8</v>
      </c>
      <c r="W31" s="1504">
        <f t="shared" si="14"/>
        <v>100</v>
      </c>
      <c r="X31" s="1505"/>
      <c r="Y31" s="3501"/>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01" t="s">
        <v>544</v>
      </c>
      <c r="Q32" s="1507">
        <f t="shared" si="11"/>
        <v>111</v>
      </c>
      <c r="R32" s="1508" t="s">
        <v>8</v>
      </c>
      <c r="S32" s="1509">
        <f t="shared" si="12"/>
        <v>100</v>
      </c>
      <c r="T32" s="1508" t="s">
        <v>8</v>
      </c>
      <c r="U32" s="1509">
        <f t="shared" si="13"/>
        <v>100</v>
      </c>
      <c r="V32" s="1508" t="s">
        <v>8</v>
      </c>
      <c r="W32" s="1509">
        <f t="shared" si="14"/>
        <v>100</v>
      </c>
      <c r="X32" s="1502"/>
      <c r="Y32" s="3501"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01"/>
      <c r="Q33" s="1507">
        <f t="shared" si="11"/>
        <v>111</v>
      </c>
      <c r="R33" s="1508" t="s">
        <v>8</v>
      </c>
      <c r="S33" s="1509">
        <f t="shared" si="12"/>
        <v>100</v>
      </c>
      <c r="T33" s="1508" t="s">
        <v>8</v>
      </c>
      <c r="U33" s="1509">
        <f t="shared" si="13"/>
        <v>100</v>
      </c>
      <c r="V33" s="1508" t="s">
        <v>8</v>
      </c>
      <c r="W33" s="1509">
        <f t="shared" si="14"/>
        <v>100</v>
      </c>
      <c r="X33" s="1502"/>
      <c r="Y33" s="3501"/>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01"/>
      <c r="Q34" s="1507">
        <f t="shared" si="11"/>
        <v>111</v>
      </c>
      <c r="R34" s="1508" t="s">
        <v>8</v>
      </c>
      <c r="S34" s="1509">
        <f t="shared" si="12"/>
        <v>100</v>
      </c>
      <c r="T34" s="1508" t="s">
        <v>8</v>
      </c>
      <c r="U34" s="1509">
        <f t="shared" si="13"/>
        <v>100</v>
      </c>
      <c r="V34" s="1508" t="s">
        <v>8</v>
      </c>
      <c r="W34" s="1509">
        <f t="shared" si="14"/>
        <v>100</v>
      </c>
      <c r="X34" s="1502"/>
      <c r="Y34" s="3501"/>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464" t="str">
        <f>A35</f>
        <v>成交单价（元/平方米）</v>
      </c>
      <c r="Q35" s="3464"/>
      <c r="R35" s="3576">
        <f>E35</f>
        <v>0</v>
      </c>
      <c r="S35" s="3576"/>
      <c r="T35" s="3576">
        <f>G35</f>
        <v>0</v>
      </c>
      <c r="U35" s="3576"/>
      <c r="V35" s="3576">
        <f>I35</f>
        <v>0</v>
      </c>
      <c r="W35" s="3576"/>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464" t="str">
        <f>A36</f>
        <v>比较价格（元/平方米）</v>
      </c>
      <c r="Q36" s="3464"/>
      <c r="R36" s="3576" t="e">
        <f>IF(F1="售价",ROUND(PRODUCT(R35,AA7:AA34),0),ROUND(PRODUCT(R35,AA7:AA34),1))</f>
        <v>#DIV/0!</v>
      </c>
      <c r="S36" s="3576"/>
      <c r="T36" s="3576" t="e">
        <f>IF(F1="售价",ROUND(PRODUCT(T35,AB7:AB34),0),ROUND(PRODUCT(T35,AB7:AB34),1))</f>
        <v>#DIV/0!</v>
      </c>
      <c r="U36" s="3576"/>
      <c r="V36" s="3576" t="e">
        <f>IF(F1="售价",ROUND(PRODUCT(V35,AC7:AC34),0),ROUND(PRODUCT(V35,AC7:AC34),1))</f>
        <v>#DIV/0!</v>
      </c>
      <c r="W36" s="3576"/>
      <c r="X36" s="1497"/>
      <c r="Y36" s="1497"/>
      <c r="Z36" s="1497"/>
      <c r="AA36" s="1497"/>
      <c r="AB36" s="1497"/>
      <c r="AC36" s="1497"/>
    </row>
    <row r="37" spans="1:29" ht="15.75" thickBot="1">
      <c r="A37" s="613" t="s">
        <v>2904</v>
      </c>
      <c r="B37" s="614"/>
      <c r="C37" s="2478" t="e">
        <f>R37</f>
        <v>#DIV/0!</v>
      </c>
      <c r="D37" s="2478"/>
      <c r="E37" s="2478"/>
      <c r="F37" s="2478"/>
      <c r="G37" s="2478"/>
      <c r="H37" s="2478"/>
      <c r="I37" s="2478"/>
      <c r="J37" s="2478"/>
      <c r="K37" s="1542"/>
      <c r="L37" s="2026"/>
      <c r="M37" s="2027"/>
      <c r="N37" s="2027"/>
      <c r="O37" s="2027"/>
      <c r="P37" s="3461" t="str">
        <f>A37</f>
        <v>估价对象XX用房的比较价格（楼面单价，元/平方米）</v>
      </c>
      <c r="Q37" s="3462"/>
      <c r="R37" s="3575" t="e">
        <f>IF(F1="售价",ROUND(IF(D36="简单平均",AVERAGE(R36:W36),R36*F36+T36*H36+V36*J36),0),ROUND(IF(D36="简单平均",AVERAGE(R36:V36),R36*F36+T36*H36+V36*J36),1))</f>
        <v>#DIV/0!</v>
      </c>
      <c r="S37" s="3575"/>
      <c r="T37" s="3575"/>
      <c r="U37" s="3575"/>
      <c r="V37" s="3575"/>
      <c r="W37" s="3575"/>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2021-9</v>
      </c>
      <c r="D46" s="2521">
        <f>EDATE(C46,-1)</f>
        <v>44409</v>
      </c>
      <c r="E46" s="2521">
        <f t="shared" ref="E46:O46" si="16">EDATE(D46,-1)</f>
        <v>44378</v>
      </c>
      <c r="F46" s="2521">
        <f t="shared" si="16"/>
        <v>44348</v>
      </c>
      <c r="G46" s="2521">
        <f t="shared" si="16"/>
        <v>44317</v>
      </c>
      <c r="H46" s="2521">
        <f t="shared" si="16"/>
        <v>44287</v>
      </c>
      <c r="I46" s="2521">
        <f t="shared" si="16"/>
        <v>44256</v>
      </c>
      <c r="J46" s="2521">
        <f t="shared" si="16"/>
        <v>44228</v>
      </c>
      <c r="K46" s="2521">
        <f t="shared" si="16"/>
        <v>44197</v>
      </c>
      <c r="L46" s="2521">
        <f t="shared" si="16"/>
        <v>44166</v>
      </c>
      <c r="M46" s="2521">
        <f t="shared" si="16"/>
        <v>44136</v>
      </c>
      <c r="N46" s="2521">
        <f t="shared" si="16"/>
        <v>44105</v>
      </c>
      <c r="O46" s="2521">
        <f t="shared" si="16"/>
        <v>44075</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585" t="s">
        <v>2292</v>
      </c>
      <c r="D1" s="3586"/>
      <c r="E1" s="3586"/>
      <c r="F1" s="3586"/>
      <c r="G1" s="3586"/>
      <c r="H1" s="3586"/>
      <c r="I1" s="3586"/>
      <c r="J1" s="3586"/>
      <c r="K1" s="3586"/>
      <c r="L1" s="3586"/>
      <c r="M1" s="3586"/>
      <c r="N1" s="3586"/>
      <c r="O1" s="3586"/>
      <c r="P1" s="3586"/>
      <c r="Q1" s="3586"/>
      <c r="R1" s="3586"/>
      <c r="S1" s="3587"/>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2896</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2895</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582" t="s">
        <v>20</v>
      </c>
      <c r="D22" s="3583"/>
      <c r="E22" s="3583"/>
      <c r="F22" s="3583"/>
      <c r="G22" s="3583"/>
      <c r="H22" s="3583"/>
      <c r="I22" s="3583"/>
      <c r="J22" s="3583"/>
      <c r="K22" s="3583"/>
      <c r="L22" s="3583"/>
      <c r="M22" s="3583"/>
      <c r="N22" s="3583"/>
      <c r="O22" s="3583"/>
      <c r="P22" s="3583"/>
      <c r="Q22" s="3584"/>
      <c r="R22" s="484" t="e">
        <f>ROUND(S22*10000/B22,0)</f>
        <v>#DIV/0!</v>
      </c>
      <c r="S22" s="53">
        <f>SUM(S24:S10000)</f>
        <v>0</v>
      </c>
    </row>
    <row r="23" spans="1:45" s="1543"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44458</v>
      </c>
      <c r="H1" s="2655">
        <f>IF(C1&gt;C13,0,MATCH(C1,C$13:C$100,-1))+IF(SUMIF(C13:C100,C1,D13:D100)=0,13,12)</f>
        <v>13</v>
      </c>
      <c r="I1" s="2655">
        <f>MATCH(C2,H3:H7,1)+IF(SUMIF(H3:H7,C2,I3:I7)=0,2,1)</f>
        <v>5</v>
      </c>
      <c r="J1" s="2714">
        <f ca="1">MATCH(C3,H3:H7,1)+IF(SUMIF(H3:H7,C3,J3:J7)=0,2,1)</f>
        <v>4</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2</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1</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3" t="s">
        <v>2027</v>
      </c>
      <c r="B1" s="3283"/>
      <c r="C1" s="3283"/>
      <c r="D1" s="3283"/>
      <c r="E1" s="3283"/>
      <c r="F1" s="3283"/>
      <c r="G1" s="3283"/>
      <c r="H1" s="3283"/>
      <c r="I1" s="3283"/>
      <c r="J1" s="3283"/>
      <c r="K1" s="3283"/>
      <c r="L1" s="3283"/>
      <c r="M1" s="3283"/>
      <c r="N1" s="3283"/>
      <c r="O1" s="3283"/>
      <c r="P1" s="3283"/>
      <c r="Q1" s="3283"/>
      <c r="R1" s="3283"/>
    </row>
    <row r="2" spans="1:18">
      <c r="A2" s="1722" t="s">
        <v>2029</v>
      </c>
      <c r="B2" s="1722"/>
      <c r="C2" s="1722"/>
      <c r="D2" s="1722"/>
      <c r="E2" s="1722"/>
      <c r="F2" s="1722"/>
      <c r="G2" s="1722"/>
      <c r="H2" s="1722"/>
      <c r="I2" s="1723"/>
      <c r="J2" s="1723"/>
      <c r="K2" s="1724" t="str">
        <f>"估价期日："&amp;TEXT(项目基本情况!D3,"yyyy年m月d日;;")</f>
        <v>估价期日：2021年9月19日</v>
      </c>
      <c r="L2" s="1722"/>
      <c r="M2" s="1722"/>
      <c r="N2" s="1722"/>
      <c r="O2" s="1722"/>
      <c r="P2" s="1722"/>
      <c r="Q2" s="1722"/>
      <c r="R2" s="1724" t="str">
        <f>"估价期日的国有建设用地使用权性质："&amp;项目基本情况!B16</f>
        <v>估价期日的国有建设用地使用权性质：出让</v>
      </c>
    </row>
    <row r="3" spans="1:18" ht="23.25" customHeight="1">
      <c r="A3" s="3284" t="s">
        <v>2018</v>
      </c>
      <c r="B3" s="3284" t="s">
        <v>2712</v>
      </c>
      <c r="C3" s="3285" t="s">
        <v>2019</v>
      </c>
      <c r="D3" s="3284" t="s">
        <v>2716</v>
      </c>
      <c r="E3" s="3287" t="s">
        <v>2020</v>
      </c>
      <c r="F3" s="3287"/>
      <c r="G3" s="3287"/>
      <c r="H3" s="3287" t="s">
        <v>2021</v>
      </c>
      <c r="I3" s="3287"/>
      <c r="J3" s="3287"/>
      <c r="K3" s="3285" t="s">
        <v>2022</v>
      </c>
      <c r="L3" s="3285" t="s">
        <v>2023</v>
      </c>
      <c r="M3" s="3284" t="s">
        <v>2713</v>
      </c>
      <c r="N3" s="3286" t="str">
        <f>"（分摊）"&amp;项目基本情况!B16&amp;"国有建设用地使用权面积/㎡"</f>
        <v>（分摊）出让国有建设用地使用权面积/㎡</v>
      </c>
      <c r="O3" s="3284" t="s">
        <v>2052</v>
      </c>
      <c r="P3" s="3285" t="s">
        <v>2032</v>
      </c>
      <c r="Q3" s="3285" t="s">
        <v>2053</v>
      </c>
      <c r="R3" s="3285" t="s">
        <v>2024</v>
      </c>
    </row>
    <row r="4" spans="1:18" ht="36.75" customHeight="1">
      <c r="A4" s="3284"/>
      <c r="B4" s="3284"/>
      <c r="C4" s="3285"/>
      <c r="D4" s="3284"/>
      <c r="E4" s="2491" t="s">
        <v>2031</v>
      </c>
      <c r="F4" s="2491" t="s">
        <v>2725</v>
      </c>
      <c r="G4" s="2491" t="s">
        <v>2025</v>
      </c>
      <c r="H4" s="2491" t="s">
        <v>2026</v>
      </c>
      <c r="I4" s="2491" t="s">
        <v>2726</v>
      </c>
      <c r="J4" s="2491" t="s">
        <v>2025</v>
      </c>
      <c r="K4" s="3285"/>
      <c r="L4" s="3285"/>
      <c r="M4" s="3284"/>
      <c r="N4" s="3286"/>
      <c r="O4" s="3284"/>
      <c r="P4" s="3285"/>
      <c r="Q4" s="3285"/>
      <c r="R4" s="3285"/>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82285.63</v>
      </c>
      <c r="O5" s="1725">
        <f>项目基本情况!C21</f>
        <v>5636.57</v>
      </c>
      <c r="P5" s="1725" t="e">
        <f ca="1">结果表!E42</f>
        <v>#REF!</v>
      </c>
      <c r="Q5" s="1725" t="e">
        <f ca="1">结果表!D42</f>
        <v>#REF!</v>
      </c>
      <c r="R5" s="1726" t="e">
        <f ca="1">结果表!C42</f>
        <v>#REF!</v>
      </c>
    </row>
    <row r="6" spans="1:18">
      <c r="A6" s="3288" t="str">
        <f>IF(项目基本情况!B9="市场价格","——","抵押价格")</f>
        <v>抵押价格</v>
      </c>
      <c r="B6" s="3289"/>
      <c r="C6" s="3289"/>
      <c r="D6" s="3289"/>
      <c r="E6" s="3289"/>
      <c r="F6" s="3289"/>
      <c r="G6" s="3289"/>
      <c r="H6" s="3289"/>
      <c r="I6" s="3289"/>
      <c r="J6" s="3289"/>
      <c r="K6" s="3289"/>
      <c r="L6" s="3289"/>
      <c r="M6" s="3289"/>
      <c r="N6" s="3289"/>
      <c r="O6" s="3289"/>
      <c r="P6" s="3289"/>
      <c r="Q6" s="3290"/>
      <c r="R6" s="1727" t="str">
        <f>结果表!O39</f>
        <v>——</v>
      </c>
    </row>
    <row r="7" spans="1:18">
      <c r="A7" s="3288" t="str">
        <f>IF(项目基本情况!B9="市场价格","——",IF(项目基本情况!E8="已注销及未注销","抵押担保权已注销时的抵押价格","——"))</f>
        <v>——</v>
      </c>
      <c r="B7" s="3289"/>
      <c r="C7" s="3289"/>
      <c r="D7" s="3289"/>
      <c r="E7" s="3289"/>
      <c r="F7" s="3289"/>
      <c r="G7" s="3289"/>
      <c r="H7" s="3289"/>
      <c r="I7" s="3289"/>
      <c r="J7" s="3289"/>
      <c r="K7" s="3289"/>
      <c r="L7" s="3289"/>
      <c r="M7" s="3289"/>
      <c r="N7" s="3289"/>
      <c r="O7" s="3289"/>
      <c r="P7" s="3289"/>
      <c r="Q7" s="3290"/>
      <c r="R7" s="1727" t="str">
        <f>结果表!O40</f>
        <v>——</v>
      </c>
    </row>
    <row r="8" spans="1:18">
      <c r="A8" s="3288">
        <f>IF(项目基本情况!B9="市场价格","——",项目基本情况!E9)</f>
        <v>0</v>
      </c>
      <c r="B8" s="3289"/>
      <c r="C8" s="3289"/>
      <c r="D8" s="3289"/>
      <c r="E8" s="3289"/>
      <c r="F8" s="3289"/>
      <c r="G8" s="3289"/>
      <c r="H8" s="3289"/>
      <c r="I8" s="3289"/>
      <c r="J8" s="3289"/>
      <c r="K8" s="3289"/>
      <c r="L8" s="3289"/>
      <c r="M8" s="3289"/>
      <c r="N8" s="3289"/>
      <c r="O8" s="3289"/>
      <c r="P8" s="3289"/>
      <c r="Q8" s="3290"/>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292" t="s">
        <v>2054</v>
      </c>
      <c r="B1" s="3292"/>
      <c r="C1" s="3292"/>
      <c r="D1" s="3292"/>
    </row>
    <row r="2" spans="1:4" ht="47.25" customHeight="1">
      <c r="A2" s="3293" t="str">
        <f>"1.权利限制："&amp;项目基本情况!L24&amp;"未设定租赁等其他他项权利。"</f>
        <v>1.权利限制：根据估价对象《不动产权证书》原件、《国有土地使用权》复印件，截至估价期日，估价对象抵押权未见登记。未设定租赁等其他他项权利。</v>
      </c>
      <c r="B2" s="3293"/>
      <c r="C2" s="3293"/>
      <c r="D2" s="3293"/>
    </row>
    <row r="3" spans="1:4" ht="48" customHeight="1">
      <c r="A3" s="32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2"/>
      <c r="C3" s="3292"/>
      <c r="D3" s="3292"/>
    </row>
    <row r="4" spans="1:4" ht="36.75" customHeight="1">
      <c r="A4" s="3292" t="str">
        <f>"3.估价规划限制条件：详见"&amp;项目基本情况!E21&amp;"。"</f>
        <v>3.估价规划限制条件：详见《建设工程规划许可证》[]、《出让合同》[]。</v>
      </c>
      <c r="B4" s="3292"/>
      <c r="C4" s="3292"/>
      <c r="D4" s="3292"/>
    </row>
    <row r="5" spans="1:4">
      <c r="A5" s="3291" t="s">
        <v>2055</v>
      </c>
      <c r="B5" s="3291"/>
      <c r="C5" s="3291"/>
      <c r="D5" s="3291"/>
    </row>
    <row r="6" spans="1:4">
      <c r="A6" s="3292" t="s">
        <v>2033</v>
      </c>
      <c r="B6" s="3292"/>
      <c r="C6" s="3292"/>
      <c r="D6" s="3292"/>
    </row>
    <row r="7" spans="1:4" ht="33" customHeight="1">
      <c r="A7" s="3292" t="s">
        <v>2556</v>
      </c>
      <c r="B7" s="3292"/>
      <c r="C7" s="3292"/>
      <c r="D7" s="3292"/>
    </row>
    <row r="8" spans="1:4" ht="32.25" customHeight="1">
      <c r="A8" s="32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2"/>
      <c r="C8" s="3292"/>
      <c r="D8" s="3292"/>
    </row>
    <row r="9" spans="1:4" ht="33.75" customHeight="1">
      <c r="A9" s="3292" t="str">
        <f>IF(项目基本情况!B8="抵押","3.抵押双方在办理抵押登记手续时，应使用本公司出具的正式《土地估价报告》，特提请报告使用者注意。","——")</f>
        <v>——</v>
      </c>
      <c r="B9" s="3292"/>
      <c r="C9" s="3292"/>
      <c r="D9" s="3292"/>
    </row>
    <row r="10" spans="1:4">
      <c r="A10" s="3292" t="str">
        <f>IF(项目基本情况!B8="抵押","4.估价师所知悉的法定优先受偿款情况为：","——")</f>
        <v>——</v>
      </c>
      <c r="B10" s="3292"/>
      <c r="C10" s="3292"/>
      <c r="D10" s="3292"/>
    </row>
    <row r="11" spans="1:4" ht="37.5" customHeight="1">
      <c r="A11" s="3294" t="str">
        <f>IF(项目基本情况!B8="抵押","（1）"&amp;CONCATENATE(项目基本情况!L24,项目基本情况!L25,项目基本情况!L26),"——")</f>
        <v>——</v>
      </c>
      <c r="B11" s="3294"/>
      <c r="C11" s="3294"/>
      <c r="D11" s="3294"/>
    </row>
    <row r="12" spans="1:4" ht="168" customHeight="1">
      <c r="A12" s="3291" t="s">
        <v>2057</v>
      </c>
      <c r="B12" s="3291"/>
      <c r="C12" s="3291"/>
      <c r="D12" s="3291"/>
    </row>
    <row r="13" spans="1:4">
      <c r="A13" s="3295" t="s">
        <v>2727</v>
      </c>
      <c r="B13" s="3295"/>
      <c r="C13" s="3295"/>
      <c r="D13" s="3295"/>
    </row>
    <row r="14" spans="1:4">
      <c r="A14" s="3294" t="str">
        <f>IF(项目基本情况!B8="抵押","综上，"&amp;结果表!K47,"——")</f>
        <v>——</v>
      </c>
      <c r="B14" s="3294"/>
      <c r="C14" s="3294"/>
      <c r="D14" s="3294"/>
    </row>
    <row r="15" spans="1:4" ht="58.5" customHeight="1">
      <c r="A15" s="32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2"/>
      <c r="C15" s="3292"/>
      <c r="D15" s="3292"/>
    </row>
    <row r="16" spans="1:4" ht="70.5" customHeight="1">
      <c r="A16" s="32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2"/>
      <c r="C16" s="3292"/>
      <c r="D16" s="3292"/>
    </row>
    <row r="17" spans="1:4">
      <c r="A17" s="3292" t="s">
        <v>2683</v>
      </c>
      <c r="B17" s="3292"/>
      <c r="C17" s="3292"/>
      <c r="D17" s="3292"/>
    </row>
    <row r="18" spans="1:4">
      <c r="A18" s="3292" t="s">
        <v>2675</v>
      </c>
      <c r="B18" s="3292"/>
      <c r="C18" s="3292"/>
      <c r="D18" s="3292"/>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292" t="s">
        <v>2680</v>
      </c>
      <c r="B23" s="3292"/>
      <c r="C23" s="3292"/>
      <c r="D23" s="3292"/>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3" t="s">
        <v>53</v>
      </c>
      <c r="B15" s="3304" t="s">
        <v>838</v>
      </c>
      <c r="C15" s="3300"/>
    </row>
    <row r="16" spans="1:7" ht="14.25">
      <c r="A16" s="3303"/>
      <c r="B16" s="3301" t="s">
        <v>54</v>
      </c>
      <c r="C16" s="1155" t="s">
        <v>53</v>
      </c>
    </row>
    <row r="17" spans="1:3" ht="14.25">
      <c r="A17" s="3303"/>
      <c r="B17" s="3301"/>
      <c r="C17" s="1155" t="s">
        <v>55</v>
      </c>
    </row>
    <row r="18" spans="1:3" ht="14.25">
      <c r="A18" s="3303"/>
      <c r="B18" s="3301"/>
      <c r="C18" s="1155" t="s">
        <v>56</v>
      </c>
    </row>
    <row r="19" spans="1:3" ht="14.25">
      <c r="A19" s="3303"/>
      <c r="B19" s="3299" t="s">
        <v>57</v>
      </c>
      <c r="C19" s="3300"/>
    </row>
    <row r="20" spans="1:3" ht="14.25">
      <c r="A20" s="1156" t="s">
        <v>58</v>
      </c>
      <c r="B20" s="1157"/>
      <c r="C20" s="1158"/>
    </row>
    <row r="21" spans="1:3" ht="14.25">
      <c r="A21" s="3302" t="s">
        <v>59</v>
      </c>
      <c r="B21" s="3299" t="s">
        <v>60</v>
      </c>
      <c r="C21" s="3300"/>
    </row>
    <row r="22" spans="1:3" ht="14.25">
      <c r="A22" s="3302"/>
      <c r="B22" s="3299" t="s">
        <v>61</v>
      </c>
      <c r="C22" s="3300"/>
    </row>
    <row r="23" spans="1:3" ht="14.25">
      <c r="A23" s="3302"/>
      <c r="B23" s="3299" t="s">
        <v>62</v>
      </c>
      <c r="C23" s="3300"/>
    </row>
    <row r="24" spans="1:3" ht="14.25">
      <c r="A24" s="3302"/>
      <c r="B24" s="3305" t="s">
        <v>63</v>
      </c>
      <c r="C24" s="1159" t="s">
        <v>829</v>
      </c>
    </row>
    <row r="25" spans="1:3" ht="14.25">
      <c r="A25" s="3302"/>
      <c r="B25" s="3306"/>
      <c r="C25" s="1159" t="s">
        <v>830</v>
      </c>
    </row>
    <row r="26" spans="1:3" ht="14.25">
      <c r="A26" s="3302"/>
      <c r="B26" s="3306"/>
      <c r="C26" s="1159" t="s">
        <v>831</v>
      </c>
    </row>
    <row r="27" spans="1:3" ht="14.25">
      <c r="A27" s="3302"/>
      <c r="B27" s="3306"/>
      <c r="C27" s="1159" t="s">
        <v>832</v>
      </c>
    </row>
    <row r="28" spans="1:3" ht="14.25">
      <c r="A28" s="3302"/>
      <c r="B28" s="3306"/>
      <c r="C28" s="1159" t="s">
        <v>833</v>
      </c>
    </row>
    <row r="29" spans="1:3" ht="14.25">
      <c r="A29" s="3302"/>
      <c r="B29" s="3306"/>
      <c r="C29" s="1159" t="s">
        <v>834</v>
      </c>
    </row>
    <row r="30" spans="1:3" ht="14.25">
      <c r="A30" s="3302"/>
      <c r="B30" s="3306"/>
      <c r="C30" s="1159" t="s">
        <v>835</v>
      </c>
    </row>
    <row r="31" spans="1:3" ht="14.25">
      <c r="A31" s="3302"/>
      <c r="B31" s="3306"/>
      <c r="C31" s="1159" t="s">
        <v>836</v>
      </c>
    </row>
    <row r="32" spans="1:3" ht="14.25">
      <c r="A32" s="3302"/>
      <c r="B32" s="3306"/>
      <c r="C32" s="1159" t="s">
        <v>1637</v>
      </c>
    </row>
    <row r="33" spans="1:3" ht="14.25">
      <c r="A33" s="3302"/>
      <c r="B33" s="3296" t="s">
        <v>1643</v>
      </c>
      <c r="C33" s="1159" t="s">
        <v>1638</v>
      </c>
    </row>
    <row r="34" spans="1:3" ht="14.25">
      <c r="A34" s="3302"/>
      <c r="B34" s="3297"/>
      <c r="C34" s="1164" t="s">
        <v>1639</v>
      </c>
    </row>
    <row r="35" spans="1:3" ht="14.25">
      <c r="A35" s="3302"/>
      <c r="B35" s="3297"/>
      <c r="C35" s="1165" t="s">
        <v>1640</v>
      </c>
    </row>
    <row r="36" spans="1:3" ht="14.25">
      <c r="A36" s="3302"/>
      <c r="B36" s="3297"/>
      <c r="C36" s="1165" t="s">
        <v>1641</v>
      </c>
    </row>
    <row r="37" spans="1:3" ht="14.25">
      <c r="A37" s="3302"/>
      <c r="B37" s="3298"/>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44488</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t="str">
        <f ca="1">IF(C6&lt;B2,"已过期",1120050019)</f>
        <v>已过期</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2958</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10" t="s">
        <v>1915</v>
      </c>
      <c r="B17" s="3311"/>
      <c r="C17" s="3311"/>
      <c r="D17" s="3311"/>
      <c r="E17" s="3311"/>
      <c r="F17" s="3311"/>
      <c r="G17" s="3034"/>
    </row>
    <row r="18" spans="1:7" ht="20.25" customHeight="1">
      <c r="A18" s="3307" t="s">
        <v>1916</v>
      </c>
      <c r="B18" s="3307"/>
      <c r="C18" s="3308"/>
      <c r="D18" s="3309" t="s">
        <v>1917</v>
      </c>
      <c r="E18" s="3307"/>
      <c r="F18" s="3307"/>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12"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9月19日，在规划利用条件下、设定土地开发程度为红线外“七通”、宗地内场地，设定用途为，剩余土地使用年限为的出让国有建设用地使用权价格。</v>
      </c>
      <c r="D53" s="1685"/>
      <c r="E53" s="1685"/>
    </row>
    <row r="54" spans="1:5">
      <c r="A54" s="3312"/>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12"/>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12"/>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12"/>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三种方法结果表</vt:lpstr>
      <vt:lpstr>结果表</vt:lpstr>
      <vt:lpstr>剩余法-待开发</vt:lpstr>
      <vt:lpstr>剩余法-现房</vt:lpstr>
      <vt:lpstr>不动产收益法</vt:lpstr>
      <vt:lpstr>比较法-住宅、综合</vt:lpstr>
      <vt:lpstr>市场法案例</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成本案例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2021-10-19T07:50:31Z</dcterms:modified>
</cp:coreProperties>
</file>