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10" yWindow="45" windowWidth="11370" windowHeight="942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state="hidden" r:id="rId21"/>
    <sheet name="比较法-租金" sheetId="33"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租金" sheetId="64" state="hidden" r:id="rId29"/>
    <sheet name="租金案例" sheetId="68" r:id="rId30"/>
    <sheet name="比较法-售价" sheetId="66" r:id="rId31"/>
    <sheet name="售价案例" sheetId="67" r:id="rId32"/>
    <sheet name="成本法" sheetId="11"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收益法 (倒)" sheetId="65" r:id="rId41"/>
    <sheet name="存贷款利率" sheetId="61" state="hidden" r:id="rId42"/>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30" hidden="1">'比较法-售价'!$A$1:$L$49</definedName>
    <definedName name="_xlnm._FilterDatabase" localSheetId="20" hidden="1">'比较法-住宅'!$A$1:$L$49</definedName>
    <definedName name="_xlnm._FilterDatabase" localSheetId="21" hidden="1">'比较法-租金'!$A$1:$L$49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7">收益法!$A$1:$M$43</definedName>
    <definedName name="_xlnm.Print_Area" localSheetId="40">'收益法 (倒)'!$A$1:$I$41</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30">'比较法-售价'!$B$116:$M$116</definedName>
    <definedName name="商业层高">'比较法-租金'!$B$116:$M$116</definedName>
    <definedName name="商业成新度" localSheetId="30">'比较法-售价'!$B$109:$M$109</definedName>
    <definedName name="商业成新度">'比较法-租金'!$B$109:$M$109</definedName>
    <definedName name="商业繁华度">定义!$L$1:$L$6</definedName>
    <definedName name="商业公共部分装修" localSheetId="30">'比较法-售价'!$B$107:$M$107</definedName>
    <definedName name="商业公共部分装修">'比较法-租金'!$B$107:$M$107</definedName>
    <definedName name="商业基础设施水平" localSheetId="30">'比较法-售价'!$B$112:$M$112</definedName>
    <definedName name="商业基础设施水平">'比较法-租金'!$B$112:$M$112</definedName>
    <definedName name="商业建筑结构" localSheetId="30">'比较法-售价'!$B$105:$M$105</definedName>
    <definedName name="商业建筑结构">'比较法-租金'!$B$105:$M$105</definedName>
    <definedName name="商业交易情况" localSheetId="30">'比较法-售价'!$A$61:$M$61</definedName>
    <definedName name="商业交易情况">'比较法-租金'!$A$61:$M$61</definedName>
    <definedName name="商业街名称">修正!$C$59:$C$119</definedName>
    <definedName name="商业进深比" localSheetId="30">'比较法-售价'!$B$120:$M$120</definedName>
    <definedName name="商业进深比">'比较法-租金'!$B$120:$M$120</definedName>
    <definedName name="商业类型" localSheetId="30">'比较法-售价'!$B$100:$M$100</definedName>
    <definedName name="商业类型">'比较法-租金'!$B$100:$M$100</definedName>
    <definedName name="商业临街状况" localSheetId="30">'比较法-售价'!$B$86:$M$86</definedName>
    <definedName name="商业临街状况">'比较法-租金'!$B$86:$M$86</definedName>
    <definedName name="商业楼层" localSheetId="30">'比较法-售价'!$B$92:$M$92</definedName>
    <definedName name="商业楼层">'比较法-租金'!$B$92:$M$92</definedName>
    <definedName name="商业内部装修" localSheetId="30">'比较法-售价'!$B$122:$M$122</definedName>
    <definedName name="商业内部装修">'比较法-租金'!$B$122:$M$122</definedName>
    <definedName name="商业人流量" localSheetId="30">'比较法-售价'!$B$90:$M$90</definedName>
    <definedName name="商业人流量">'比较法-租金'!$B$90:$M$90</definedName>
    <definedName name="商业业态" localSheetId="30">'比较法-售价'!$B$114:$M$114</definedName>
    <definedName name="商业业态">'比较法-租金'!$B$114:$M$114</definedName>
    <definedName name="商业用途" localSheetId="30">'比较法-售价'!$B$63:$M$63</definedName>
    <definedName name="商业用途">'比较法-租金'!$B$63:$M$63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iterate="1"/>
</workbook>
</file>

<file path=xl/calcChain.xml><?xml version="1.0" encoding="utf-8"?>
<calcChain xmlns="http://schemas.openxmlformats.org/spreadsheetml/2006/main">
  <c r="D14" i="62" l="1"/>
  <c r="B10" i="62"/>
  <c r="B5" i="62"/>
  <c r="I8" i="65" l="1"/>
  <c r="I5" i="64" l="1"/>
  <c r="I4" i="64"/>
  <c r="G5" i="64"/>
  <c r="G4" i="64"/>
  <c r="E5" i="64"/>
  <c r="E4" i="64"/>
  <c r="C4" i="64"/>
  <c r="R47" i="33" l="1"/>
  <c r="V47" i="33"/>
  <c r="T47" i="33"/>
  <c r="D116" i="33"/>
  <c r="G3" i="43"/>
  <c r="D29" i="43"/>
  <c r="I20" i="65"/>
  <c r="I7" i="65"/>
  <c r="I17" i="65"/>
  <c r="H15" i="65"/>
  <c r="H14" i="65"/>
  <c r="H12" i="65"/>
  <c r="H9" i="65"/>
  <c r="B130" i="66"/>
  <c r="H46" i="66" s="1"/>
  <c r="U46" i="66" s="1"/>
  <c r="B128" i="66"/>
  <c r="B126" i="66"/>
  <c r="D125" i="66"/>
  <c r="E125" i="66" s="1"/>
  <c r="F125" i="66" s="1"/>
  <c r="G125" i="66" s="1"/>
  <c r="D123" i="66"/>
  <c r="E123" i="66" s="1"/>
  <c r="F123" i="66" s="1"/>
  <c r="G123" i="66" s="1"/>
  <c r="H123" i="66" s="1"/>
  <c r="I123" i="66" s="1"/>
  <c r="J123" i="66" s="1"/>
  <c r="K123" i="66" s="1"/>
  <c r="L123" i="66" s="1"/>
  <c r="M123" i="66" s="1"/>
  <c r="D121" i="66"/>
  <c r="E121" i="66" s="1"/>
  <c r="F121" i="66" s="1"/>
  <c r="G121" i="66" s="1"/>
  <c r="H121" i="66" s="1"/>
  <c r="I121" i="66" s="1"/>
  <c r="J121" i="66" s="1"/>
  <c r="K121" i="66" s="1"/>
  <c r="L121" i="66" s="1"/>
  <c r="M121" i="66" s="1"/>
  <c r="D117" i="66"/>
  <c r="E117" i="66" s="1"/>
  <c r="F39" i="66" s="1"/>
  <c r="D115" i="66"/>
  <c r="E115" i="66" s="1"/>
  <c r="F115" i="66" s="1"/>
  <c r="G115" i="66" s="1"/>
  <c r="H115" i="66" s="1"/>
  <c r="I115" i="66" s="1"/>
  <c r="J115" i="66" s="1"/>
  <c r="K115" i="66" s="1"/>
  <c r="L115" i="66" s="1"/>
  <c r="M115" i="66" s="1"/>
  <c r="D113" i="66"/>
  <c r="E113" i="66" s="1"/>
  <c r="F113" i="66" s="1"/>
  <c r="G113" i="66" s="1"/>
  <c r="H113" i="66" s="1"/>
  <c r="I113" i="66" s="1"/>
  <c r="J113" i="66" s="1"/>
  <c r="K113" i="66" s="1"/>
  <c r="L113" i="66" s="1"/>
  <c r="M113" i="66" s="1"/>
  <c r="D111" i="66"/>
  <c r="E111" i="66" s="1"/>
  <c r="F111" i="66" s="1"/>
  <c r="G111" i="66" s="1"/>
  <c r="H111" i="66" s="1"/>
  <c r="I111" i="66" s="1"/>
  <c r="J111" i="66" s="1"/>
  <c r="K111" i="66" s="1"/>
  <c r="L111" i="66" s="1"/>
  <c r="M111" i="66" s="1"/>
  <c r="G109" i="66"/>
  <c r="F109" i="66"/>
  <c r="E109" i="66"/>
  <c r="D109" i="66"/>
  <c r="C109" i="66"/>
  <c r="D108" i="66"/>
  <c r="E108" i="66" s="1"/>
  <c r="F108" i="66" s="1"/>
  <c r="G108" i="66" s="1"/>
  <c r="H108" i="66" s="1"/>
  <c r="I108" i="66" s="1"/>
  <c r="J108" i="66" s="1"/>
  <c r="K108" i="66" s="1"/>
  <c r="L108" i="66" s="1"/>
  <c r="M108" i="66" s="1"/>
  <c r="D106" i="66"/>
  <c r="E106" i="66" s="1"/>
  <c r="F106" i="66" s="1"/>
  <c r="G106" i="66" s="1"/>
  <c r="H106" i="66" s="1"/>
  <c r="I106" i="66" s="1"/>
  <c r="J106" i="66" s="1"/>
  <c r="K106" i="66" s="1"/>
  <c r="L106" i="66" s="1"/>
  <c r="M106" i="66" s="1"/>
  <c r="M102" i="66"/>
  <c r="L102" i="66"/>
  <c r="K102" i="66"/>
  <c r="J102" i="66"/>
  <c r="I102" i="66"/>
  <c r="H102" i="66"/>
  <c r="G102" i="66"/>
  <c r="F102" i="66"/>
  <c r="E102" i="66"/>
  <c r="D102" i="66"/>
  <c r="C102" i="66"/>
  <c r="D101" i="66"/>
  <c r="E101" i="66" s="1"/>
  <c r="B98" i="66"/>
  <c r="B96" i="66"/>
  <c r="B94" i="66"/>
  <c r="B92" i="66"/>
  <c r="D91" i="66"/>
  <c r="E91" i="66" s="1"/>
  <c r="F91" i="66" s="1"/>
  <c r="G91" i="66" s="1"/>
  <c r="H91" i="66" s="1"/>
  <c r="I91" i="66" s="1"/>
  <c r="J91" i="66" s="1"/>
  <c r="K91" i="66" s="1"/>
  <c r="L91" i="66" s="1"/>
  <c r="M91" i="66" s="1"/>
  <c r="B90" i="66"/>
  <c r="B88" i="66"/>
  <c r="J26" i="66" s="1"/>
  <c r="D87" i="66"/>
  <c r="D85" i="66"/>
  <c r="E85" i="66" s="1"/>
  <c r="F85" i="66" s="1"/>
  <c r="G85" i="66" s="1"/>
  <c r="D83" i="66"/>
  <c r="E83" i="66" s="1"/>
  <c r="F83" i="66" s="1"/>
  <c r="G83" i="66" s="1"/>
  <c r="D81" i="66"/>
  <c r="E81" i="66" s="1"/>
  <c r="F81" i="66" s="1"/>
  <c r="G81" i="66" s="1"/>
  <c r="D79" i="66"/>
  <c r="E79" i="66" s="1"/>
  <c r="F79" i="66" s="1"/>
  <c r="G79" i="66" s="1"/>
  <c r="D77" i="66"/>
  <c r="E77" i="66" s="1"/>
  <c r="F77" i="66" s="1"/>
  <c r="G77" i="66" s="1"/>
  <c r="B74" i="66"/>
  <c r="B72" i="66"/>
  <c r="B70" i="66"/>
  <c r="D69" i="66"/>
  <c r="E69" i="66" s="1"/>
  <c r="F69" i="66" s="1"/>
  <c r="G69" i="66" s="1"/>
  <c r="H69" i="66" s="1"/>
  <c r="I69" i="66" s="1"/>
  <c r="J69" i="66" s="1"/>
  <c r="K69" i="66" s="1"/>
  <c r="L69" i="66" s="1"/>
  <c r="M69" i="66" s="1"/>
  <c r="M67" i="66"/>
  <c r="L67" i="66"/>
  <c r="K67" i="66"/>
  <c r="J67" i="66"/>
  <c r="I67" i="66"/>
  <c r="H67" i="66"/>
  <c r="G67" i="66"/>
  <c r="F67" i="66"/>
  <c r="E67" i="66"/>
  <c r="D67" i="66"/>
  <c r="C67" i="66"/>
  <c r="G66" i="66"/>
  <c r="H66" i="66" s="1"/>
  <c r="I66" i="66" s="1"/>
  <c r="C63" i="66"/>
  <c r="I54" i="66"/>
  <c r="J54" i="66" s="1"/>
  <c r="G54" i="66"/>
  <c r="H54" i="66" s="1"/>
  <c r="E54" i="66"/>
  <c r="F54" i="66" s="1"/>
  <c r="V47" i="66"/>
  <c r="J8" i="66"/>
  <c r="AC8" i="66" s="1"/>
  <c r="J9" i="66"/>
  <c r="AC9" i="66" s="1"/>
  <c r="J15" i="66"/>
  <c r="J17" i="66"/>
  <c r="AC17" i="66" s="1"/>
  <c r="J19" i="66"/>
  <c r="AC19" i="66" s="1"/>
  <c r="J21" i="66"/>
  <c r="AC21" i="66" s="1"/>
  <c r="J23" i="66"/>
  <c r="AC23" i="66" s="1"/>
  <c r="J34" i="66"/>
  <c r="J35" i="66"/>
  <c r="AC35" i="66" s="1"/>
  <c r="J37" i="66"/>
  <c r="AC37" i="66" s="1"/>
  <c r="J42" i="66"/>
  <c r="AC42" i="66" s="1"/>
  <c r="J43" i="66"/>
  <c r="AC43" i="66" s="1"/>
  <c r="R47" i="66"/>
  <c r="F11" i="66"/>
  <c r="AA11" i="66" s="1"/>
  <c r="F35" i="66"/>
  <c r="T47" i="66"/>
  <c r="H8" i="66"/>
  <c r="AB8" i="66" s="1"/>
  <c r="H9" i="66"/>
  <c r="AB9" i="66" s="1"/>
  <c r="H10" i="66"/>
  <c r="H15" i="66"/>
  <c r="AB15" i="66" s="1"/>
  <c r="H17" i="66"/>
  <c r="AB17" i="66" s="1"/>
  <c r="H19" i="66"/>
  <c r="AB19" i="66" s="1"/>
  <c r="H21" i="66"/>
  <c r="H27" i="66"/>
  <c r="H42" i="66"/>
  <c r="U42" i="66" s="1"/>
  <c r="H43" i="66"/>
  <c r="H35" i="66"/>
  <c r="AB35" i="66" s="1"/>
  <c r="P49" i="66"/>
  <c r="P48" i="66"/>
  <c r="P47" i="66"/>
  <c r="J46" i="66"/>
  <c r="AC46" i="66" s="1"/>
  <c r="F46" i="66"/>
  <c r="AA46" i="66" s="1"/>
  <c r="Q46" i="66"/>
  <c r="Z46" i="66" s="1"/>
  <c r="S46" i="66"/>
  <c r="Q45" i="66"/>
  <c r="Z45" i="66" s="1"/>
  <c r="J44" i="66"/>
  <c r="AC44" i="66" s="1"/>
  <c r="H44" i="66"/>
  <c r="AB44" i="66" s="1"/>
  <c r="F44" i="66"/>
  <c r="AA44" i="66" s="1"/>
  <c r="Q44" i="66"/>
  <c r="Z44" i="66" s="1"/>
  <c r="W44" i="66"/>
  <c r="F43" i="66"/>
  <c r="AA43" i="66" s="1"/>
  <c r="Q43" i="66"/>
  <c r="Z43" i="66" s="1"/>
  <c r="F42" i="66"/>
  <c r="AA42" i="66" s="1"/>
  <c r="Q42" i="66"/>
  <c r="Z42" i="66" s="1"/>
  <c r="J41" i="66"/>
  <c r="AC41" i="66" s="1"/>
  <c r="H41" i="66"/>
  <c r="AB41" i="66" s="1"/>
  <c r="F41" i="66"/>
  <c r="S41" i="66" s="1"/>
  <c r="Q41" i="66"/>
  <c r="Z41" i="66"/>
  <c r="U41" i="66"/>
  <c r="J40" i="66"/>
  <c r="AC40" i="66" s="1"/>
  <c r="H40" i="66"/>
  <c r="AB40" i="66" s="1"/>
  <c r="F40" i="66"/>
  <c r="AA40" i="66"/>
  <c r="Q40" i="66"/>
  <c r="Z40" i="66" s="1"/>
  <c r="S40" i="66"/>
  <c r="Q39" i="66"/>
  <c r="Z39" i="66"/>
  <c r="J38" i="66"/>
  <c r="W38" i="66" s="1"/>
  <c r="H38" i="66"/>
  <c r="F38" i="66"/>
  <c r="AA38" i="66" s="1"/>
  <c r="Q38" i="66"/>
  <c r="Z38" i="66" s="1"/>
  <c r="F37" i="66"/>
  <c r="AA37" i="66" s="1"/>
  <c r="Q37" i="66"/>
  <c r="Z37" i="66" s="1"/>
  <c r="C36" i="66"/>
  <c r="Q36" i="66"/>
  <c r="Z36" i="66" s="1"/>
  <c r="Q35" i="66"/>
  <c r="Z35" i="66" s="1"/>
  <c r="H34" i="66"/>
  <c r="AB34" i="66"/>
  <c r="F34" i="66"/>
  <c r="S34" i="66" s="1"/>
  <c r="AA34" i="66"/>
  <c r="Q34" i="66"/>
  <c r="Z34" i="66"/>
  <c r="U34" i="66"/>
  <c r="C33" i="66"/>
  <c r="J33" i="66" s="1"/>
  <c r="Q33" i="66"/>
  <c r="Z33" i="66" s="1"/>
  <c r="H32" i="66"/>
  <c r="AB32" i="66" s="1"/>
  <c r="F32" i="66"/>
  <c r="AA32" i="66" s="1"/>
  <c r="Q32" i="66"/>
  <c r="Z32" i="66" s="1"/>
  <c r="J31" i="66"/>
  <c r="AC31" i="66" s="1"/>
  <c r="H31" i="66"/>
  <c r="AB31" i="66" s="1"/>
  <c r="F31" i="66"/>
  <c r="Q31" i="66"/>
  <c r="Z31" i="66" s="1"/>
  <c r="W31" i="66"/>
  <c r="J30" i="66"/>
  <c r="AC30" i="66" s="1"/>
  <c r="H30" i="66"/>
  <c r="F30" i="66"/>
  <c r="S30" i="66" s="1"/>
  <c r="Q30" i="66"/>
  <c r="Z30" i="66" s="1"/>
  <c r="J29" i="66"/>
  <c r="AC29" i="66" s="1"/>
  <c r="Q29" i="66"/>
  <c r="Z29" i="66" s="1"/>
  <c r="F28" i="66"/>
  <c r="AA28" i="66" s="1"/>
  <c r="Q28" i="66"/>
  <c r="Z28" i="66" s="1"/>
  <c r="F27" i="66"/>
  <c r="AA27" i="66" s="1"/>
  <c r="Q27" i="66"/>
  <c r="Z27" i="66" s="1"/>
  <c r="H26" i="66"/>
  <c r="AB26" i="66" s="1"/>
  <c r="Q26" i="66"/>
  <c r="Z26" i="66" s="1"/>
  <c r="Q25" i="66"/>
  <c r="Z25" i="66" s="1"/>
  <c r="F23" i="66"/>
  <c r="Q23" i="66"/>
  <c r="Z23" i="66" s="1"/>
  <c r="C23" i="66"/>
  <c r="F21" i="66"/>
  <c r="Q21" i="66"/>
  <c r="Z21" i="66" s="1"/>
  <c r="W21" i="66"/>
  <c r="C21" i="66"/>
  <c r="F19" i="66"/>
  <c r="Q19" i="66"/>
  <c r="Z19" i="66" s="1"/>
  <c r="W19" i="66"/>
  <c r="U19" i="66"/>
  <c r="C19" i="66"/>
  <c r="F17" i="66"/>
  <c r="Q17" i="66"/>
  <c r="Z17" i="66" s="1"/>
  <c r="W17" i="66"/>
  <c r="C17" i="66"/>
  <c r="F15" i="66"/>
  <c r="Q15" i="66"/>
  <c r="Z15" i="66" s="1"/>
  <c r="U15" i="66"/>
  <c r="C15" i="66"/>
  <c r="J14" i="66"/>
  <c r="AC14" i="66" s="1"/>
  <c r="H14" i="66"/>
  <c r="U14" i="66" s="1"/>
  <c r="F14" i="66"/>
  <c r="Q14" i="66"/>
  <c r="Z14" i="66" s="1"/>
  <c r="W14" i="66"/>
  <c r="Q13" i="66"/>
  <c r="Z13" i="66" s="1"/>
  <c r="J12" i="66"/>
  <c r="AC12" i="66" s="1"/>
  <c r="H12" i="66"/>
  <c r="F12" i="66"/>
  <c r="Q12" i="66"/>
  <c r="Z12" i="66" s="1"/>
  <c r="W12" i="66"/>
  <c r="Q11" i="66"/>
  <c r="Z11" i="66" s="1"/>
  <c r="S11" i="66"/>
  <c r="F10" i="66"/>
  <c r="AA10" i="66" s="1"/>
  <c r="Q10" i="66"/>
  <c r="Z10" i="66" s="1"/>
  <c r="F9" i="66"/>
  <c r="S9" i="66" s="1"/>
  <c r="Q9" i="66"/>
  <c r="Z9" i="66" s="1"/>
  <c r="W9" i="66"/>
  <c r="U9" i="66"/>
  <c r="F8" i="66"/>
  <c r="W8" i="66"/>
  <c r="U8" i="66"/>
  <c r="C2" i="66"/>
  <c r="F2" i="66" s="1"/>
  <c r="L23" i="1"/>
  <c r="K24" i="1" s="1"/>
  <c r="I24" i="1"/>
  <c r="I17" i="1"/>
  <c r="C36" i="33"/>
  <c r="C33" i="33"/>
  <c r="I3" i="65"/>
  <c r="C36" i="65"/>
  <c r="E36" i="64"/>
  <c r="N36" i="64" s="1"/>
  <c r="W5" i="64"/>
  <c r="W6" i="64"/>
  <c r="F7" i="64"/>
  <c r="W7" i="64" s="1"/>
  <c r="W8" i="64"/>
  <c r="F9" i="64"/>
  <c r="F10" i="64"/>
  <c r="W10" i="64" s="1"/>
  <c r="W11" i="64"/>
  <c r="W12" i="64"/>
  <c r="W13" i="64"/>
  <c r="W14" i="64"/>
  <c r="W15" i="64"/>
  <c r="F16" i="64"/>
  <c r="W17" i="64"/>
  <c r="F18" i="64"/>
  <c r="W19" i="64"/>
  <c r="F20" i="64"/>
  <c r="W20" i="64" s="1"/>
  <c r="W21" i="64"/>
  <c r="W22" i="64"/>
  <c r="W23" i="64"/>
  <c r="W24" i="64"/>
  <c r="W25" i="64"/>
  <c r="W26" i="64"/>
  <c r="W27" i="64"/>
  <c r="W28" i="64"/>
  <c r="W29" i="64"/>
  <c r="F30" i="64"/>
  <c r="W30" i="64" s="1"/>
  <c r="W31" i="64"/>
  <c r="W32" i="64"/>
  <c r="F33" i="64"/>
  <c r="J33" i="64" s="1"/>
  <c r="W34" i="64"/>
  <c r="F35" i="64"/>
  <c r="G36" i="64"/>
  <c r="P36" i="64" s="1"/>
  <c r="X5" i="64"/>
  <c r="X6" i="64"/>
  <c r="H7" i="64"/>
  <c r="H8" i="64"/>
  <c r="X8" i="64" s="1"/>
  <c r="H9" i="64"/>
  <c r="X9" i="64" s="1"/>
  <c r="H10" i="64"/>
  <c r="X11" i="64"/>
  <c r="X12" i="64"/>
  <c r="X13" i="64"/>
  <c r="X14" i="64"/>
  <c r="X15" i="64"/>
  <c r="X16" i="64"/>
  <c r="X17" i="64"/>
  <c r="H18" i="64"/>
  <c r="X19" i="64"/>
  <c r="H20" i="64"/>
  <c r="X20" i="64" s="1"/>
  <c r="X21" i="64"/>
  <c r="X22" i="64"/>
  <c r="X23" i="64"/>
  <c r="X24" i="64"/>
  <c r="X25" i="64"/>
  <c r="X26" i="64"/>
  <c r="X27" i="64"/>
  <c r="X28" i="64"/>
  <c r="X29" i="64"/>
  <c r="H30" i="64"/>
  <c r="X31" i="64"/>
  <c r="H32" i="64"/>
  <c r="X32" i="64" s="1"/>
  <c r="H34" i="64"/>
  <c r="X34" i="64" s="1"/>
  <c r="H35" i="64"/>
  <c r="X35" i="64" s="1"/>
  <c r="I36" i="64"/>
  <c r="R36" i="64" s="1"/>
  <c r="Y5" i="64"/>
  <c r="Y6" i="64"/>
  <c r="J7" i="64"/>
  <c r="Y7" i="64" s="1"/>
  <c r="J8" i="64"/>
  <c r="Y8" i="64" s="1"/>
  <c r="J9" i="64"/>
  <c r="J10" i="64"/>
  <c r="Y11" i="64"/>
  <c r="Y12" i="64"/>
  <c r="Y13" i="64"/>
  <c r="Y14" i="64"/>
  <c r="Y15" i="64"/>
  <c r="Y16" i="64"/>
  <c r="Y17" i="64"/>
  <c r="J18" i="64"/>
  <c r="Y18" i="64" s="1"/>
  <c r="Y19" i="64"/>
  <c r="J20" i="64"/>
  <c r="Y21" i="64"/>
  <c r="Y22" i="64"/>
  <c r="Y23" i="64"/>
  <c r="Y24" i="64"/>
  <c r="Y25" i="64"/>
  <c r="Y26" i="64"/>
  <c r="Y27" i="64"/>
  <c r="Y28" i="64"/>
  <c r="Y29" i="64"/>
  <c r="J30" i="64"/>
  <c r="Y30" i="64" s="1"/>
  <c r="Y31" i="64"/>
  <c r="J34" i="64"/>
  <c r="J35" i="64"/>
  <c r="Y35" i="64" s="1"/>
  <c r="C11" i="65"/>
  <c r="M4" i="65"/>
  <c r="M10" i="65"/>
  <c r="O8" i="65"/>
  <c r="O9" i="65"/>
  <c r="P9" i="65"/>
  <c r="E28" i="65"/>
  <c r="F19" i="65"/>
  <c r="F16" i="65"/>
  <c r="E15" i="65"/>
  <c r="C15" i="65"/>
  <c r="L36" i="64"/>
  <c r="M35" i="64"/>
  <c r="V35" i="64" s="1"/>
  <c r="S35" i="64"/>
  <c r="Q35" i="64"/>
  <c r="M34" i="64"/>
  <c r="V34" i="64" s="1"/>
  <c r="Q34" i="64"/>
  <c r="O34" i="64"/>
  <c r="I34" i="64"/>
  <c r="G34" i="64"/>
  <c r="M33" i="64"/>
  <c r="V33" i="64" s="1"/>
  <c r="M32" i="64"/>
  <c r="V32" i="64" s="1"/>
  <c r="Q32" i="64"/>
  <c r="O32" i="64"/>
  <c r="G32" i="64"/>
  <c r="I32" i="64" s="1"/>
  <c r="M31" i="64"/>
  <c r="V31" i="64" s="1"/>
  <c r="S31" i="64"/>
  <c r="Q31" i="64"/>
  <c r="O31" i="64"/>
  <c r="M30" i="64"/>
  <c r="V30" i="64" s="1"/>
  <c r="O30" i="64"/>
  <c r="M29" i="64"/>
  <c r="V29" i="64"/>
  <c r="S29" i="64"/>
  <c r="Q29" i="64"/>
  <c r="O29" i="64"/>
  <c r="M28" i="64"/>
  <c r="V28" i="64" s="1"/>
  <c r="S28" i="64"/>
  <c r="Q28" i="64"/>
  <c r="O28" i="64"/>
  <c r="M27" i="64"/>
  <c r="V27" i="64" s="1"/>
  <c r="S27" i="64"/>
  <c r="Q27" i="64"/>
  <c r="O27" i="64"/>
  <c r="M26" i="64"/>
  <c r="V26" i="64" s="1"/>
  <c r="S26" i="64"/>
  <c r="Q26" i="64"/>
  <c r="O26" i="64"/>
  <c r="M25" i="64"/>
  <c r="V25" i="64" s="1"/>
  <c r="S25" i="64"/>
  <c r="Q25" i="64"/>
  <c r="O25" i="64"/>
  <c r="M24" i="64"/>
  <c r="V24" i="64" s="1"/>
  <c r="S24" i="64"/>
  <c r="Q24" i="64"/>
  <c r="O24" i="64"/>
  <c r="M23" i="64"/>
  <c r="V23" i="64" s="1"/>
  <c r="S23" i="64"/>
  <c r="Q23" i="64"/>
  <c r="O23" i="64"/>
  <c r="M22" i="64"/>
  <c r="V22" i="64" s="1"/>
  <c r="S22" i="64"/>
  <c r="Q22" i="64"/>
  <c r="O22" i="64"/>
  <c r="M21" i="64"/>
  <c r="V21" i="64" s="1"/>
  <c r="S21" i="64"/>
  <c r="Q21" i="64"/>
  <c r="O21" i="64"/>
  <c r="M20" i="64"/>
  <c r="V20" i="64" s="1"/>
  <c r="O20" i="64"/>
  <c r="M19" i="64"/>
  <c r="V19" i="64" s="1"/>
  <c r="S19" i="64"/>
  <c r="Q19" i="64"/>
  <c r="O19" i="64"/>
  <c r="M18" i="64"/>
  <c r="V18" i="64" s="1"/>
  <c r="S18" i="64"/>
  <c r="I18" i="64"/>
  <c r="G18" i="64"/>
  <c r="E18" i="64"/>
  <c r="M17" i="64"/>
  <c r="V17" i="64" s="1"/>
  <c r="S17" i="64"/>
  <c r="Q17" i="64"/>
  <c r="O17" i="64"/>
  <c r="M16" i="64"/>
  <c r="V16" i="64" s="1"/>
  <c r="S16" i="64"/>
  <c r="Q16" i="64"/>
  <c r="M15" i="64"/>
  <c r="V15" i="64" s="1"/>
  <c r="S15" i="64"/>
  <c r="Q15" i="64"/>
  <c r="O15" i="64"/>
  <c r="M14" i="64"/>
  <c r="V14" i="64" s="1"/>
  <c r="S14" i="64"/>
  <c r="Q14" i="64"/>
  <c r="O14" i="64"/>
  <c r="M13" i="64"/>
  <c r="V13" i="64" s="1"/>
  <c r="S13" i="64"/>
  <c r="Q13" i="64"/>
  <c r="O13" i="64"/>
  <c r="M12" i="64"/>
  <c r="V12" i="64" s="1"/>
  <c r="S12" i="64"/>
  <c r="Q12" i="64"/>
  <c r="O12" i="64"/>
  <c r="M11" i="64"/>
  <c r="V11" i="64" s="1"/>
  <c r="S11" i="64"/>
  <c r="Q11" i="64"/>
  <c r="O11" i="64"/>
  <c r="M10" i="64"/>
  <c r="V10" i="64" s="1"/>
  <c r="O10" i="64"/>
  <c r="M9" i="64"/>
  <c r="V9" i="64" s="1"/>
  <c r="Q9" i="64"/>
  <c r="M8" i="64"/>
  <c r="V8" i="64" s="1"/>
  <c r="S8" i="64"/>
  <c r="O8" i="64"/>
  <c r="I8" i="64"/>
  <c r="G8" i="64"/>
  <c r="M7" i="64"/>
  <c r="V7" i="64" s="1"/>
  <c r="S7" i="64"/>
  <c r="O7" i="64"/>
  <c r="I7" i="64"/>
  <c r="G7" i="64"/>
  <c r="S6" i="64"/>
  <c r="Q6" i="64"/>
  <c r="O6" i="64"/>
  <c r="S5" i="64"/>
  <c r="Q5" i="64"/>
  <c r="O5" i="64"/>
  <c r="R3" i="64"/>
  <c r="Y3" i="64" s="1"/>
  <c r="P3" i="64"/>
  <c r="X3" i="64" s="1"/>
  <c r="N3" i="64"/>
  <c r="W3" i="64" s="1"/>
  <c r="AH5" i="59"/>
  <c r="AG5" i="59"/>
  <c r="AE5" i="59"/>
  <c r="AF5" i="59" s="1"/>
  <c r="AD5" i="59"/>
  <c r="Q5" i="59"/>
  <c r="Q6" i="59"/>
  <c r="P5" i="59"/>
  <c r="P6" i="59"/>
  <c r="O5" i="59"/>
  <c r="O6" i="59"/>
  <c r="N5" i="59"/>
  <c r="N6" i="59"/>
  <c r="B2" i="48"/>
  <c r="B6" i="48" s="1"/>
  <c r="C3" i="4" s="1"/>
  <c r="H17" i="48"/>
  <c r="D18" i="48"/>
  <c r="O7" i="59"/>
  <c r="O8" i="59"/>
  <c r="N7" i="59"/>
  <c r="N8" i="59"/>
  <c r="AH6" i="59"/>
  <c r="AG6" i="59"/>
  <c r="AE6" i="59"/>
  <c r="AF6" i="59" s="1"/>
  <c r="AD6" i="59"/>
  <c r="Q7" i="59"/>
  <c r="Q8" i="59"/>
  <c r="P7" i="59"/>
  <c r="P8" i="59"/>
  <c r="B2" i="1"/>
  <c r="J50" i="15"/>
  <c r="M48" i="15"/>
  <c r="B25" i="1"/>
  <c r="B5" i="1"/>
  <c r="E13" i="1" s="1"/>
  <c r="M8" i="15"/>
  <c r="E31" i="1"/>
  <c r="E29" i="1" s="1"/>
  <c r="F7" i="15"/>
  <c r="F8" i="15"/>
  <c r="F9" i="15"/>
  <c r="AH7" i="59"/>
  <c r="AG7" i="59"/>
  <c r="AE7" i="59"/>
  <c r="AF7" i="59"/>
  <c r="AD7" i="59"/>
  <c r="M15" i="45"/>
  <c r="L15" i="45"/>
  <c r="K15" i="45"/>
  <c r="J15" i="45"/>
  <c r="I15" i="45"/>
  <c r="H15" i="45"/>
  <c r="G15" i="45"/>
  <c r="F15" i="45"/>
  <c r="E15" i="45"/>
  <c r="D15" i="45"/>
  <c r="C15" i="45"/>
  <c r="B15" i="45"/>
  <c r="AH8" i="59"/>
  <c r="AG8" i="59"/>
  <c r="AE8" i="59"/>
  <c r="AF8" i="59" s="1"/>
  <c r="AD8" i="59"/>
  <c r="AH9" i="59"/>
  <c r="AG9" i="59"/>
  <c r="AE9" i="59"/>
  <c r="AF9" i="59" s="1"/>
  <c r="AD9" i="59"/>
  <c r="Q9" i="59"/>
  <c r="P9" i="59"/>
  <c r="O9" i="59"/>
  <c r="N9" i="59"/>
  <c r="L3" i="59"/>
  <c r="AH3" i="59" s="1"/>
  <c r="K3" i="59"/>
  <c r="AG3" i="59" s="1"/>
  <c r="J3" i="59"/>
  <c r="AE3" i="59" s="1"/>
  <c r="AF3" i="59" s="1"/>
  <c r="I3" i="59"/>
  <c r="AD3" i="59" s="1"/>
  <c r="AH10" i="59"/>
  <c r="AG10" i="59"/>
  <c r="AE10" i="59"/>
  <c r="AF10" i="59" s="1"/>
  <c r="AD10" i="59"/>
  <c r="Q10" i="59"/>
  <c r="Q11" i="59"/>
  <c r="P10" i="59"/>
  <c r="P11" i="59"/>
  <c r="O10" i="59"/>
  <c r="O11" i="59"/>
  <c r="N10" i="59"/>
  <c r="N11" i="59"/>
  <c r="N12" i="59"/>
  <c r="O12" i="59"/>
  <c r="P12" i="59"/>
  <c r="Q12" i="59"/>
  <c r="AD11" i="59"/>
  <c r="AE11" i="59"/>
  <c r="AF11" i="59" s="1"/>
  <c r="AG11" i="59"/>
  <c r="AH11" i="59"/>
  <c r="B23" i="1"/>
  <c r="J51" i="15"/>
  <c r="AH12" i="59"/>
  <c r="AG12" i="59"/>
  <c r="AE12" i="59"/>
  <c r="AF12" i="59" s="1"/>
  <c r="AD12" i="59"/>
  <c r="AH13" i="59"/>
  <c r="AG13" i="59"/>
  <c r="AE13" i="59"/>
  <c r="AF13" i="59" s="1"/>
  <c r="AD13" i="59"/>
  <c r="Q13" i="59"/>
  <c r="F13" i="59" s="1"/>
  <c r="P13" i="59"/>
  <c r="O13" i="59"/>
  <c r="C13" i="59" s="1"/>
  <c r="D13" i="59" s="1"/>
  <c r="N13" i="59"/>
  <c r="Q14" i="59"/>
  <c r="P14" i="59"/>
  <c r="O14" i="59"/>
  <c r="N14" i="59"/>
  <c r="D14" i="59"/>
  <c r="F12" i="59"/>
  <c r="F11" i="59" s="1"/>
  <c r="A2" i="50"/>
  <c r="B16" i="60" s="1"/>
  <c r="V13" i="59"/>
  <c r="K60" i="15"/>
  <c r="A126" i="57"/>
  <c r="A123" i="9"/>
  <c r="A6" i="52" s="1"/>
  <c r="B64" i="60" s="1"/>
  <c r="A16" i="54"/>
  <c r="B14" i="60" s="1"/>
  <c r="A14" i="54"/>
  <c r="B12" i="60" s="1"/>
  <c r="A19" i="55"/>
  <c r="B49" i="60" s="1"/>
  <c r="A13" i="55"/>
  <c r="A1" i="52"/>
  <c r="A4" i="50"/>
  <c r="P15" i="59"/>
  <c r="O15" i="59"/>
  <c r="N15" i="59"/>
  <c r="Q15"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s="1"/>
  <c r="B14" i="62"/>
  <c r="B1" i="62"/>
  <c r="C23" i="31"/>
  <c r="B3" i="62"/>
  <c r="O16" i="59"/>
  <c r="P16" i="59"/>
  <c r="AA16" i="59" s="1"/>
  <c r="Q16" i="59"/>
  <c r="N16"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s="1"/>
  <c r="AG27" i="59"/>
  <c r="AH27" i="59"/>
  <c r="AH28" i="59"/>
  <c r="AG28" i="59"/>
  <c r="AE28" i="59"/>
  <c r="AF28" i="59" s="1"/>
  <c r="AD28" i="59"/>
  <c r="AD29" i="59"/>
  <c r="AE29" i="59"/>
  <c r="AF29" i="59" s="1"/>
  <c r="AG29" i="59"/>
  <c r="AH29" i="59"/>
  <c r="S5" i="31"/>
  <c r="M5" i="31"/>
  <c r="N5" i="31"/>
  <c r="O5" i="31"/>
  <c r="P5" i="31"/>
  <c r="Q5" i="31"/>
  <c r="R5" i="31"/>
  <c r="C1" i="61"/>
  <c r="J1" i="61" s="1"/>
  <c r="B68" i="60"/>
  <c r="D28" i="57"/>
  <c r="D29" i="57"/>
  <c r="D28" i="9"/>
  <c r="D29" i="9"/>
  <c r="A10" i="54"/>
  <c r="B9" i="60" s="1"/>
  <c r="Y12" i="43"/>
  <c r="Y10" i="43"/>
  <c r="AJ9" i="43"/>
  <c r="AJ12" i="43" s="1"/>
  <c r="AI9" i="43"/>
  <c r="AH9" i="43"/>
  <c r="AG9" i="43"/>
  <c r="AG12" i="43" s="1"/>
  <c r="AF9" i="43"/>
  <c r="AF12" i="43"/>
  <c r="AE9" i="43"/>
  <c r="AD9" i="43"/>
  <c r="AD12" i="43" s="1"/>
  <c r="AC9" i="43"/>
  <c r="AB9" i="43"/>
  <c r="AB12" i="43" s="1"/>
  <c r="AA9" i="43"/>
  <c r="Z9" i="43"/>
  <c r="AG10" i="43"/>
  <c r="AF10" i="43"/>
  <c r="K50" i="57"/>
  <c r="K49" i="9"/>
  <c r="F111" i="57"/>
  <c r="A115" i="57"/>
  <c r="A128" i="57"/>
  <c r="A112" i="9"/>
  <c r="A125" i="9"/>
  <c r="A8" i="52" s="1"/>
  <c r="B65" i="60" s="1"/>
  <c r="F110" i="9"/>
  <c r="B15" i="50" s="1"/>
  <c r="B36" i="50" s="1"/>
  <c r="F115" i="57"/>
  <c r="A132" i="57"/>
  <c r="A119" i="57"/>
  <c r="A116" i="9"/>
  <c r="F113" i="57"/>
  <c r="A117" i="57"/>
  <c r="A130" i="57"/>
  <c r="A114" i="9"/>
  <c r="A127" i="9"/>
  <c r="A10" i="52" s="1"/>
  <c r="B66" i="60" s="1"/>
  <c r="F114" i="9"/>
  <c r="A129" i="9"/>
  <c r="A12" i="52" s="1"/>
  <c r="B67" i="60" s="1"/>
  <c r="F112" i="9"/>
  <c r="B18" i="50" s="1"/>
  <c r="B39" i="50" s="1"/>
  <c r="B45" i="50"/>
  <c r="B59" i="60" s="1"/>
  <c r="D2" i="52"/>
  <c r="B60" i="60" s="1"/>
  <c r="B10" i="50"/>
  <c r="B31" i="50" s="1"/>
  <c r="C6" i="50"/>
  <c r="B18" i="60" s="1"/>
  <c r="A13" i="54"/>
  <c r="B10" i="60" s="1"/>
  <c r="B51" i="60"/>
  <c r="B50" i="60"/>
  <c r="B47" i="60"/>
  <c r="B51" i="10"/>
  <c r="A15" i="55"/>
  <c r="B45" i="60" s="1"/>
  <c r="A14" i="55"/>
  <c r="B44" i="60"/>
  <c r="B43" i="60"/>
  <c r="C10" i="50"/>
  <c r="B24" i="60" s="1"/>
  <c r="C7" i="50"/>
  <c r="C15" i="50"/>
  <c r="C18" i="50"/>
  <c r="C21" i="50"/>
  <c r="B20" i="60"/>
  <c r="C35" i="50"/>
  <c r="C34" i="50"/>
  <c r="C33" i="50"/>
  <c r="C13" i="50"/>
  <c r="B13" i="60"/>
  <c r="C42" i="50"/>
  <c r="C36" i="50"/>
  <c r="C39" i="50"/>
  <c r="I19" i="43"/>
  <c r="A135" i="57"/>
  <c r="F118" i="57"/>
  <c r="D78" i="59"/>
  <c r="F77" i="59"/>
  <c r="F76" i="59" s="1"/>
  <c r="F75" i="59" s="1"/>
  <c r="E77" i="59"/>
  <c r="E76" i="59" s="1"/>
  <c r="E75" i="59" s="1"/>
  <c r="C77" i="59"/>
  <c r="D77" i="59" s="1"/>
  <c r="B77" i="59"/>
  <c r="B76" i="59" s="1"/>
  <c r="B75" i="59" s="1"/>
  <c r="D74" i="59"/>
  <c r="F73" i="59"/>
  <c r="F72" i="59" s="1"/>
  <c r="F71" i="59" s="1"/>
  <c r="E73" i="59"/>
  <c r="E72" i="59" s="1"/>
  <c r="E71" i="59" s="1"/>
  <c r="C73" i="59"/>
  <c r="C72" i="59" s="1"/>
  <c r="C71" i="59" s="1"/>
  <c r="D71" i="59" s="1"/>
  <c r="B73" i="59"/>
  <c r="B72" i="59" s="1"/>
  <c r="B71" i="59" s="1"/>
  <c r="D70" i="59"/>
  <c r="Q69" i="59"/>
  <c r="P69" i="59"/>
  <c r="O69" i="59"/>
  <c r="N69" i="59"/>
  <c r="F69" i="59"/>
  <c r="E69" i="59"/>
  <c r="U69" i="59" s="1"/>
  <c r="C69" i="59"/>
  <c r="B69" i="59"/>
  <c r="Q68" i="59"/>
  <c r="P68" i="59"/>
  <c r="O68" i="59"/>
  <c r="N68" i="59"/>
  <c r="Q67" i="59"/>
  <c r="P67" i="59"/>
  <c r="O67" i="59"/>
  <c r="N67" i="59"/>
  <c r="Q66" i="59"/>
  <c r="P66" i="59"/>
  <c r="O66" i="59"/>
  <c r="N66" i="59"/>
  <c r="D66" i="59"/>
  <c r="Q65" i="59"/>
  <c r="P65" i="59"/>
  <c r="O65" i="59"/>
  <c r="N65" i="59"/>
  <c r="F65" i="59"/>
  <c r="V65" i="59" s="1"/>
  <c r="E65" i="59"/>
  <c r="C65" i="59"/>
  <c r="T65" i="59" s="1"/>
  <c r="B65" i="59"/>
  <c r="B64" i="59" s="1"/>
  <c r="B63" i="59" s="1"/>
  <c r="Q64" i="59"/>
  <c r="P64" i="59"/>
  <c r="O64" i="59"/>
  <c r="N64" i="59"/>
  <c r="F64" i="59"/>
  <c r="F63" i="59" s="1"/>
  <c r="Q63" i="59"/>
  <c r="P63" i="59"/>
  <c r="O63" i="59"/>
  <c r="N63" i="59"/>
  <c r="Q62" i="59"/>
  <c r="P62" i="59"/>
  <c r="O62" i="59"/>
  <c r="N62" i="59"/>
  <c r="D62" i="59"/>
  <c r="Q61" i="59"/>
  <c r="P61" i="59"/>
  <c r="O61" i="59"/>
  <c r="N61" i="59"/>
  <c r="F61" i="59"/>
  <c r="E61" i="59"/>
  <c r="E60" i="59" s="1"/>
  <c r="E59" i="59" s="1"/>
  <c r="C61" i="59"/>
  <c r="T61" i="59" s="1"/>
  <c r="B61" i="59"/>
  <c r="Q60" i="59"/>
  <c r="P60" i="59"/>
  <c r="O60" i="59"/>
  <c r="N60" i="59"/>
  <c r="Q59" i="59"/>
  <c r="P59" i="59"/>
  <c r="O59" i="59"/>
  <c r="N59" i="59"/>
  <c r="Q58" i="59"/>
  <c r="P58" i="59"/>
  <c r="O58" i="59"/>
  <c r="N58" i="59"/>
  <c r="D58" i="59"/>
  <c r="F57" i="59"/>
  <c r="E57" i="59"/>
  <c r="P57" i="59" s="1"/>
  <c r="E56" i="59"/>
  <c r="P56" i="59" s="1"/>
  <c r="C57" i="59"/>
  <c r="T57" i="59" s="1"/>
  <c r="B57" i="59"/>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D51" i="59" s="1"/>
  <c r="N50" i="59"/>
  <c r="B51" i="59" s="1"/>
  <c r="B52" i="59" s="1"/>
  <c r="B53" i="59" s="1"/>
  <c r="S53" i="59" s="1"/>
  <c r="D50" i="59"/>
  <c r="Q49" i="59"/>
  <c r="P49" i="59"/>
  <c r="O49" i="59"/>
  <c r="N49" i="59"/>
  <c r="Q48" i="59"/>
  <c r="P48" i="59"/>
  <c r="O48" i="59"/>
  <c r="N48" i="59"/>
  <c r="Q47" i="59"/>
  <c r="P47" i="59"/>
  <c r="O47" i="59"/>
  <c r="N47" i="59"/>
  <c r="Q46" i="59"/>
  <c r="F47" i="59"/>
  <c r="P46" i="59"/>
  <c r="E47" i="59" s="1"/>
  <c r="O46" i="59"/>
  <c r="C47" i="59" s="1"/>
  <c r="N46" i="59"/>
  <c r="B47" i="59"/>
  <c r="B48" i="59" s="1"/>
  <c r="B49" i="59" s="1"/>
  <c r="S49" i="59" s="1"/>
  <c r="D46" i="59"/>
  <c r="Q45" i="59"/>
  <c r="P45" i="59"/>
  <c r="O45" i="59"/>
  <c r="N45" i="59"/>
  <c r="Q44" i="59"/>
  <c r="P44" i="59"/>
  <c r="O44" i="59"/>
  <c r="N44" i="59"/>
  <c r="Q43" i="59"/>
  <c r="F44" i="59" s="1"/>
  <c r="F45" i="59" s="1"/>
  <c r="V45" i="59" s="1"/>
  <c r="P43" i="59"/>
  <c r="O43" i="59"/>
  <c r="N43" i="59"/>
  <c r="C43" i="59"/>
  <c r="D43" i="59" s="1"/>
  <c r="Q42" i="59"/>
  <c r="F43" i="59" s="1"/>
  <c r="P42" i="59"/>
  <c r="E43" i="59" s="1"/>
  <c r="E44" i="59" s="1"/>
  <c r="E45" i="59" s="1"/>
  <c r="U45" i="59" s="1"/>
  <c r="O42" i="59"/>
  <c r="N42" i="59"/>
  <c r="B43" i="59" s="1"/>
  <c r="B44" i="59" s="1"/>
  <c r="B45" i="59" s="1"/>
  <c r="S45" i="59" s="1"/>
  <c r="D42" i="59"/>
  <c r="Q41" i="59"/>
  <c r="P41" i="59"/>
  <c r="O41" i="59"/>
  <c r="N41" i="59"/>
  <c r="Q40" i="59"/>
  <c r="P40" i="59"/>
  <c r="O40" i="59"/>
  <c r="N40" i="59"/>
  <c r="Q39" i="59"/>
  <c r="P39" i="59"/>
  <c r="O39" i="59"/>
  <c r="N39" i="59"/>
  <c r="Q38" i="59"/>
  <c r="F39" i="59" s="1"/>
  <c r="P38" i="59"/>
  <c r="E39" i="59" s="1"/>
  <c r="O38" i="59"/>
  <c r="C39" i="59" s="1"/>
  <c r="N38" i="59"/>
  <c r="B39" i="59" s="1"/>
  <c r="D38" i="59"/>
  <c r="T37" i="59"/>
  <c r="Q37" i="59"/>
  <c r="P37" i="59"/>
  <c r="O37" i="59"/>
  <c r="N37" i="59"/>
  <c r="D37" i="59"/>
  <c r="Q36" i="59"/>
  <c r="P36" i="59"/>
  <c r="O36" i="59"/>
  <c r="N36" i="59"/>
  <c r="Q35" i="59"/>
  <c r="P35" i="59"/>
  <c r="O35" i="59"/>
  <c r="N35" i="59"/>
  <c r="Q34" i="59"/>
  <c r="F35" i="59" s="1"/>
  <c r="F36" i="59" s="1"/>
  <c r="F37" i="59" s="1"/>
  <c r="V37" i="59" s="1"/>
  <c r="P34" i="59"/>
  <c r="E35" i="59" s="1"/>
  <c r="O34" i="59"/>
  <c r="C35" i="59" s="1"/>
  <c r="D35" i="59" s="1"/>
  <c r="N34" i="59"/>
  <c r="B35" i="59" s="1"/>
  <c r="D34" i="59"/>
  <c r="Q33" i="59"/>
  <c r="P33" i="59"/>
  <c r="O33" i="59"/>
  <c r="N33" i="59"/>
  <c r="Q32" i="59"/>
  <c r="P32" i="59"/>
  <c r="O32" i="59"/>
  <c r="N32" i="59"/>
  <c r="Q31" i="59"/>
  <c r="P31" i="59"/>
  <c r="O31" i="59"/>
  <c r="N31" i="59"/>
  <c r="Q30" i="59"/>
  <c r="F31" i="59" s="1"/>
  <c r="F32" i="59" s="1"/>
  <c r="F33" i="59" s="1"/>
  <c r="V33" i="59" s="1"/>
  <c r="P30" i="59"/>
  <c r="E31" i="59" s="1"/>
  <c r="E32" i="59" s="1"/>
  <c r="E33" i="59" s="1"/>
  <c r="U33" i="59" s="1"/>
  <c r="O30" i="59"/>
  <c r="C31" i="59" s="1"/>
  <c r="N30" i="59"/>
  <c r="B31" i="59" s="1"/>
  <c r="D30" i="59"/>
  <c r="Q29" i="59"/>
  <c r="P29" i="59"/>
  <c r="O29" i="59"/>
  <c r="N29" i="59"/>
  <c r="Q28" i="59"/>
  <c r="AB28" i="59" s="1"/>
  <c r="P28" i="59"/>
  <c r="AA28" i="59" s="1"/>
  <c r="O28" i="59"/>
  <c r="Y28" i="59" s="1"/>
  <c r="Z28" i="59" s="1"/>
  <c r="N28" i="59"/>
  <c r="X28" i="59" s="1"/>
  <c r="Q27" i="59"/>
  <c r="P27" i="59"/>
  <c r="O27" i="59"/>
  <c r="Y27" i="59" s="1"/>
  <c r="Z27" i="59" s="1"/>
  <c r="N27" i="59"/>
  <c r="Q26" i="59"/>
  <c r="P26" i="59"/>
  <c r="AA26" i="59" s="1"/>
  <c r="O26" i="59"/>
  <c r="N26" i="59"/>
  <c r="B27" i="59" s="1"/>
  <c r="D26" i="59"/>
  <c r="Q25" i="59"/>
  <c r="AB25" i="59" s="1"/>
  <c r="P25" i="59"/>
  <c r="AA25" i="59" s="1"/>
  <c r="O25" i="59"/>
  <c r="N25" i="59"/>
  <c r="X25" i="59" s="1"/>
  <c r="Q24" i="59"/>
  <c r="AB24" i="59" s="1"/>
  <c r="P24" i="59"/>
  <c r="AA24" i="59" s="1"/>
  <c r="O24" i="59"/>
  <c r="N24" i="59"/>
  <c r="Q23" i="59"/>
  <c r="AB23" i="59" s="1"/>
  <c r="P23" i="59"/>
  <c r="AA23" i="59" s="1"/>
  <c r="O23" i="59"/>
  <c r="N23" i="59"/>
  <c r="Q22" i="59"/>
  <c r="P22" i="59"/>
  <c r="E23" i="59" s="1"/>
  <c r="O22" i="59"/>
  <c r="N22" i="59"/>
  <c r="B23" i="59" s="1"/>
  <c r="B24" i="59" s="1"/>
  <c r="B25" i="59" s="1"/>
  <c r="S25" i="59" s="1"/>
  <c r="D22" i="59"/>
  <c r="Q21" i="59"/>
  <c r="P21" i="59"/>
  <c r="O21" i="59"/>
  <c r="N21" i="59"/>
  <c r="Q20" i="59"/>
  <c r="P20" i="59"/>
  <c r="O20" i="59"/>
  <c r="N20" i="59"/>
  <c r="Q19" i="59"/>
  <c r="P19" i="59"/>
  <c r="O19" i="59"/>
  <c r="N19" i="59"/>
  <c r="Q18" i="59"/>
  <c r="F19" i="59" s="1"/>
  <c r="F20" i="59" s="1"/>
  <c r="F21" i="59" s="1"/>
  <c r="V21" i="59" s="1"/>
  <c r="P18" i="59"/>
  <c r="E19" i="59" s="1"/>
  <c r="E20" i="59" s="1"/>
  <c r="E21" i="59" s="1"/>
  <c r="U21" i="59" s="1"/>
  <c r="O18" i="59"/>
  <c r="C19" i="59" s="1"/>
  <c r="N18" i="59"/>
  <c r="B19" i="59" s="1"/>
  <c r="D18" i="59"/>
  <c r="O17" i="59"/>
  <c r="N17" i="59"/>
  <c r="B17" i="59" s="1"/>
  <c r="P17" i="59"/>
  <c r="Q17" i="59"/>
  <c r="O57" i="59"/>
  <c r="D57" i="59"/>
  <c r="C56" i="59"/>
  <c r="D61" i="59"/>
  <c r="C60" i="59"/>
  <c r="D65" i="59"/>
  <c r="D69" i="59"/>
  <c r="D72" i="59"/>
  <c r="C59" i="59"/>
  <c r="D59" i="59" s="1"/>
  <c r="D60" i="59"/>
  <c r="Z25" i="40"/>
  <c r="Q25" i="40"/>
  <c r="E94" i="40"/>
  <c r="F94" i="40" s="1"/>
  <c r="G94" i="40" s="1"/>
  <c r="D94" i="40"/>
  <c r="H25" i="40"/>
  <c r="U25" i="40" s="1"/>
  <c r="F25" i="40"/>
  <c r="AA25" i="40" s="1"/>
  <c r="Q27" i="39"/>
  <c r="Z27" i="39" s="1"/>
  <c r="D101" i="39"/>
  <c r="E101" i="39" s="1"/>
  <c r="F101" i="39"/>
  <c r="G101" i="39" s="1"/>
  <c r="C21" i="20"/>
  <c r="C27" i="39" s="1"/>
  <c r="Q18" i="36"/>
  <c r="Z18" i="36" s="1"/>
  <c r="F18" i="36"/>
  <c r="AA18" i="36" s="1"/>
  <c r="C18" i="36"/>
  <c r="D66" i="36"/>
  <c r="E66" i="36" s="1"/>
  <c r="F66" i="36" s="1"/>
  <c r="G66" i="36" s="1"/>
  <c r="Z18" i="35"/>
  <c r="Q18" i="35"/>
  <c r="D68" i="35"/>
  <c r="E68" i="35" s="1"/>
  <c r="F68" i="35" s="1"/>
  <c r="G68" i="35" s="1"/>
  <c r="J18" i="35"/>
  <c r="AC18" i="35" s="1"/>
  <c r="H18" i="35"/>
  <c r="F18" i="35"/>
  <c r="AA18" i="35" s="1"/>
  <c r="C18" i="35"/>
  <c r="Q21" i="37"/>
  <c r="Z21" i="37" s="1"/>
  <c r="D77" i="37"/>
  <c r="E77" i="37" s="1"/>
  <c r="F77" i="37" s="1"/>
  <c r="G77" i="37" s="1"/>
  <c r="H21" i="37"/>
  <c r="F21" i="37"/>
  <c r="AA21" i="37" s="1"/>
  <c r="C21" i="37"/>
  <c r="Q21" i="34"/>
  <c r="Z21" i="34" s="1"/>
  <c r="D84" i="34"/>
  <c r="E84" i="34" s="1"/>
  <c r="F84" i="34" s="1"/>
  <c r="F21" i="34"/>
  <c r="C21" i="34"/>
  <c r="Q21" i="33"/>
  <c r="Z21" i="33" s="1"/>
  <c r="D83" i="33"/>
  <c r="E83" i="33" s="1"/>
  <c r="F83" i="33" s="1"/>
  <c r="G83" i="33" s="1"/>
  <c r="H21" i="33"/>
  <c r="U21" i="33" s="1"/>
  <c r="F21" i="33"/>
  <c r="AA21" i="33" s="1"/>
  <c r="C21" i="33"/>
  <c r="Q21" i="21"/>
  <c r="Z21" i="21" s="1"/>
  <c r="D83" i="21"/>
  <c r="E83" i="21" s="1"/>
  <c r="F21" i="21"/>
  <c r="C21" i="21"/>
  <c r="G20" i="20"/>
  <c r="C25" i="40" s="1"/>
  <c r="C22" i="20"/>
  <c r="AB25" i="40"/>
  <c r="S18" i="36"/>
  <c r="W18" i="35"/>
  <c r="S18" i="35"/>
  <c r="S21" i="33"/>
  <c r="J25" i="40"/>
  <c r="J27" i="39"/>
  <c r="H27" i="39"/>
  <c r="F27" i="39"/>
  <c r="H18" i="36"/>
  <c r="J18" i="36"/>
  <c r="J21" i="37"/>
  <c r="H21" i="34"/>
  <c r="J21" i="33"/>
  <c r="F83" i="21"/>
  <c r="H21" i="21"/>
  <c r="F52" i="15"/>
  <c r="F15" i="15"/>
  <c r="F16" i="15"/>
  <c r="F17" i="15"/>
  <c r="F18" i="15"/>
  <c r="F20" i="15"/>
  <c r="F23" i="15"/>
  <c r="D23" i="15" s="1"/>
  <c r="F26" i="15"/>
  <c r="F21" i="15"/>
  <c r="C21" i="15" s="1"/>
  <c r="F33" i="15"/>
  <c r="F62" i="15" s="1"/>
  <c r="F36" i="15"/>
  <c r="F65" i="15" s="1"/>
  <c r="F13" i="15"/>
  <c r="F37" i="15"/>
  <c r="F66" i="15" s="1"/>
  <c r="F38" i="15"/>
  <c r="F67" i="15" s="1"/>
  <c r="M6" i="15"/>
  <c r="M9" i="15"/>
  <c r="F6" i="15"/>
  <c r="G58" i="40"/>
  <c r="C58" i="40" s="1"/>
  <c r="M19" i="15"/>
  <c r="M24" i="15"/>
  <c r="M22" i="15"/>
  <c r="J15" i="15"/>
  <c r="M23" i="15"/>
  <c r="C2" i="11"/>
  <c r="F2" i="11" s="1"/>
  <c r="C7" i="12"/>
  <c r="C8" i="12" s="1"/>
  <c r="C4" i="12" s="1"/>
  <c r="F23" i="12"/>
  <c r="F11" i="12"/>
  <c r="D20" i="12"/>
  <c r="D19" i="12"/>
  <c r="D17" i="12"/>
  <c r="D14" i="12"/>
  <c r="C2" i="12"/>
  <c r="B24" i="1"/>
  <c r="F28" i="12"/>
  <c r="I1" i="4"/>
  <c r="B6" i="50" s="1"/>
  <c r="B17" i="60" s="1"/>
  <c r="B1" i="4"/>
  <c r="B9" i="49" s="1"/>
  <c r="B2" i="60" s="1"/>
  <c r="C31" i="58"/>
  <c r="C27" i="58"/>
  <c r="I23" i="58"/>
  <c r="D20" i="58"/>
  <c r="I19" i="58"/>
  <c r="I18" i="58"/>
  <c r="I17" i="58"/>
  <c r="E15" i="58"/>
  <c r="I14" i="58"/>
  <c r="I13" i="58"/>
  <c r="I12" i="58"/>
  <c r="I9" i="58"/>
  <c r="I8" i="58"/>
  <c r="I7" i="58"/>
  <c r="I6" i="58"/>
  <c r="I5" i="58"/>
  <c r="I4" i="58"/>
  <c r="I3" i="58"/>
  <c r="G57" i="40"/>
  <c r="G56" i="40"/>
  <c r="C56" i="40" s="1"/>
  <c r="B21" i="50"/>
  <c r="B42" i="50" s="1"/>
  <c r="D1" i="43"/>
  <c r="F113" i="43"/>
  <c r="N99" i="43"/>
  <c r="M99" i="43"/>
  <c r="M100" i="43" s="1"/>
  <c r="L99" i="43"/>
  <c r="K99" i="43"/>
  <c r="J99" i="43"/>
  <c r="J108" i="43" s="1"/>
  <c r="I99" i="43"/>
  <c r="I108" i="43" s="1"/>
  <c r="H99" i="43"/>
  <c r="H108" i="43" s="1"/>
  <c r="G99" i="43"/>
  <c r="G108" i="43"/>
  <c r="F99" i="43"/>
  <c r="E99" i="43"/>
  <c r="E100" i="43" s="1"/>
  <c r="D99" i="43"/>
  <c r="C99" i="43"/>
  <c r="G100" i="43"/>
  <c r="I100" i="43"/>
  <c r="J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Y27" i="31"/>
  <c r="V27" i="31"/>
  <c r="U27"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c r="R67" i="31"/>
  <c r="R68" i="31"/>
  <c r="T68" i="31" s="1"/>
  <c r="R69" i="31"/>
  <c r="R70" i="31"/>
  <c r="T70" i="31" s="1"/>
  <c r="R71" i="31"/>
  <c r="R72" i="31"/>
  <c r="T72" i="31" s="1"/>
  <c r="R73" i="31"/>
  <c r="R74" i="31"/>
  <c r="T74" i="31" s="1"/>
  <c r="R75" i="31"/>
  <c r="T75" i="31" s="1"/>
  <c r="R76" i="31"/>
  <c r="R77" i="31"/>
  <c r="T77" i="31" s="1"/>
  <c r="R78" i="31"/>
  <c r="R79" i="31"/>
  <c r="R80" i="31"/>
  <c r="R81" i="31"/>
  <c r="T81" i="31" s="1"/>
  <c r="R82" i="31"/>
  <c r="T82" i="31" s="1"/>
  <c r="R83" i="31"/>
  <c r="T83" i="31" s="1"/>
  <c r="R84" i="31"/>
  <c r="T84" i="31" s="1"/>
  <c r="R85" i="31"/>
  <c r="T85" i="31"/>
  <c r="R86" i="31"/>
  <c r="T86" i="31" s="1"/>
  <c r="R87" i="31"/>
  <c r="T87" i="31" s="1"/>
  <c r="R88" i="31"/>
  <c r="T88" i="31" s="1"/>
  <c r="R89" i="3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c r="R102" i="31"/>
  <c r="T102" i="31" s="1"/>
  <c r="R103" i="31"/>
  <c r="T103" i="31" s="1"/>
  <c r="R104" i="31"/>
  <c r="T104" i="31" s="1"/>
  <c r="R105" i="31"/>
  <c r="T105" i="31" s="1"/>
  <c r="R106" i="31"/>
  <c r="T106" i="31" s="1"/>
  <c r="R107" i="31"/>
  <c r="T107" i="31" s="1"/>
  <c r="R108" i="31"/>
  <c r="R109" i="31"/>
  <c r="T109" i="31" s="1"/>
  <c r="R110" i="31"/>
  <c r="T110" i="31" s="1"/>
  <c r="R111" i="31"/>
  <c r="T111" i="31" s="1"/>
  <c r="R112" i="31"/>
  <c r="T112" i="31" s="1"/>
  <c r="R113" i="31"/>
  <c r="T113" i="31" s="1"/>
  <c r="R114" i="31"/>
  <c r="T114" i="31" s="1"/>
  <c r="R115" i="31"/>
  <c r="T115" i="31" s="1"/>
  <c r="R116" i="31"/>
  <c r="T116" i="31" s="1"/>
  <c r="R117" i="31"/>
  <c r="T117" i="3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R133" i="31"/>
  <c r="T133" i="31"/>
  <c r="R134" i="31"/>
  <c r="T134" i="31" s="1"/>
  <c r="R135" i="31"/>
  <c r="T135" i="31" s="1"/>
  <c r="R136" i="31"/>
  <c r="T136" i="31" s="1"/>
  <c r="R137" i="31"/>
  <c r="T137" i="31" s="1"/>
  <c r="R138" i="31"/>
  <c r="T138" i="31" s="1"/>
  <c r="R139" i="31"/>
  <c r="R140" i="31"/>
  <c r="R141" i="31"/>
  <c r="T141" i="31" s="1"/>
  <c r="R142" i="31"/>
  <c r="T142" i="31" s="1"/>
  <c r="R143" i="31"/>
  <c r="T143" i="31" s="1"/>
  <c r="R144" i="31"/>
  <c r="T144" i="31" s="1"/>
  <c r="R145" i="31"/>
  <c r="T145" i="31" s="1"/>
  <c r="R146" i="31"/>
  <c r="R147" i="31"/>
  <c r="T147" i="31" s="1"/>
  <c r="R148" i="31"/>
  <c r="R149" i="31"/>
  <c r="T149" i="31"/>
  <c r="R150" i="31"/>
  <c r="T150" i="31" s="1"/>
  <c r="R151" i="31"/>
  <c r="T151" i="31" s="1"/>
  <c r="R152" i="31"/>
  <c r="T152" i="31" s="1"/>
  <c r="R153" i="31"/>
  <c r="T153" i="31" s="1"/>
  <c r="R154" i="31"/>
  <c r="T154" i="31" s="1"/>
  <c r="R155" i="31"/>
  <c r="T155" i="31" s="1"/>
  <c r="R156" i="31"/>
  <c r="R157" i="31"/>
  <c r="T157" i="31" s="1"/>
  <c r="R158" i="31"/>
  <c r="T158" i="31" s="1"/>
  <c r="R159" i="31"/>
  <c r="T159" i="31" s="1"/>
  <c r="R160" i="31"/>
  <c r="T160" i="31" s="1"/>
  <c r="R161" i="31"/>
  <c r="T161" i="31" s="1"/>
  <c r="R162" i="31"/>
  <c r="T162" i="31" s="1"/>
  <c r="R163" i="31"/>
  <c r="T163" i="31" s="1"/>
  <c r="R164" i="31"/>
  <c r="R165" i="31"/>
  <c r="T165" i="31"/>
  <c r="R166" i="31"/>
  <c r="T166" i="31" s="1"/>
  <c r="R167" i="31"/>
  <c r="T167" i="31" s="1"/>
  <c r="R168" i="31"/>
  <c r="T168" i="31" s="1"/>
  <c r="R169" i="31"/>
  <c r="T169" i="31" s="1"/>
  <c r="R170" i="31"/>
  <c r="T170" i="31" s="1"/>
  <c r="R171" i="31"/>
  <c r="R172" i="31"/>
  <c r="R173" i="31"/>
  <c r="T173" i="31" s="1"/>
  <c r="R174" i="31"/>
  <c r="T174" i="31" s="1"/>
  <c r="R175" i="31"/>
  <c r="T175" i="31" s="1"/>
  <c r="R176" i="31"/>
  <c r="T176" i="31" s="1"/>
  <c r="R177" i="31"/>
  <c r="T177" i="31" s="1"/>
  <c r="R178" i="31"/>
  <c r="R179" i="31"/>
  <c r="T179" i="31" s="1"/>
  <c r="R180" i="31"/>
  <c r="R181" i="31"/>
  <c r="T181" i="31"/>
  <c r="R182" i="31"/>
  <c r="T182" i="31" s="1"/>
  <c r="R183" i="31"/>
  <c r="T183" i="31" s="1"/>
  <c r="R184" i="31"/>
  <c r="T184" i="31" s="1"/>
  <c r="R185" i="31"/>
  <c r="T185" i="31" s="1"/>
  <c r="R186" i="31"/>
  <c r="T186" i="31" s="1"/>
  <c r="R187" i="31"/>
  <c r="T187" i="31" s="1"/>
  <c r="R188" i="31"/>
  <c r="R189" i="31"/>
  <c r="T189" i="31" s="1"/>
  <c r="R190" i="31"/>
  <c r="T190" i="31" s="1"/>
  <c r="R191" i="31"/>
  <c r="T191" i="31" s="1"/>
  <c r="R192" i="31"/>
  <c r="T192" i="31" s="1"/>
  <c r="R193" i="31"/>
  <c r="T193" i="31" s="1"/>
  <c r="R194" i="31"/>
  <c r="T194" i="31" s="1"/>
  <c r="R195" i="31"/>
  <c r="T195" i="31" s="1"/>
  <c r="R196" i="31"/>
  <c r="R197" i="31"/>
  <c r="T197" i="31"/>
  <c r="R198" i="31"/>
  <c r="T198" i="31" s="1"/>
  <c r="R199" i="31"/>
  <c r="T199" i="31" s="1"/>
  <c r="R200" i="31"/>
  <c r="T200" i="31" s="1"/>
  <c r="R201" i="31"/>
  <c r="T201" i="31" s="1"/>
  <c r="R202" i="31"/>
  <c r="T202" i="31" s="1"/>
  <c r="R203" i="31"/>
  <c r="R204" i="31"/>
  <c r="R205" i="31"/>
  <c r="T205" i="31" s="1"/>
  <c r="R206" i="31"/>
  <c r="T206" i="31" s="1"/>
  <c r="R207" i="31"/>
  <c r="T207" i="31" s="1"/>
  <c r="R208" i="31"/>
  <c r="T208" i="31" s="1"/>
  <c r="R209" i="31"/>
  <c r="T209" i="31" s="1"/>
  <c r="R210" i="31"/>
  <c r="R211" i="31"/>
  <c r="T211" i="31" s="1"/>
  <c r="R212" i="31"/>
  <c r="R213" i="31"/>
  <c r="T213" i="31"/>
  <c r="R214" i="31"/>
  <c r="T214" i="31" s="1"/>
  <c r="R215" i="31"/>
  <c r="T215" i="31" s="1"/>
  <c r="R216" i="31"/>
  <c r="T216" i="31" s="1"/>
  <c r="R217" i="31"/>
  <c r="T217" i="31" s="1"/>
  <c r="R218" i="31"/>
  <c r="T218" i="31" s="1"/>
  <c r="R219" i="31"/>
  <c r="T219" i="31" s="1"/>
  <c r="R220" i="31"/>
  <c r="R221" i="31"/>
  <c r="T221" i="31" s="1"/>
  <c r="R222" i="31"/>
  <c r="T222" i="31" s="1"/>
  <c r="R223" i="31"/>
  <c r="T223" i="31" s="1"/>
  <c r="R224" i="31"/>
  <c r="T224" i="31" s="1"/>
  <c r="R225" i="31"/>
  <c r="T225" i="31" s="1"/>
  <c r="R226" i="31"/>
  <c r="T226" i="31" s="1"/>
  <c r="R227" i="31"/>
  <c r="T227" i="31" s="1"/>
  <c r="R228" i="31"/>
  <c r="T228" i="31" s="1"/>
  <c r="R229" i="31"/>
  <c r="T229" i="31"/>
  <c r="R230" i="31"/>
  <c r="T230" i="31" s="1"/>
  <c r="R231" i="31"/>
  <c r="T231" i="31" s="1"/>
  <c r="R232" i="31"/>
  <c r="T232" i="31" s="1"/>
  <c r="R233" i="31"/>
  <c r="T233" i="31" s="1"/>
  <c r="R234" i="31"/>
  <c r="T234" i="31" s="1"/>
  <c r="R235" i="31"/>
  <c r="R236" i="31"/>
  <c r="T236" i="31" s="1"/>
  <c r="R237" i="31"/>
  <c r="T237" i="31" s="1"/>
  <c r="R238" i="31"/>
  <c r="T238" i="31" s="1"/>
  <c r="R239" i="31"/>
  <c r="R240" i="31"/>
  <c r="T240" i="31" s="1"/>
  <c r="R241" i="31"/>
  <c r="T241" i="31" s="1"/>
  <c r="R242" i="31"/>
  <c r="T242" i="31" s="1"/>
  <c r="R243" i="31"/>
  <c r="R244" i="31"/>
  <c r="T244" i="31" s="1"/>
  <c r="R245" i="31"/>
  <c r="T245" i="31" s="1"/>
  <c r="R246" i="31"/>
  <c r="T246" i="31" s="1"/>
  <c r="R247" i="31"/>
  <c r="R248" i="31"/>
  <c r="T248" i="31" s="1"/>
  <c r="R249" i="31"/>
  <c r="T249" i="31" s="1"/>
  <c r="R250" i="31"/>
  <c r="T250" i="31" s="1"/>
  <c r="R251" i="31"/>
  <c r="R252" i="31"/>
  <c r="T252" i="31" s="1"/>
  <c r="R253" i="31"/>
  <c r="T253" i="31" s="1"/>
  <c r="R254" i="31"/>
  <c r="T254" i="31" s="1"/>
  <c r="R255" i="3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c r="R280" i="31"/>
  <c r="T280" i="31" s="1"/>
  <c r="R281" i="31"/>
  <c r="S281" i="31" s="1"/>
  <c r="R282" i="31"/>
  <c r="T282" i="31" s="1"/>
  <c r="R283" i="31"/>
  <c r="S283" i="31"/>
  <c r="R284" i="31"/>
  <c r="T284" i="31" s="1"/>
  <c r="R285" i="31"/>
  <c r="S285" i="31" s="1"/>
  <c r="R286" i="31"/>
  <c r="R287" i="31"/>
  <c r="S287" i="31" s="1"/>
  <c r="R288" i="3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c r="R315" i="31"/>
  <c r="S315" i="31" s="1"/>
  <c r="R316" i="31"/>
  <c r="T316" i="31" s="1"/>
  <c r="R317" i="31"/>
  <c r="S317" i="31" s="1"/>
  <c r="R318" i="31"/>
  <c r="R319" i="31"/>
  <c r="S319" i="31" s="1"/>
  <c r="R320" i="31"/>
  <c r="R321" i="31"/>
  <c r="S321" i="31" s="1"/>
  <c r="R322" i="31"/>
  <c r="T322" i="31" s="1"/>
  <c r="R323" i="31"/>
  <c r="S323" i="31" s="1"/>
  <c r="R324" i="31"/>
  <c r="R325" i="31"/>
  <c r="T325" i="31" s="1"/>
  <c r="R326" i="31"/>
  <c r="T326" i="3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c r="R343" i="31"/>
  <c r="T343" i="31" s="1"/>
  <c r="R344" i="31"/>
  <c r="T344" i="31" s="1"/>
  <c r="R345" i="31"/>
  <c r="T345" i="31" s="1"/>
  <c r="R346" i="31"/>
  <c r="T346" i="31"/>
  <c r="R347" i="31"/>
  <c r="T347" i="31" s="1"/>
  <c r="R348" i="31"/>
  <c r="R349" i="31"/>
  <c r="T349" i="31" s="1"/>
  <c r="R350" i="31"/>
  <c r="R351" i="31"/>
  <c r="T351" i="31" s="1"/>
  <c r="R352" i="31"/>
  <c r="T352" i="31" s="1"/>
  <c r="R353" i="31"/>
  <c r="T353" i="31" s="1"/>
  <c r="R354" i="31"/>
  <c r="T354" i="31" s="1"/>
  <c r="R355" i="31"/>
  <c r="T355" i="31" s="1"/>
  <c r="R356" i="31"/>
  <c r="R357" i="31"/>
  <c r="T357" i="31"/>
  <c r="R358" i="31"/>
  <c r="T358" i="31" s="1"/>
  <c r="R359" i="31"/>
  <c r="T359" i="31" s="1"/>
  <c r="R360" i="31"/>
  <c r="T360" i="31" s="1"/>
  <c r="R361" i="31"/>
  <c r="T361" i="31" s="1"/>
  <c r="R362" i="31"/>
  <c r="T362" i="31" s="1"/>
  <c r="R363" i="31"/>
  <c r="T363" i="31"/>
  <c r="R364" i="31"/>
  <c r="R365" i="31"/>
  <c r="T365" i="31" s="1"/>
  <c r="R366" i="31"/>
  <c r="T366" i="31" s="1"/>
  <c r="R367" i="31"/>
  <c r="R368" i="31"/>
  <c r="T368" i="31" s="1"/>
  <c r="R369" i="31"/>
  <c r="T369" i="31" s="1"/>
  <c r="R370" i="31"/>
  <c r="T370" i="31" s="1"/>
  <c r="R371" i="31"/>
  <c r="T371" i="31" s="1"/>
  <c r="R372" i="31"/>
  <c r="R373" i="31"/>
  <c r="T373" i="31" s="1"/>
  <c r="R374" i="31"/>
  <c r="T374" i="31" s="1"/>
  <c r="R375" i="31"/>
  <c r="T375" i="31"/>
  <c r="R376" i="31"/>
  <c r="T376" i="31" s="1"/>
  <c r="R377" i="31"/>
  <c r="T377" i="31" s="1"/>
  <c r="R378" i="31"/>
  <c r="T378" i="31" s="1"/>
  <c r="R379" i="31"/>
  <c r="T379" i="31"/>
  <c r="R380" i="31"/>
  <c r="R381" i="31"/>
  <c r="T381" i="31" s="1"/>
  <c r="R382" i="31"/>
  <c r="R383" i="31"/>
  <c r="R384" i="31"/>
  <c r="T384" i="31" s="1"/>
  <c r="R385" i="31"/>
  <c r="T385" i="31" s="1"/>
  <c r="R386" i="31"/>
  <c r="T386" i="31" s="1"/>
  <c r="R387" i="31"/>
  <c r="T387" i="31" s="1"/>
  <c r="R388" i="31"/>
  <c r="R389" i="31"/>
  <c r="T389" i="31" s="1"/>
  <c r="R390" i="31"/>
  <c r="T390" i="31"/>
  <c r="R391" i="31"/>
  <c r="T391" i="31" s="1"/>
  <c r="R392" i="31"/>
  <c r="T392" i="31" s="1"/>
  <c r="R393" i="31"/>
  <c r="T393" i="31" s="1"/>
  <c r="R394" i="31"/>
  <c r="T394" i="31"/>
  <c r="R395" i="31"/>
  <c r="T395" i="31" s="1"/>
  <c r="R396" i="31"/>
  <c r="R397" i="31"/>
  <c r="T397" i="31" s="1"/>
  <c r="R398" i="31"/>
  <c r="T398" i="31" s="1"/>
  <c r="R399" i="31"/>
  <c r="T399" i="31" s="1"/>
  <c r="R400" i="31"/>
  <c r="R401" i="31"/>
  <c r="T401" i="31" s="1"/>
  <c r="R402" i="31"/>
  <c r="T402" i="31" s="1"/>
  <c r="R403" i="31"/>
  <c r="T403" i="31" s="1"/>
  <c r="R404" i="31"/>
  <c r="R405" i="31"/>
  <c r="T405" i="31" s="1"/>
  <c r="R406" i="31"/>
  <c r="T406" i="31" s="1"/>
  <c r="R407" i="31"/>
  <c r="T407" i="31" s="1"/>
  <c r="R408" i="31"/>
  <c r="T408" i="31"/>
  <c r="R409" i="31"/>
  <c r="T409" i="31" s="1"/>
  <c r="R410" i="31"/>
  <c r="T410" i="31" s="1"/>
  <c r="R411" i="31"/>
  <c r="T411" i="31" s="1"/>
  <c r="R412" i="31"/>
  <c r="R413" i="31"/>
  <c r="T413" i="31" s="1"/>
  <c r="R414" i="3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c r="R426" i="31"/>
  <c r="T426" i="31" s="1"/>
  <c r="R427" i="31"/>
  <c r="T427" i="31" s="1"/>
  <c r="R428" i="31"/>
  <c r="T428" i="31" s="1"/>
  <c r="R429" i="31"/>
  <c r="T429" i="31" s="1"/>
  <c r="R430" i="31"/>
  <c r="R431" i="31"/>
  <c r="T431" i="31" s="1"/>
  <c r="R432" i="31"/>
  <c r="T432" i="31" s="1"/>
  <c r="R433" i="31"/>
  <c r="T433" i="31" s="1"/>
  <c r="R434" i="31"/>
  <c r="R435" i="31"/>
  <c r="T435" i="3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c r="R451" i="31"/>
  <c r="R452" i="31"/>
  <c r="T452" i="31" s="1"/>
  <c r="R453" i="31"/>
  <c r="T453" i="31" s="1"/>
  <c r="R454" i="31"/>
  <c r="R455" i="31"/>
  <c r="T455" i="31" s="1"/>
  <c r="R456" i="3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c r="R496" i="31"/>
  <c r="R497" i="31"/>
  <c r="R498" i="31"/>
  <c r="R499" i="31"/>
  <c r="R500" i="31"/>
  <c r="R501" i="31"/>
  <c r="T501" i="31" s="1"/>
  <c r="R502" i="31"/>
  <c r="T502" i="31"/>
  <c r="R503" i="31"/>
  <c r="T503" i="31" s="1"/>
  <c r="R504" i="31"/>
  <c r="T504" i="31" s="1"/>
  <c r="R505" i="31"/>
  <c r="T505" i="31" s="1"/>
  <c r="R506" i="31"/>
  <c r="T506" i="31" s="1"/>
  <c r="R507" i="31"/>
  <c r="R508" i="31"/>
  <c r="T508" i="31" s="1"/>
  <c r="R509" i="31"/>
  <c r="T509" i="31" s="1"/>
  <c r="R510" i="31"/>
  <c r="T510" i="31" s="1"/>
  <c r="R511" i="31"/>
  <c r="T511" i="31" s="1"/>
  <c r="R512" i="31"/>
  <c r="R513" i="31"/>
  <c r="T513" i="31" s="1"/>
  <c r="R514" i="31"/>
  <c r="T514" i="31" s="1"/>
  <c r="R515" i="31"/>
  <c r="T515" i="31" s="1"/>
  <c r="R516" i="31"/>
  <c r="T516" i="31" s="1"/>
  <c r="R517" i="31"/>
  <c r="R518" i="31"/>
  <c r="T518" i="31" s="1"/>
  <c r="R519" i="31"/>
  <c r="T519" i="31" s="1"/>
  <c r="R520" i="31"/>
  <c r="T520" i="31" s="1"/>
  <c r="R521" i="3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K4" i="9"/>
  <c r="L4" i="9"/>
  <c r="F16" i="4"/>
  <c r="A5" i="55"/>
  <c r="B54" i="60" s="1"/>
  <c r="A4" i="55"/>
  <c r="B52" i="60" s="1"/>
  <c r="C8" i="11"/>
  <c r="H23" i="48"/>
  <c r="H24" i="48"/>
  <c r="D24" i="48"/>
  <c r="D21" i="48"/>
  <c r="B21" i="49"/>
  <c r="B5" i="60" s="1"/>
  <c r="B12" i="49"/>
  <c r="B3" i="60" s="1"/>
  <c r="I2" i="43"/>
  <c r="H6" i="44"/>
  <c r="G2" i="43"/>
  <c r="E30" i="4"/>
  <c r="C7" i="4"/>
  <c r="C121" i="9"/>
  <c r="C4" i="52" s="1"/>
  <c r="B36" i="60" s="1"/>
  <c r="B121" i="9"/>
  <c r="B4" i="52" s="1"/>
  <c r="A40" i="1"/>
  <c r="A39" i="1"/>
  <c r="A38" i="1"/>
  <c r="A37" i="1"/>
  <c r="A36" i="1"/>
  <c r="A29" i="1"/>
  <c r="A34" i="1"/>
  <c r="D111" i="9"/>
  <c r="I108" i="9"/>
  <c r="D110" i="9"/>
  <c r="I107" i="9"/>
  <c r="D109" i="9"/>
  <c r="I106"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D44" i="47" s="1"/>
  <c r="L43" i="47"/>
  <c r="M43" i="47" s="1"/>
  <c r="J43" i="47"/>
  <c r="I43" i="47" s="1"/>
  <c r="L42" i="47"/>
  <c r="M42" i="47" s="1"/>
  <c r="J42" i="47"/>
  <c r="I42" i="47" s="1"/>
  <c r="L41" i="47"/>
  <c r="M41" i="47" s="1"/>
  <c r="J41" i="47"/>
  <c r="I41" i="47"/>
  <c r="L40" i="47"/>
  <c r="M40" i="47" s="1"/>
  <c r="J40" i="47"/>
  <c r="I40" i="47" s="1"/>
  <c r="L39" i="47"/>
  <c r="M39" i="47" s="1"/>
  <c r="J39" i="47"/>
  <c r="I39" i="47" s="1"/>
  <c r="L38" i="47"/>
  <c r="M38" i="47" s="1"/>
  <c r="J38" i="47"/>
  <c r="I38" i="47" s="1"/>
  <c r="L37" i="47"/>
  <c r="M37" i="47" s="1"/>
  <c r="J37" i="47"/>
  <c r="I37" i="47"/>
  <c r="L34" i="47"/>
  <c r="M34" i="47" s="1"/>
  <c r="J34" i="47"/>
  <c r="I34" i="47" s="1"/>
  <c r="L33" i="47"/>
  <c r="M33" i="47" s="1"/>
  <c r="J33" i="47"/>
  <c r="I33" i="47" s="1"/>
  <c r="L32" i="47"/>
  <c r="M32" i="47" s="1"/>
  <c r="J32" i="47"/>
  <c r="I32" i="47" s="1"/>
  <c r="L31" i="47"/>
  <c r="M31" i="47" s="1"/>
  <c r="J31" i="47"/>
  <c r="I31" i="47"/>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c r="L22" i="47"/>
  <c r="M22" i="47" s="1"/>
  <c r="J22" i="47"/>
  <c r="I22" i="47" s="1"/>
  <c r="L21" i="47"/>
  <c r="M21" i="47" s="1"/>
  <c r="J21" i="47"/>
  <c r="I21" i="47" s="1"/>
  <c r="L20" i="47"/>
  <c r="M20" i="47" s="1"/>
  <c r="J20" i="47"/>
  <c r="I20" i="47" s="1"/>
  <c r="L19" i="47"/>
  <c r="M19" i="47" s="1"/>
  <c r="J19" i="47"/>
  <c r="I19" i="47"/>
  <c r="L18" i="47"/>
  <c r="M18" i="47" s="1"/>
  <c r="J18" i="47"/>
  <c r="I18" i="47" s="1"/>
  <c r="L17" i="47"/>
  <c r="M17" i="47" s="1"/>
  <c r="J17" i="47"/>
  <c r="I17" i="47" s="1"/>
  <c r="L16" i="47"/>
  <c r="M16" i="47" s="1"/>
  <c r="J16" i="47"/>
  <c r="I16" i="47" s="1"/>
  <c r="L15" i="47"/>
  <c r="M15" i="47" s="1"/>
  <c r="J15" i="47"/>
  <c r="I15" i="47"/>
  <c r="D5" i="47"/>
  <c r="D11" i="47"/>
  <c r="J5" i="47"/>
  <c r="I5" i="47"/>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c r="J12" i="47"/>
  <c r="I12" i="47" s="1"/>
  <c r="D12" i="47" s="1"/>
  <c r="L12" i="47"/>
  <c r="M12" i="47" s="1"/>
  <c r="L4" i="47"/>
  <c r="M4" i="47" s="1"/>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K1" i="61" s="1"/>
  <c r="G1" i="15"/>
  <c r="F35" i="11"/>
  <c r="F38" i="11"/>
  <c r="E37" i="11"/>
  <c r="F20" i="11"/>
  <c r="F21" i="11"/>
  <c r="C40" i="11" s="1"/>
  <c r="F7" i="11"/>
  <c r="F12" i="12"/>
  <c r="F13" i="12"/>
  <c r="F15" i="12"/>
  <c r="E14" i="12"/>
  <c r="E19" i="12"/>
  <c r="E20" i="12"/>
  <c r="E17" i="12"/>
  <c r="F22" i="12"/>
  <c r="F24" i="12"/>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0" i="31"/>
  <c r="S408" i="31"/>
  <c r="S406" i="31"/>
  <c r="S402" i="31"/>
  <c r="S398" i="31"/>
  <c r="S394" i="31"/>
  <c r="S392" i="31"/>
  <c r="S390" i="31"/>
  <c r="S386" i="31"/>
  <c r="S384" i="31"/>
  <c r="S378" i="31"/>
  <c r="S376" i="31"/>
  <c r="S374" i="31"/>
  <c r="S370" i="31"/>
  <c r="S368" i="31"/>
  <c r="S366" i="31"/>
  <c r="S362" i="31"/>
  <c r="S360" i="31"/>
  <c r="S358" i="31"/>
  <c r="S354" i="31"/>
  <c r="S352" i="31"/>
  <c r="S346" i="31"/>
  <c r="S344" i="31"/>
  <c r="S342" i="31"/>
  <c r="S338" i="31"/>
  <c r="S336" i="31"/>
  <c r="S334" i="31"/>
  <c r="S330" i="31"/>
  <c r="S328" i="31"/>
  <c r="S326" i="31"/>
  <c r="S426" i="31"/>
  <c r="S316" i="31"/>
  <c r="S314" i="31"/>
  <c r="S312" i="31"/>
  <c r="S308" i="31"/>
  <c r="S306" i="31"/>
  <c r="S304" i="31"/>
  <c r="S300" i="31"/>
  <c r="S298" i="31"/>
  <c r="S296" i="31"/>
  <c r="S292" i="31"/>
  <c r="S290" i="31"/>
  <c r="S284" i="31"/>
  <c r="S282" i="31"/>
  <c r="S280" i="31"/>
  <c r="S276" i="31"/>
  <c r="S274" i="31"/>
  <c r="S272" i="31"/>
  <c r="S268" i="31"/>
  <c r="S266" i="31"/>
  <c r="S264" i="31"/>
  <c r="S260" i="31"/>
  <c r="S258" i="31"/>
  <c r="S257" i="31"/>
  <c r="S256" i="31"/>
  <c r="S254" i="31"/>
  <c r="S253" i="31"/>
  <c r="S252" i="31"/>
  <c r="S250" i="31"/>
  <c r="S249" i="31"/>
  <c r="S248" i="31"/>
  <c r="S246" i="31"/>
  <c r="S245" i="31"/>
  <c r="S244" i="31"/>
  <c r="S242" i="31"/>
  <c r="S241" i="31"/>
  <c r="S240" i="31"/>
  <c r="S238" i="31"/>
  <c r="S237" i="31"/>
  <c r="S236" i="31"/>
  <c r="S234" i="31"/>
  <c r="S233" i="31"/>
  <c r="S232" i="31"/>
  <c r="S231" i="31"/>
  <c r="S230" i="31"/>
  <c r="S229" i="31"/>
  <c r="S227" i="31"/>
  <c r="S226" i="31"/>
  <c r="S432" i="31"/>
  <c r="S428" i="31"/>
  <c r="S224" i="31"/>
  <c r="S222" i="31"/>
  <c r="S218" i="31"/>
  <c r="S216" i="31"/>
  <c r="S214" i="31"/>
  <c r="S208" i="31"/>
  <c r="S206" i="31"/>
  <c r="S202" i="31"/>
  <c r="S200" i="31"/>
  <c r="S198" i="31"/>
  <c r="S194" i="31"/>
  <c r="S192" i="31"/>
  <c r="S190" i="31"/>
  <c r="S186" i="31"/>
  <c r="S184" i="31"/>
  <c r="S182" i="31"/>
  <c r="S176" i="31"/>
  <c r="S174" i="31"/>
  <c r="S170" i="31"/>
  <c r="S168" i="31"/>
  <c r="S166" i="31"/>
  <c r="S162" i="31"/>
  <c r="S160" i="31"/>
  <c r="S158" i="31"/>
  <c r="S154" i="31"/>
  <c r="S152" i="31"/>
  <c r="S150" i="31"/>
  <c r="S144" i="31"/>
  <c r="S142" i="31"/>
  <c r="S138" i="31"/>
  <c r="S136" i="31"/>
  <c r="S134" i="31"/>
  <c r="S130" i="31"/>
  <c r="S128" i="31"/>
  <c r="S126" i="31"/>
  <c r="S491" i="31"/>
  <c r="S483" i="31"/>
  <c r="S475" i="31"/>
  <c r="S444" i="31"/>
  <c r="S440" i="31"/>
  <c r="S436" i="31"/>
  <c r="S124" i="31"/>
  <c r="S122" i="31"/>
  <c r="S120" i="31"/>
  <c r="S118" i="31"/>
  <c r="S116" i="31"/>
  <c r="S503" i="31"/>
  <c r="S468" i="31"/>
  <c r="S464" i="31"/>
  <c r="S460"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10" i="31"/>
  <c r="S112" i="31"/>
  <c r="S448" i="31"/>
  <c r="S450" i="31"/>
  <c r="S452" i="31"/>
  <c r="S510" i="31"/>
  <c r="S514" i="31"/>
  <c r="S516"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s="1"/>
  <c r="S35" i="39" s="1"/>
  <c r="B112" i="39"/>
  <c r="J30" i="36"/>
  <c r="H30" i="36"/>
  <c r="U30" i="36" s="1"/>
  <c r="F30" i="36"/>
  <c r="AA30" i="36"/>
  <c r="C79" i="35"/>
  <c r="J31" i="35"/>
  <c r="AC31" i="35" s="1"/>
  <c r="H31" i="35"/>
  <c r="AB31" i="35"/>
  <c r="F31" i="35"/>
  <c r="AA31" i="35" s="1"/>
  <c r="D87" i="35"/>
  <c r="E87" i="35" s="1"/>
  <c r="F87" i="35" s="1"/>
  <c r="G87" i="35" s="1"/>
  <c r="H87" i="35" s="1"/>
  <c r="I87" i="35" s="1"/>
  <c r="J87" i="35" s="1"/>
  <c r="K87" i="35" s="1"/>
  <c r="L87" i="35" s="1"/>
  <c r="M87" i="35" s="1"/>
  <c r="H29" i="35"/>
  <c r="U29" i="35" s="1"/>
  <c r="H34" i="37"/>
  <c r="AB34" i="37" s="1"/>
  <c r="D101" i="37"/>
  <c r="F34" i="37"/>
  <c r="AA34" i="37" s="1"/>
  <c r="D99" i="37"/>
  <c r="E99" i="37" s="1"/>
  <c r="F99" i="37" s="1"/>
  <c r="G99" i="37" s="1"/>
  <c r="H42" i="34"/>
  <c r="J42" i="34"/>
  <c r="W42" i="34" s="1"/>
  <c r="F42" i="34"/>
  <c r="S42" i="34" s="1"/>
  <c r="J38" i="34"/>
  <c r="D114" i="34"/>
  <c r="D112" i="34"/>
  <c r="E112" i="34"/>
  <c r="F112" i="34" s="1"/>
  <c r="G112" i="34" s="1"/>
  <c r="H112" i="34" s="1"/>
  <c r="I112" i="34" s="1"/>
  <c r="J112" i="34" s="1"/>
  <c r="K112" i="34" s="1"/>
  <c r="L112" i="34" s="1"/>
  <c r="M112" i="34" s="1"/>
  <c r="F40" i="33"/>
  <c r="J41" i="33"/>
  <c r="W41" i="33" s="1"/>
  <c r="D113" i="33"/>
  <c r="F37" i="33"/>
  <c r="S37" i="33" s="1"/>
  <c r="D111" i="33"/>
  <c r="E111" i="33" s="1"/>
  <c r="S518" i="31"/>
  <c r="S519" i="31"/>
  <c r="S522" i="31"/>
  <c r="S523" i="31"/>
  <c r="S526" i="31"/>
  <c r="S527" i="31"/>
  <c r="F41" i="21"/>
  <c r="AA41" i="21" s="1"/>
  <c r="J41" i="21"/>
  <c r="H41" i="2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D100" i="40"/>
  <c r="E100" i="40" s="1"/>
  <c r="F100" i="40" s="1"/>
  <c r="G100" i="40" s="1"/>
  <c r="H100" i="40" s="1"/>
  <c r="I100" i="40" s="1"/>
  <c r="J100" i="40" s="1"/>
  <c r="K100" i="40" s="1"/>
  <c r="L100" i="40" s="1"/>
  <c r="M100" i="40" s="1"/>
  <c r="D98" i="40"/>
  <c r="E98" i="40"/>
  <c r="D96" i="40"/>
  <c r="E96" i="40" s="1"/>
  <c r="B95" i="40"/>
  <c r="D92" i="40"/>
  <c r="E92" i="40"/>
  <c r="F92" i="40" s="1"/>
  <c r="G92" i="40" s="1"/>
  <c r="D90" i="40"/>
  <c r="E90" i="40" s="1"/>
  <c r="D88" i="40"/>
  <c r="E88" i="40" s="1"/>
  <c r="F88" i="40" s="1"/>
  <c r="G88" i="40" s="1"/>
  <c r="D86" i="40"/>
  <c r="E86" i="40" s="1"/>
  <c r="D84" i="40"/>
  <c r="E84" i="40" s="1"/>
  <c r="F84" i="40" s="1"/>
  <c r="G84" i="40" s="1"/>
  <c r="B81" i="40"/>
  <c r="H14" i="40" s="1"/>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c r="Q37" i="40"/>
  <c r="Z37" i="40"/>
  <c r="Q36" i="40"/>
  <c r="Z36" i="40"/>
  <c r="Q35" i="40"/>
  <c r="Z35" i="40"/>
  <c r="Q34" i="40"/>
  <c r="Z34" i="40"/>
  <c r="J34" i="40"/>
  <c r="AC34" i="40"/>
  <c r="H34" i="40"/>
  <c r="AB34" i="40"/>
  <c r="F34" i="40"/>
  <c r="S34" i="40" s="1"/>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s="1"/>
  <c r="W9" i="40"/>
  <c r="H9" i="40"/>
  <c r="AB9" i="40"/>
  <c r="F9" i="40"/>
  <c r="AA9" i="40" s="1"/>
  <c r="J8" i="40"/>
  <c r="AC8" i="40" s="1"/>
  <c r="H8" i="40"/>
  <c r="AB8" i="40" s="1"/>
  <c r="F8" i="40"/>
  <c r="AA8" i="40"/>
  <c r="C7" i="40"/>
  <c r="C63" i="40" s="1"/>
  <c r="J38" i="39"/>
  <c r="W38" i="39" s="1"/>
  <c r="H38" i="39"/>
  <c r="AB38" i="39" s="1"/>
  <c r="F38" i="39"/>
  <c r="AA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E109"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U45" i="39" s="1"/>
  <c r="B129" i="39"/>
  <c r="H44" i="39" s="1"/>
  <c r="B127" i="39"/>
  <c r="J43" i="39" s="1"/>
  <c r="W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c r="F93" i="39" s="1"/>
  <c r="G93" i="39" s="1"/>
  <c r="D91" i="39"/>
  <c r="E91" i="39"/>
  <c r="F91" i="39" s="1"/>
  <c r="G91" i="39" s="1"/>
  <c r="D89" i="39"/>
  <c r="E89" i="39" s="1"/>
  <c r="F89" i="39"/>
  <c r="G89" i="39" s="1"/>
  <c r="B86" i="39"/>
  <c r="F14" i="39" s="1"/>
  <c r="B84" i="39"/>
  <c r="B82" i="39"/>
  <c r="J12" i="39" s="1"/>
  <c r="W12" i="39" s="1"/>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c r="Q31" i="39"/>
  <c r="Z31" i="39" s="1"/>
  <c r="Q29" i="39"/>
  <c r="Z29" i="39" s="1"/>
  <c r="Q25" i="39"/>
  <c r="Z25" i="39" s="1"/>
  <c r="Q23" i="39"/>
  <c r="Z23" i="39" s="1"/>
  <c r="Q21" i="39"/>
  <c r="Z21" i="39" s="1"/>
  <c r="Q19" i="39"/>
  <c r="Z19" i="39"/>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J8" i="39"/>
  <c r="W8" i="39" s="1"/>
  <c r="H8" i="39"/>
  <c r="F8" i="39"/>
  <c r="AA8" i="39" s="1"/>
  <c r="C20" i="36"/>
  <c r="C20" i="35"/>
  <c r="C16" i="36"/>
  <c r="C16" i="35"/>
  <c r="C14" i="36"/>
  <c r="C14" i="35"/>
  <c r="B80" i="37"/>
  <c r="B110" i="37"/>
  <c r="B108" i="37"/>
  <c r="J38" i="37" s="1"/>
  <c r="AC38" i="37" s="1"/>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E103" i="37" s="1"/>
  <c r="F103" i="37" s="1"/>
  <c r="G103" i="37" s="1"/>
  <c r="H103" i="37" s="1"/>
  <c r="I103" i="37" s="1"/>
  <c r="J103" i="37" s="1"/>
  <c r="K103" i="37" s="1"/>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J27" i="37" s="1"/>
  <c r="B82" i="37"/>
  <c r="D79" i="37"/>
  <c r="E79" i="37" s="1"/>
  <c r="F79" i="37" s="1"/>
  <c r="G79" i="37" s="1"/>
  <c r="D75" i="37"/>
  <c r="E75" i="37" s="1"/>
  <c r="F75" i="37" s="1"/>
  <c r="G75" i="37" s="1"/>
  <c r="D73" i="37"/>
  <c r="E73" i="37" s="1"/>
  <c r="F73" i="37" s="1"/>
  <c r="G73" i="37" s="1"/>
  <c r="J17" i="37"/>
  <c r="D71" i="37"/>
  <c r="E71" i="37" s="1"/>
  <c r="F71" i="37" s="1"/>
  <c r="G71" i="37" s="1"/>
  <c r="B68" i="37"/>
  <c r="F14" i="37" s="1"/>
  <c r="B66" i="37"/>
  <c r="B64" i="37"/>
  <c r="H12" i="37" s="1"/>
  <c r="U12" i="37" s="1"/>
  <c r="D63" i="37"/>
  <c r="E63" i="37"/>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F9" i="37" s="1"/>
  <c r="P43" i="37"/>
  <c r="P42" i="37"/>
  <c r="V41" i="37"/>
  <c r="T41" i="37"/>
  <c r="R41" i="37"/>
  <c r="P41" i="37"/>
  <c r="Q40" i="37"/>
  <c r="Z40" i="37"/>
  <c r="Q39" i="37"/>
  <c r="Z39" i="37" s="1"/>
  <c r="Q38" i="37"/>
  <c r="Z38" i="37" s="1"/>
  <c r="Q37" i="37"/>
  <c r="Z37" i="37" s="1"/>
  <c r="Q36" i="37"/>
  <c r="Z36" i="37" s="1"/>
  <c r="Q35" i="37"/>
  <c r="Z35" i="37" s="1"/>
  <c r="Q34" i="37"/>
  <c r="Z34" i="37" s="1"/>
  <c r="Q33" i="37"/>
  <c r="Z33" i="37" s="1"/>
  <c r="Q32" i="37"/>
  <c r="Z32" i="37" s="1"/>
  <c r="Q31" i="37"/>
  <c r="Z31" i="37" s="1"/>
  <c r="J31" i="37"/>
  <c r="AC31" i="37"/>
  <c r="Q30" i="37"/>
  <c r="Z30" i="37" s="1"/>
  <c r="J30" i="37"/>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c r="K81" i="36" s="1"/>
  <c r="L81" i="36" s="1"/>
  <c r="M81" i="36" s="1"/>
  <c r="G79" i="36"/>
  <c r="F79" i="36"/>
  <c r="E79" i="36"/>
  <c r="D79" i="36"/>
  <c r="C79" i="36"/>
  <c r="B93" i="36"/>
  <c r="H33" i="36" s="1"/>
  <c r="AB33" i="36" s="1"/>
  <c r="B91" i="36"/>
  <c r="J32" i="36" s="1"/>
  <c r="B95" i="36"/>
  <c r="H34" i="36" s="1"/>
  <c r="U34" i="36" s="1"/>
  <c r="D83" i="36"/>
  <c r="E83" i="36" s="1"/>
  <c r="F83" i="36" s="1"/>
  <c r="D78" i="36"/>
  <c r="E78" i="36" s="1"/>
  <c r="F78" i="36" s="1"/>
  <c r="G78" i="36" s="1"/>
  <c r="H78" i="36" s="1"/>
  <c r="I78" i="36" s="1"/>
  <c r="J78" i="36" s="1"/>
  <c r="K78" i="36" s="1"/>
  <c r="L78" i="36" s="1"/>
  <c r="M78" i="36" s="1"/>
  <c r="B75" i="36"/>
  <c r="B73" i="36"/>
  <c r="B71" i="36"/>
  <c r="D70" i="36"/>
  <c r="H22" i="36"/>
  <c r="D68" i="36"/>
  <c r="E68" i="36"/>
  <c r="F68" i="36" s="1"/>
  <c r="G68" i="36" s="1"/>
  <c r="D64" i="36"/>
  <c r="E64" i="36" s="1"/>
  <c r="F64" i="36" s="1"/>
  <c r="G64" i="36" s="1"/>
  <c r="J16" i="36"/>
  <c r="W16" i="36" s="1"/>
  <c r="D62" i="36"/>
  <c r="E62" i="36" s="1"/>
  <c r="F62" i="36" s="1"/>
  <c r="G62" i="36" s="1"/>
  <c r="H14" i="36"/>
  <c r="AB14" i="36" s="1"/>
  <c r="B59" i="36"/>
  <c r="F13" i="36" s="1"/>
  <c r="B57" i="36"/>
  <c r="F12" i="36" s="1"/>
  <c r="B55" i="36"/>
  <c r="F54" i="36"/>
  <c r="G54" i="36" s="1"/>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c r="J28" i="36"/>
  <c r="AC28" i="36" s="1"/>
  <c r="Q27" i="36"/>
  <c r="Z27" i="36" s="1"/>
  <c r="Q26" i="36"/>
  <c r="Z26" i="36" s="1"/>
  <c r="H26" i="36"/>
  <c r="AB26" i="36" s="1"/>
  <c r="Q25" i="36"/>
  <c r="Z25" i="36" s="1"/>
  <c r="Q24" i="36"/>
  <c r="Z24" i="36" s="1"/>
  <c r="Q23" i="36"/>
  <c r="Z23" i="36" s="1"/>
  <c r="H23" i="36"/>
  <c r="AB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F35" i="35" s="1"/>
  <c r="B97" i="35"/>
  <c r="J34" i="35" s="1"/>
  <c r="AC34" i="35" s="1"/>
  <c r="B77" i="35"/>
  <c r="B75" i="35"/>
  <c r="B73" i="35"/>
  <c r="H23" i="35" s="1"/>
  <c r="B57" i="35"/>
  <c r="B61" i="35"/>
  <c r="B59" i="35"/>
  <c r="B131" i="34"/>
  <c r="J47" i="34" s="1"/>
  <c r="B129" i="34"/>
  <c r="B127" i="34"/>
  <c r="B99" i="34"/>
  <c r="J32" i="34" s="1"/>
  <c r="W32" i="34" s="1"/>
  <c r="B97" i="34"/>
  <c r="J31" i="34" s="1"/>
  <c r="B95" i="34"/>
  <c r="B93" i="34"/>
  <c r="B75" i="34"/>
  <c r="B73" i="34"/>
  <c r="J13" i="34" s="1"/>
  <c r="B71" i="34"/>
  <c r="B130" i="33"/>
  <c r="B128" i="33"/>
  <c r="J45" i="33" s="1"/>
  <c r="W45" i="33" s="1"/>
  <c r="B126" i="33"/>
  <c r="B98" i="33"/>
  <c r="B96" i="33"/>
  <c r="B94" i="33"/>
  <c r="B74" i="33"/>
  <c r="H14" i="33" s="1"/>
  <c r="AB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c r="Q12" i="35"/>
  <c r="Z12" i="35" s="1"/>
  <c r="Q11" i="35"/>
  <c r="Z11" i="35" s="1"/>
  <c r="Q10" i="35"/>
  <c r="Z10" i="35" s="1"/>
  <c r="Q9" i="35"/>
  <c r="Z9" i="35"/>
  <c r="J8" i="35"/>
  <c r="AC8" i="35" s="1"/>
  <c r="H8" i="35"/>
  <c r="AB8" i="35" s="1"/>
  <c r="F8" i="35"/>
  <c r="C7" i="35"/>
  <c r="C48" i="35" s="1"/>
  <c r="D48" i="35" s="1"/>
  <c r="E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AA19" i="34" s="1"/>
  <c r="D80" i="34"/>
  <c r="E80" i="34" s="1"/>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F9" i="34" s="1"/>
  <c r="S9" i="34" s="1"/>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Q11" i="34"/>
  <c r="Z11" i="34" s="1"/>
  <c r="Q10" i="34"/>
  <c r="Z10" i="34" s="1"/>
  <c r="F10" i="34"/>
  <c r="AA10" i="34" s="1"/>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H43" i="33" s="1"/>
  <c r="U43" i="33" s="1"/>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F28" i="33" s="1"/>
  <c r="B90" i="33"/>
  <c r="D87" i="33"/>
  <c r="E87" i="33" s="1"/>
  <c r="F87" i="33" s="1"/>
  <c r="G87" i="33" s="1"/>
  <c r="H87" i="33" s="1"/>
  <c r="I87" i="33" s="1"/>
  <c r="J87" i="33" s="1"/>
  <c r="K87" i="33" s="1"/>
  <c r="L87" i="33" s="1"/>
  <c r="M87" i="33" s="1"/>
  <c r="D85" i="33"/>
  <c r="J23" i="33" s="1"/>
  <c r="AC23" i="33" s="1"/>
  <c r="D81" i="33"/>
  <c r="E81" i="33" s="1"/>
  <c r="F81" i="33" s="1"/>
  <c r="G81" i="33" s="1"/>
  <c r="D79" i="33"/>
  <c r="E79" i="33" s="1"/>
  <c r="F79" i="33" s="1"/>
  <c r="G79" i="33" s="1"/>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F10" i="33" s="1"/>
  <c r="AA10" i="33" s="1"/>
  <c r="H66" i="33"/>
  <c r="I66" i="33" s="1"/>
  <c r="J10" i="33"/>
  <c r="C63" i="33"/>
  <c r="H9" i="33" s="1"/>
  <c r="P49" i="33"/>
  <c r="P48" i="33"/>
  <c r="P47" i="33"/>
  <c r="Q46" i="33"/>
  <c r="Z46" i="33" s="1"/>
  <c r="Q45" i="33"/>
  <c r="Z45" i="33" s="1"/>
  <c r="Q44" i="33"/>
  <c r="Z44" i="33" s="1"/>
  <c r="Q43" i="33"/>
  <c r="Z43" i="33" s="1"/>
  <c r="Q42" i="33"/>
  <c r="Z42" i="33" s="1"/>
  <c r="J42" i="33"/>
  <c r="AC42" i="33" s="1"/>
  <c r="Q41" i="33"/>
  <c r="Z41" i="33" s="1"/>
  <c r="Q40" i="33"/>
  <c r="Z40" i="33"/>
  <c r="J40" i="33"/>
  <c r="AC40" i="33" s="1"/>
  <c r="H40" i="33"/>
  <c r="AA40" i="33"/>
  <c r="Q39" i="33"/>
  <c r="Z39" i="33" s="1"/>
  <c r="Q38" i="33"/>
  <c r="Z38" i="33"/>
  <c r="J38" i="33"/>
  <c r="AC38" i="33" s="1"/>
  <c r="H38" i="33"/>
  <c r="AB38" i="33" s="1"/>
  <c r="F38" i="33"/>
  <c r="Q37" i="33"/>
  <c r="Z37" i="33" s="1"/>
  <c r="Q36" i="33"/>
  <c r="Z36" i="33"/>
  <c r="Q35" i="33"/>
  <c r="Z35" i="33" s="1"/>
  <c r="H35" i="33"/>
  <c r="AB35" i="33" s="1"/>
  <c r="F35" i="33"/>
  <c r="S35" i="33" s="1"/>
  <c r="Q34" i="33"/>
  <c r="Z34" i="33" s="1"/>
  <c r="H34" i="33"/>
  <c r="AB34" i="33"/>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S15" i="33" s="1"/>
  <c r="Q14" i="33"/>
  <c r="Z14" i="33" s="1"/>
  <c r="Q13" i="33"/>
  <c r="Z13" i="33" s="1"/>
  <c r="Q12" i="33"/>
  <c r="Z12" i="33" s="1"/>
  <c r="J12" i="33"/>
  <c r="W12" i="33" s="1"/>
  <c r="H12" i="33"/>
  <c r="F12" i="33"/>
  <c r="S12" i="33" s="1"/>
  <c r="Q11" i="33"/>
  <c r="Z11" i="33" s="1"/>
  <c r="Q10" i="33"/>
  <c r="Z10" i="33" s="1"/>
  <c r="Q9" i="33"/>
  <c r="Z9" i="33" s="1"/>
  <c r="J8" i="33"/>
  <c r="AC8" i="33" s="1"/>
  <c r="H8" i="33"/>
  <c r="AB8" i="33" s="1"/>
  <c r="F8" i="33"/>
  <c r="M102" i="21"/>
  <c r="D102" i="21"/>
  <c r="E102" i="21"/>
  <c r="F102" i="21"/>
  <c r="G102" i="21"/>
  <c r="H102" i="21"/>
  <c r="I102" i="21"/>
  <c r="J102" i="21"/>
  <c r="K102" i="21"/>
  <c r="L102" i="21"/>
  <c r="C102" i="21"/>
  <c r="C63" i="21"/>
  <c r="H9" i="21" s="1"/>
  <c r="AB9" i="21" s="1"/>
  <c r="G18" i="20"/>
  <c r="C21" i="40" s="1"/>
  <c r="G19" i="20"/>
  <c r="B85" i="43" s="1"/>
  <c r="G16" i="20"/>
  <c r="B82" i="43" s="1"/>
  <c r="G15" i="20"/>
  <c r="B81" i="43" s="1"/>
  <c r="C24" i="20"/>
  <c r="B73" i="43" s="1"/>
  <c r="B74" i="43"/>
  <c r="C20" i="20"/>
  <c r="B77" i="43" s="1"/>
  <c r="C18" i="20"/>
  <c r="B60"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D119"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F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c r="G85" i="21" s="1"/>
  <c r="D81" i="21"/>
  <c r="E81" i="21" s="1"/>
  <c r="F81" i="21" s="1"/>
  <c r="G81" i="21" s="1"/>
  <c r="D77" i="21"/>
  <c r="E77" i="21" s="1"/>
  <c r="F77" i="21" s="1"/>
  <c r="G77" i="21" s="1"/>
  <c r="H15" i="21"/>
  <c r="B130" i="21"/>
  <c r="B128" i="21"/>
  <c r="B126" i="21"/>
  <c r="H44" i="21" s="1"/>
  <c r="B98" i="21"/>
  <c r="B96" i="21"/>
  <c r="B94" i="21"/>
  <c r="B92" i="21"/>
  <c r="F28" i="21" s="1"/>
  <c r="AA28" i="21" s="1"/>
  <c r="B90" i="21"/>
  <c r="B74" i="21"/>
  <c r="F14" i="21" s="1"/>
  <c r="S14" i="21" s="1"/>
  <c r="B72" i="21"/>
  <c r="B70" i="21"/>
  <c r="J12" i="21" s="1"/>
  <c r="W12" i="21" s="1"/>
  <c r="F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W43" i="21" s="1"/>
  <c r="Q43" i="21"/>
  <c r="Z43" i="21" s="1"/>
  <c r="Q44" i="21"/>
  <c r="Z44" i="21" s="1"/>
  <c r="Q45" i="21"/>
  <c r="Z45" i="21" s="1"/>
  <c r="Q46" i="21"/>
  <c r="Z46" i="21" s="1"/>
  <c r="P47" i="21"/>
  <c r="R47" i="21"/>
  <c r="T47" i="21"/>
  <c r="V47" i="21"/>
  <c r="P48" i="21"/>
  <c r="P49" i="21"/>
  <c r="F8" i="21"/>
  <c r="AA8" i="21" s="1"/>
  <c r="E10" i="11"/>
  <c r="E9" i="11"/>
  <c r="F43" i="21"/>
  <c r="S43" i="21" s="1"/>
  <c r="H38" i="21"/>
  <c r="AB38" i="21" s="1"/>
  <c r="H43" i="21"/>
  <c r="AB43" i="21" s="1"/>
  <c r="F38" i="21"/>
  <c r="F36" i="21"/>
  <c r="S36" i="21" s="1"/>
  <c r="F39" i="21"/>
  <c r="S39" i="21" s="1"/>
  <c r="H35" i="21"/>
  <c r="U35" i="21" s="1"/>
  <c r="J8" i="21"/>
  <c r="AC8" i="21" s="1"/>
  <c r="H8" i="21"/>
  <c r="H10" i="21"/>
  <c r="H36" i="21"/>
  <c r="U36" i="21" s="1"/>
  <c r="F35" i="21"/>
  <c r="AA35" i="21" s="1"/>
  <c r="J33" i="21"/>
  <c r="H33" i="21"/>
  <c r="F33" i="21"/>
  <c r="AA33" i="21"/>
  <c r="J10" i="21"/>
  <c r="AC10" i="21" s="1"/>
  <c r="H26" i="21"/>
  <c r="AB26" i="21" s="1"/>
  <c r="F19" i="21"/>
  <c r="H19" i="21"/>
  <c r="AB19" i="21" s="1"/>
  <c r="J19" i="21"/>
  <c r="W19" i="21" s="1"/>
  <c r="AC12" i="21"/>
  <c r="J26" i="21"/>
  <c r="W26" i="21" s="1"/>
  <c r="F26" i="21"/>
  <c r="S26" i="21" s="1"/>
  <c r="AB41" i="21"/>
  <c r="U41" i="21"/>
  <c r="S41" i="21"/>
  <c r="F45" i="39"/>
  <c r="J45" i="39"/>
  <c r="W45" i="39" s="1"/>
  <c r="J44" i="39"/>
  <c r="H36" i="39"/>
  <c r="S8" i="39"/>
  <c r="U38" i="39"/>
  <c r="H32" i="37"/>
  <c r="U32" i="37" s="1"/>
  <c r="AB32" i="37"/>
  <c r="U8" i="37"/>
  <c r="W31" i="37"/>
  <c r="F29" i="36"/>
  <c r="AA29" i="36" s="1"/>
  <c r="F16" i="36"/>
  <c r="S16" i="36" s="1"/>
  <c r="AA31" i="36"/>
  <c r="AC31" i="36"/>
  <c r="W31" i="36"/>
  <c r="J33" i="36"/>
  <c r="AB34" i="36"/>
  <c r="H22" i="35"/>
  <c r="AB22" i="35"/>
  <c r="U31" i="35"/>
  <c r="S32" i="35"/>
  <c r="S31" i="35"/>
  <c r="U32" i="35"/>
  <c r="F36" i="34"/>
  <c r="U39" i="34"/>
  <c r="S40" i="33"/>
  <c r="AC38" i="21"/>
  <c r="F11" i="40"/>
  <c r="S8" i="40"/>
  <c r="H11" i="40"/>
  <c r="U11" i="40" s="1"/>
  <c r="W8" i="40"/>
  <c r="U9" i="40"/>
  <c r="U34" i="40"/>
  <c r="F42" i="39"/>
  <c r="AA42" i="39" s="1"/>
  <c r="F41" i="39"/>
  <c r="AA41" i="39" s="1"/>
  <c r="H40" i="39"/>
  <c r="AB40" i="39" s="1"/>
  <c r="H39" i="39"/>
  <c r="U39" i="39"/>
  <c r="S38" i="39"/>
  <c r="H34" i="39"/>
  <c r="F109" i="39"/>
  <c r="G109" i="39" s="1"/>
  <c r="H109" i="39" s="1"/>
  <c r="I109" i="39" s="1"/>
  <c r="J109" i="39" s="1"/>
  <c r="K109" i="39" s="1"/>
  <c r="L109" i="39" s="1"/>
  <c r="M109" i="39" s="1"/>
  <c r="H31" i="39"/>
  <c r="AB31" i="39" s="1"/>
  <c r="F31" i="39"/>
  <c r="AA31" i="39" s="1"/>
  <c r="E103" i="39"/>
  <c r="F103" i="39" s="1"/>
  <c r="G103" i="39" s="1"/>
  <c r="H19" i="39"/>
  <c r="AB19" i="39" s="1"/>
  <c r="F19" i="39"/>
  <c r="S19" i="39" s="1"/>
  <c r="H17" i="39"/>
  <c r="U17" i="39"/>
  <c r="F17" i="39"/>
  <c r="S17" i="39" s="1"/>
  <c r="J23" i="40"/>
  <c r="AC23" i="40" s="1"/>
  <c r="H42" i="39"/>
  <c r="J34" i="39"/>
  <c r="AC34" i="39" s="1"/>
  <c r="J31" i="39"/>
  <c r="AC31" i="39" s="1"/>
  <c r="H29" i="39"/>
  <c r="U29" i="39" s="1"/>
  <c r="J19" i="39"/>
  <c r="J17" i="39"/>
  <c r="J29" i="39"/>
  <c r="F29" i="39"/>
  <c r="AA29" i="39" s="1"/>
  <c r="F11" i="21"/>
  <c r="S11" i="21" s="1"/>
  <c r="H11" i="39"/>
  <c r="AB11" i="39" s="1"/>
  <c r="AB39" i="39"/>
  <c r="H11" i="21"/>
  <c r="U11" i="21" s="1"/>
  <c r="J11" i="21"/>
  <c r="AC11" i="21" s="1"/>
  <c r="H36" i="40"/>
  <c r="F35" i="40"/>
  <c r="S35" i="40" s="1"/>
  <c r="J30" i="40"/>
  <c r="F30" i="40"/>
  <c r="AA30" i="40" s="1"/>
  <c r="F96" i="40"/>
  <c r="G96" i="40" s="1"/>
  <c r="H96" i="40" s="1"/>
  <c r="I96" i="40" s="1"/>
  <c r="J96" i="40" s="1"/>
  <c r="K96" i="40" s="1"/>
  <c r="L96" i="40" s="1"/>
  <c r="M96" i="40" s="1"/>
  <c r="H27" i="40"/>
  <c r="AB27" i="40" s="1"/>
  <c r="H23" i="40"/>
  <c r="AB23" i="40" s="1"/>
  <c r="J11" i="40"/>
  <c r="W11" i="40" s="1"/>
  <c r="AA12" i="33"/>
  <c r="F37" i="39"/>
  <c r="S37" i="39" s="1"/>
  <c r="F22" i="35"/>
  <c r="AA22" i="35" s="1"/>
  <c r="H10" i="35"/>
  <c r="U10" i="35" s="1"/>
  <c r="U33" i="36"/>
  <c r="F33" i="36"/>
  <c r="E85" i="36"/>
  <c r="F85" i="36" s="1"/>
  <c r="G85" i="36" s="1"/>
  <c r="H85" i="36" s="1"/>
  <c r="I85" i="36" s="1"/>
  <c r="J85" i="36" s="1"/>
  <c r="K85" i="36" s="1"/>
  <c r="L85" i="36" s="1"/>
  <c r="M85" i="36" s="1"/>
  <c r="J29" i="36"/>
  <c r="AA12" i="36"/>
  <c r="H20" i="36"/>
  <c r="J20" i="36"/>
  <c r="W20" i="36" s="1"/>
  <c r="AB8" i="36"/>
  <c r="F14" i="35"/>
  <c r="F23" i="35"/>
  <c r="AA23" i="35" s="1"/>
  <c r="J32" i="35"/>
  <c r="AC32" i="35"/>
  <c r="J16" i="35"/>
  <c r="W16" i="35" s="1"/>
  <c r="H14" i="35"/>
  <c r="AB14" i="35" s="1"/>
  <c r="H33" i="35"/>
  <c r="AB33" i="35" s="1"/>
  <c r="J20" i="35"/>
  <c r="H20" i="35"/>
  <c r="U20" i="35" s="1"/>
  <c r="F20" i="35"/>
  <c r="AA20" i="35" s="1"/>
  <c r="E101" i="37"/>
  <c r="F101" i="37" s="1"/>
  <c r="G101" i="37" s="1"/>
  <c r="H101" i="37" s="1"/>
  <c r="I101" i="37" s="1"/>
  <c r="J101" i="37" s="1"/>
  <c r="K101" i="37" s="1"/>
  <c r="L101" i="37" s="1"/>
  <c r="M101" i="37" s="1"/>
  <c r="J34" i="37"/>
  <c r="J43" i="34"/>
  <c r="AC43" i="34" s="1"/>
  <c r="H43" i="34"/>
  <c r="U42" i="34"/>
  <c r="H40" i="34"/>
  <c r="U40" i="34" s="1"/>
  <c r="E114" i="34"/>
  <c r="F114" i="34" s="1"/>
  <c r="G114" i="34" s="1"/>
  <c r="H114" i="34" s="1"/>
  <c r="I114" i="34" s="1"/>
  <c r="J114" i="34" s="1"/>
  <c r="K114" i="34" s="1"/>
  <c r="L114" i="34" s="1"/>
  <c r="M114" i="34" s="1"/>
  <c r="F38" i="34"/>
  <c r="AA38" i="34" s="1"/>
  <c r="F28" i="34"/>
  <c r="AA28" i="34" s="1"/>
  <c r="J19" i="34"/>
  <c r="J15" i="34"/>
  <c r="AC15" i="34" s="1"/>
  <c r="H15" i="34"/>
  <c r="J10" i="34"/>
  <c r="H10" i="34"/>
  <c r="AB10" i="34" s="1"/>
  <c r="F41" i="33"/>
  <c r="S41" i="33"/>
  <c r="E113" i="33"/>
  <c r="F113" i="33" s="1"/>
  <c r="G113" i="33" s="1"/>
  <c r="H113" i="33" s="1"/>
  <c r="I113" i="33" s="1"/>
  <c r="J113" i="33" s="1"/>
  <c r="K113" i="33" s="1"/>
  <c r="L113" i="33" s="1"/>
  <c r="M113" i="33" s="1"/>
  <c r="J34" i="33"/>
  <c r="J25" i="33"/>
  <c r="F19" i="33"/>
  <c r="J19" i="33"/>
  <c r="W19" i="33" s="1"/>
  <c r="H17" i="33"/>
  <c r="AB17" i="33" s="1"/>
  <c r="J15" i="33"/>
  <c r="AC15" i="33" s="1"/>
  <c r="F11" i="33"/>
  <c r="F37" i="40"/>
  <c r="AA37" i="40" s="1"/>
  <c r="F36" i="40"/>
  <c r="AA36" i="40" s="1"/>
  <c r="J27" i="40"/>
  <c r="AC27" i="40" s="1"/>
  <c r="F27" i="40"/>
  <c r="F23" i="40"/>
  <c r="AA23" i="40"/>
  <c r="AC11" i="40"/>
  <c r="W32" i="35"/>
  <c r="F29" i="35"/>
  <c r="S29" i="35" s="1"/>
  <c r="AB42" i="34"/>
  <c r="H38" i="34"/>
  <c r="H37" i="33"/>
  <c r="AB37" i="33" s="1"/>
  <c r="AA37" i="33"/>
  <c r="F17" i="33"/>
  <c r="AA17" i="33" s="1"/>
  <c r="H15" i="33"/>
  <c r="AB15" i="33"/>
  <c r="AC42" i="34"/>
  <c r="J37" i="33"/>
  <c r="AC37" i="33" s="1"/>
  <c r="J11" i="33"/>
  <c r="J42" i="21"/>
  <c r="AC42" i="21" s="1"/>
  <c r="H42" i="21"/>
  <c r="AB42" i="21" s="1"/>
  <c r="J10" i="35"/>
  <c r="J14" i="21"/>
  <c r="H14" i="21"/>
  <c r="H28" i="21"/>
  <c r="J28" i="21"/>
  <c r="W28" i="21" s="1"/>
  <c r="H30" i="21"/>
  <c r="J44" i="21"/>
  <c r="AC44" i="21" s="1"/>
  <c r="U44" i="21"/>
  <c r="F44" i="21"/>
  <c r="AA44" i="21" s="1"/>
  <c r="F46" i="21"/>
  <c r="E119" i="21"/>
  <c r="F119" i="21" s="1"/>
  <c r="G119" i="21" s="1"/>
  <c r="H119" i="21" s="1"/>
  <c r="I119" i="21" s="1"/>
  <c r="J119" i="21" s="1"/>
  <c r="K119" i="21" s="1"/>
  <c r="L119" i="21" s="1"/>
  <c r="M119" i="21" s="1"/>
  <c r="H26" i="33"/>
  <c r="U26" i="33" s="1"/>
  <c r="H28" i="33"/>
  <c r="S28" i="33"/>
  <c r="J28" i="33"/>
  <c r="AC28" i="33" s="1"/>
  <c r="F33" i="35"/>
  <c r="S33" i="35" s="1"/>
  <c r="J33" i="35"/>
  <c r="F30" i="35"/>
  <c r="S30" i="35" s="1"/>
  <c r="H10" i="36"/>
  <c r="AB10" i="36" s="1"/>
  <c r="G83" i="36"/>
  <c r="H83" i="36" s="1"/>
  <c r="I83" i="36" s="1"/>
  <c r="J83" i="36" s="1"/>
  <c r="K83" i="36" s="1"/>
  <c r="L83" i="36" s="1"/>
  <c r="M83" i="36" s="1"/>
  <c r="F28" i="36"/>
  <c r="J13" i="33"/>
  <c r="AC13" i="33" s="1"/>
  <c r="H13" i="33"/>
  <c r="AB13" i="33" s="1"/>
  <c r="F13" i="33"/>
  <c r="S13" i="33" s="1"/>
  <c r="J29" i="33"/>
  <c r="W29" i="33" s="1"/>
  <c r="J31" i="33"/>
  <c r="W31" i="33" s="1"/>
  <c r="H31" i="33"/>
  <c r="F31" i="33"/>
  <c r="J14" i="34"/>
  <c r="H30" i="34"/>
  <c r="U30" i="34" s="1"/>
  <c r="F30" i="34"/>
  <c r="S30" i="34" s="1"/>
  <c r="J30" i="34"/>
  <c r="W30" i="34"/>
  <c r="H32" i="34"/>
  <c r="H46" i="34"/>
  <c r="F46" i="34"/>
  <c r="S46" i="34" s="1"/>
  <c r="J46" i="34"/>
  <c r="W46" i="34" s="1"/>
  <c r="H11" i="35"/>
  <c r="U11" i="35" s="1"/>
  <c r="J11" i="35"/>
  <c r="F11" i="35"/>
  <c r="S11" i="35"/>
  <c r="J26" i="36"/>
  <c r="W26" i="36" s="1"/>
  <c r="H28" i="36"/>
  <c r="U28" i="36" s="1"/>
  <c r="H32" i="36"/>
  <c r="W32" i="36"/>
  <c r="J11" i="36"/>
  <c r="W11" i="36" s="1"/>
  <c r="H11" i="36"/>
  <c r="AB11" i="36" s="1"/>
  <c r="F11" i="36"/>
  <c r="AA11" i="36" s="1"/>
  <c r="H13" i="36"/>
  <c r="AB13" i="36" s="1"/>
  <c r="J13" i="36"/>
  <c r="W13" i="36" s="1"/>
  <c r="S13" i="36"/>
  <c r="H36" i="37"/>
  <c r="H37" i="37"/>
  <c r="U37" i="37" s="1"/>
  <c r="AC12" i="40"/>
  <c r="U14" i="33"/>
  <c r="F14" i="33"/>
  <c r="H30" i="33"/>
  <c r="F30" i="33"/>
  <c r="S30" i="33" s="1"/>
  <c r="J30" i="33"/>
  <c r="H44" i="33"/>
  <c r="AB44" i="33" s="1"/>
  <c r="J44" i="33"/>
  <c r="AC44" i="33" s="1"/>
  <c r="F44" i="33"/>
  <c r="S44" i="33" s="1"/>
  <c r="J46" i="33"/>
  <c r="F46" i="33"/>
  <c r="H46" i="33"/>
  <c r="H13" i="34"/>
  <c r="U13" i="34" s="1"/>
  <c r="F13" i="34"/>
  <c r="J29" i="34"/>
  <c r="AC29" i="34" s="1"/>
  <c r="F29" i="34"/>
  <c r="S29" i="34"/>
  <c r="H29" i="34"/>
  <c r="U29" i="34" s="1"/>
  <c r="AC31" i="34"/>
  <c r="F31" i="34"/>
  <c r="H45" i="34"/>
  <c r="U45" i="34" s="1"/>
  <c r="J45" i="34"/>
  <c r="W45" i="34" s="1"/>
  <c r="F45" i="34"/>
  <c r="S45" i="34" s="1"/>
  <c r="H47" i="34"/>
  <c r="U47" i="34" s="1"/>
  <c r="AC47" i="34"/>
  <c r="F13" i="35"/>
  <c r="J13" i="35"/>
  <c r="AC13" i="35" s="1"/>
  <c r="H13" i="35"/>
  <c r="J25" i="35"/>
  <c r="F25" i="35"/>
  <c r="S25" i="35" s="1"/>
  <c r="H25" i="35"/>
  <c r="AB25" i="35" s="1"/>
  <c r="J35" i="35"/>
  <c r="AC35" i="35" s="1"/>
  <c r="AA35" i="35"/>
  <c r="J25" i="36"/>
  <c r="F25" i="36"/>
  <c r="S25" i="36" s="1"/>
  <c r="H25" i="36"/>
  <c r="AB25" i="36" s="1"/>
  <c r="H13" i="37"/>
  <c r="F13" i="37"/>
  <c r="S13" i="37" s="1"/>
  <c r="J13" i="37"/>
  <c r="W13" i="37" s="1"/>
  <c r="F28" i="37"/>
  <c r="AA28" i="37" s="1"/>
  <c r="J28" i="37"/>
  <c r="H28" i="37"/>
  <c r="U28" i="37" s="1"/>
  <c r="H38" i="37"/>
  <c r="AB38" i="37" s="1"/>
  <c r="F43" i="39"/>
  <c r="AA43" i="39"/>
  <c r="H43" i="39"/>
  <c r="U43" i="39" s="1"/>
  <c r="J14" i="39"/>
  <c r="W14" i="39" s="1"/>
  <c r="H12" i="40"/>
  <c r="U12" i="40" s="1"/>
  <c r="H30" i="40"/>
  <c r="AB30" i="40" s="1"/>
  <c r="F33" i="40"/>
  <c r="H33" i="40"/>
  <c r="AB33" i="40" s="1"/>
  <c r="J35" i="40"/>
  <c r="H13" i="40"/>
  <c r="U13" i="40" s="1"/>
  <c r="J13" i="40"/>
  <c r="W13" i="40" s="1"/>
  <c r="F13" i="40"/>
  <c r="AA13" i="40"/>
  <c r="F13" i="39"/>
  <c r="J13" i="39"/>
  <c r="H13" i="39"/>
  <c r="U13" i="39" s="1"/>
  <c r="J14" i="40"/>
  <c r="F14" i="40"/>
  <c r="W13" i="35"/>
  <c r="AB37" i="37"/>
  <c r="AC32" i="34"/>
  <c r="J10" i="36"/>
  <c r="AC10" i="36"/>
  <c r="AC29" i="33"/>
  <c r="U42" i="21"/>
  <c r="S33" i="21"/>
  <c r="J41" i="39"/>
  <c r="W41"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c r="F23" i="37"/>
  <c r="S23" i="37" s="1"/>
  <c r="F32" i="37"/>
  <c r="F14" i="36"/>
  <c r="AA14" i="36"/>
  <c r="F22" i="36"/>
  <c r="F26" i="36"/>
  <c r="AA26" i="36" s="1"/>
  <c r="H27" i="34"/>
  <c r="U27" i="34" s="1"/>
  <c r="H35" i="34"/>
  <c r="U35" i="34" s="1"/>
  <c r="F41" i="34"/>
  <c r="S41" i="34" s="1"/>
  <c r="H41" i="34"/>
  <c r="U41" i="34" s="1"/>
  <c r="J41" i="34"/>
  <c r="F10" i="35"/>
  <c r="AA10" i="35"/>
  <c r="H23" i="37"/>
  <c r="AB23" i="37" s="1"/>
  <c r="J32" i="37"/>
  <c r="F36" i="37"/>
  <c r="F37" i="37"/>
  <c r="AA37" i="37" s="1"/>
  <c r="H31" i="40"/>
  <c r="F32" i="40"/>
  <c r="H32" i="40"/>
  <c r="U32" i="40"/>
  <c r="J36" i="40"/>
  <c r="AB32" i="40"/>
  <c r="J23" i="37"/>
  <c r="AC23" i="37" s="1"/>
  <c r="S30" i="31"/>
  <c r="AB20" i="35"/>
  <c r="AA11" i="35"/>
  <c r="AC8" i="37"/>
  <c r="W47" i="34"/>
  <c r="AB8" i="34"/>
  <c r="AA13" i="33"/>
  <c r="AA30" i="33"/>
  <c r="W10" i="36"/>
  <c r="H37" i="21"/>
  <c r="U37" i="21" s="1"/>
  <c r="J37" i="21"/>
  <c r="W37" i="21" s="1"/>
  <c r="H19" i="34"/>
  <c r="F11" i="37"/>
  <c r="J42" i="39"/>
  <c r="AC42" i="39" s="1"/>
  <c r="AB37" i="21"/>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9" i="47"/>
  <c r="D8" i="47"/>
  <c r="D6" i="47"/>
  <c r="H19" i="40"/>
  <c r="AB19" i="40" s="1"/>
  <c r="F19" i="40"/>
  <c r="S19" i="40" s="1"/>
  <c r="S13" i="40"/>
  <c r="AC43" i="39"/>
  <c r="H37" i="39"/>
  <c r="U37" i="39" s="1"/>
  <c r="AC37" i="39"/>
  <c r="H25" i="39"/>
  <c r="U25" i="39" s="1"/>
  <c r="J25" i="39"/>
  <c r="F25" i="39"/>
  <c r="S25" i="39"/>
  <c r="F15" i="39"/>
  <c r="AA15" i="39" s="1"/>
  <c r="H15" i="39"/>
  <c r="U15" i="39" s="1"/>
  <c r="J15" i="39"/>
  <c r="W15" i="39" s="1"/>
  <c r="H41" i="39"/>
  <c r="AB41" i="39"/>
  <c r="F11" i="39"/>
  <c r="AA11" i="39" s="1"/>
  <c r="H21" i="39"/>
  <c r="U21" i="39" s="1"/>
  <c r="F32" i="39"/>
  <c r="S32" i="39" s="1"/>
  <c r="S42" i="39"/>
  <c r="S41" i="39"/>
  <c r="W39" i="39"/>
  <c r="AB25" i="39"/>
  <c r="W21" i="39"/>
  <c r="J11" i="39"/>
  <c r="W11" i="39" s="1"/>
  <c r="J32" i="39"/>
  <c r="AC32" i="39" s="1"/>
  <c r="E66" i="39"/>
  <c r="E61" i="40"/>
  <c r="F34" i="43"/>
  <c r="C21" i="11"/>
  <c r="H55" i="39"/>
  <c r="G60" i="40"/>
  <c r="C60" i="40" s="1"/>
  <c r="H16" i="44"/>
  <c r="D17" i="43"/>
  <c r="I17" i="43"/>
  <c r="D108" i="9"/>
  <c r="F22" i="43"/>
  <c r="B56" i="60"/>
  <c r="G22" i="43"/>
  <c r="E22" i="43"/>
  <c r="H14" i="44"/>
  <c r="B57" i="60"/>
  <c r="W40" i="39"/>
  <c r="AC30" i="34"/>
  <c r="H23" i="34"/>
  <c r="F33" i="34"/>
  <c r="S33" i="34" s="1"/>
  <c r="H36" i="34"/>
  <c r="F35" i="34"/>
  <c r="AA35" i="34" s="1"/>
  <c r="J35" i="34"/>
  <c r="AC35" i="34" s="1"/>
  <c r="F27" i="34"/>
  <c r="S27" i="34" s="1"/>
  <c r="J33" i="34"/>
  <c r="J37" i="34"/>
  <c r="W37" i="34" s="1"/>
  <c r="AB33" i="34"/>
  <c r="AC37" i="34"/>
  <c r="J26" i="35"/>
  <c r="W26" i="35"/>
  <c r="F26" i="35"/>
  <c r="H26" i="35"/>
  <c r="U26" i="35" s="1"/>
  <c r="K145" i="21"/>
  <c r="K144" i="21"/>
  <c r="K141" i="21"/>
  <c r="K143" i="21"/>
  <c r="B101" i="9"/>
  <c r="F23" i="21"/>
  <c r="AA23" i="21" s="1"/>
  <c r="J23" i="21"/>
  <c r="AC23" i="21" s="1"/>
  <c r="H23" i="21"/>
  <c r="F17" i="21"/>
  <c r="AA17" i="21" s="1"/>
  <c r="J17" i="21"/>
  <c r="H17" i="21"/>
  <c r="J15" i="21"/>
  <c r="AC35" i="21"/>
  <c r="H102" i="57"/>
  <c r="A131" i="9"/>
  <c r="A134" i="57"/>
  <c r="B102" i="57"/>
  <c r="C111" i="57"/>
  <c r="D127" i="57"/>
  <c r="T27" i="31"/>
  <c r="S27" i="31"/>
  <c r="B113" i="43"/>
  <c r="I118" i="43"/>
  <c r="J118" i="43" s="1"/>
  <c r="K118" i="43" s="1"/>
  <c r="L118" i="43" s="1"/>
  <c r="M118" i="43" s="1"/>
  <c r="M101" i="43"/>
  <c r="K101" i="43"/>
  <c r="I101" i="43"/>
  <c r="I102" i="43"/>
  <c r="G101" i="43"/>
  <c r="G104" i="43" s="1"/>
  <c r="E101" i="43"/>
  <c r="E106" i="43" s="1"/>
  <c r="C101" i="43"/>
  <c r="N101" i="43"/>
  <c r="L101" i="43"/>
  <c r="L104" i="43" s="1"/>
  <c r="J101" i="43"/>
  <c r="J103" i="43" s="1"/>
  <c r="H101" i="43"/>
  <c r="F101" i="43"/>
  <c r="D101" i="43"/>
  <c r="S427" i="31"/>
  <c r="S423" i="31"/>
  <c r="S419" i="31"/>
  <c r="S415" i="31"/>
  <c r="S411" i="31"/>
  <c r="S407" i="31"/>
  <c r="S403" i="31"/>
  <c r="S399" i="31"/>
  <c r="S395" i="31"/>
  <c r="S391" i="31"/>
  <c r="S387" i="31"/>
  <c r="S379" i="31"/>
  <c r="S375" i="31"/>
  <c r="S371"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S513" i="31"/>
  <c r="S113" i="31"/>
  <c r="S109" i="31"/>
  <c r="S105" i="31"/>
  <c r="S101" i="31"/>
  <c r="S81" i="31"/>
  <c r="S85" i="31"/>
  <c r="S93" i="31"/>
  <c r="S97" i="31"/>
  <c r="S453" i="31"/>
  <c r="S457" i="31"/>
  <c r="S461" i="31"/>
  <c r="S465" i="31"/>
  <c r="S469" i="31"/>
  <c r="S505" i="31"/>
  <c r="S433" i="31"/>
  <c r="S437" i="31"/>
  <c r="S441" i="31"/>
  <c r="S445" i="31"/>
  <c r="S127" i="31"/>
  <c r="S131" i="31"/>
  <c r="S135" i="31"/>
  <c r="S143" i="31"/>
  <c r="S147" i="31"/>
  <c r="S151" i="31"/>
  <c r="S155" i="31"/>
  <c r="S159" i="31"/>
  <c r="S163" i="31"/>
  <c r="S167" i="31"/>
  <c r="S175" i="31"/>
  <c r="S179" i="31"/>
  <c r="S183" i="31"/>
  <c r="S187" i="31"/>
  <c r="S191" i="31"/>
  <c r="S195" i="31"/>
  <c r="S199" i="31"/>
  <c r="S207" i="31"/>
  <c r="S211" i="31"/>
  <c r="S215" i="31"/>
  <c r="S219" i="31"/>
  <c r="S223" i="31"/>
  <c r="S429" i="31"/>
  <c r="R28" i="31"/>
  <c r="C18" i="57"/>
  <c r="D18" i="57" s="1"/>
  <c r="D47" i="15"/>
  <c r="J37" i="37"/>
  <c r="W37" i="37" s="1"/>
  <c r="AB40" i="37"/>
  <c r="U40" i="37"/>
  <c r="U15" i="21"/>
  <c r="AB15" i="21"/>
  <c r="AA16" i="35"/>
  <c r="AA35" i="39"/>
  <c r="AB21" i="39"/>
  <c r="F40" i="34"/>
  <c r="U20" i="36"/>
  <c r="AB20" i="36"/>
  <c r="AC44" i="39"/>
  <c r="W44" i="39"/>
  <c r="B41" i="47"/>
  <c r="C23" i="40"/>
  <c r="AC8" i="34"/>
  <c r="W8" i="34"/>
  <c r="W12" i="34"/>
  <c r="AC12" i="34"/>
  <c r="J9" i="34"/>
  <c r="W9" i="34" s="1"/>
  <c r="AA9" i="36"/>
  <c r="S9" i="36"/>
  <c r="H12" i="36"/>
  <c r="AB12" i="36" s="1"/>
  <c r="AA9" i="39"/>
  <c r="S9" i="39"/>
  <c r="F12" i="39"/>
  <c r="S12" i="39" s="1"/>
  <c r="R29" i="31"/>
  <c r="T29" i="31" s="1"/>
  <c r="F15" i="21"/>
  <c r="J36" i="34"/>
  <c r="W36" i="34" s="1"/>
  <c r="J19" i="40"/>
  <c r="AC19" i="40" s="1"/>
  <c r="W9" i="39"/>
  <c r="H32" i="39"/>
  <c r="F21" i="39"/>
  <c r="AA21" i="39" s="1"/>
  <c r="F31" i="37"/>
  <c r="AA31" i="37" s="1"/>
  <c r="S44" i="21"/>
  <c r="F17" i="37"/>
  <c r="AA17" i="37" s="1"/>
  <c r="AB28" i="36"/>
  <c r="AB13" i="40"/>
  <c r="U33" i="40"/>
  <c r="AB11" i="35"/>
  <c r="J14" i="36"/>
  <c r="J40" i="34"/>
  <c r="AC40" i="34" s="1"/>
  <c r="S37" i="40"/>
  <c r="H19" i="33"/>
  <c r="AB19" i="33" s="1"/>
  <c r="AA41" i="33"/>
  <c r="J23" i="34"/>
  <c r="W23" i="34"/>
  <c r="AB17" i="39"/>
  <c r="W22" i="35"/>
  <c r="S30" i="36"/>
  <c r="S38" i="21"/>
  <c r="AA38" i="21"/>
  <c r="E106" i="21"/>
  <c r="F106" i="21" s="1"/>
  <c r="G106" i="21" s="1"/>
  <c r="H106" i="21" s="1"/>
  <c r="I106" i="21" s="1"/>
  <c r="J106" i="21" s="1"/>
  <c r="K106" i="21" s="1"/>
  <c r="L106" i="21" s="1"/>
  <c r="M106" i="21" s="1"/>
  <c r="F34" i="21"/>
  <c r="S34" i="21" s="1"/>
  <c r="H34" i="21"/>
  <c r="U34" i="21" s="1"/>
  <c r="J34" i="21"/>
  <c r="H9" i="34"/>
  <c r="AB9" i="34"/>
  <c r="H28" i="34"/>
  <c r="U28" i="34"/>
  <c r="E116" i="34"/>
  <c r="F116" i="34" s="1"/>
  <c r="G116" i="34" s="1"/>
  <c r="H116" i="34" s="1"/>
  <c r="I116" i="34" s="1"/>
  <c r="J116" i="34" s="1"/>
  <c r="K116" i="34" s="1"/>
  <c r="L116" i="34" s="1"/>
  <c r="M116" i="34" s="1"/>
  <c r="J39" i="34"/>
  <c r="W39" i="34" s="1"/>
  <c r="J27" i="36"/>
  <c r="AC27" i="36" s="1"/>
  <c r="F37" i="34"/>
  <c r="AA37" i="34" s="1"/>
  <c r="H37" i="34"/>
  <c r="U37" i="34" s="1"/>
  <c r="AB12" i="40"/>
  <c r="AC46" i="34"/>
  <c r="W28" i="33"/>
  <c r="AA14" i="35"/>
  <c r="S14" i="35"/>
  <c r="W11" i="21"/>
  <c r="H27" i="21"/>
  <c r="AB27" i="21" s="1"/>
  <c r="J27" i="21"/>
  <c r="W27" i="21" s="1"/>
  <c r="F27" i="21"/>
  <c r="J31" i="21"/>
  <c r="W31" i="21" s="1"/>
  <c r="H31" i="21"/>
  <c r="U31" i="21" s="1"/>
  <c r="F31" i="21"/>
  <c r="H39" i="21"/>
  <c r="U39" i="21" s="1"/>
  <c r="E117" i="33"/>
  <c r="J39" i="33" s="1"/>
  <c r="E91" i="33"/>
  <c r="F91" i="33" s="1"/>
  <c r="G91" i="33" s="1"/>
  <c r="H91" i="33" s="1"/>
  <c r="I91" i="33" s="1"/>
  <c r="J91" i="33" s="1"/>
  <c r="K91" i="33" s="1"/>
  <c r="L91" i="33" s="1"/>
  <c r="M91" i="33" s="1"/>
  <c r="H41" i="33"/>
  <c r="AB41" i="33" s="1"/>
  <c r="AA11" i="34"/>
  <c r="S11" i="34"/>
  <c r="F80" i="34"/>
  <c r="H17" i="34"/>
  <c r="U17" i="34" s="1"/>
  <c r="H16" i="35"/>
  <c r="U16" i="35" s="1"/>
  <c r="J24" i="35"/>
  <c r="AC24" i="35" s="1"/>
  <c r="F24" i="35"/>
  <c r="H24" i="35"/>
  <c r="AB24" i="35" s="1"/>
  <c r="F34" i="35"/>
  <c r="G60" i="37"/>
  <c r="H60" i="37" s="1"/>
  <c r="F10" i="37"/>
  <c r="AA10" i="37" s="1"/>
  <c r="J12" i="37"/>
  <c r="W12" i="37"/>
  <c r="F12" i="37"/>
  <c r="F27" i="37"/>
  <c r="J29" i="37"/>
  <c r="W29" i="37" s="1"/>
  <c r="F29" i="37"/>
  <c r="S29" i="37" s="1"/>
  <c r="H31" i="37"/>
  <c r="AB31" i="37" s="1"/>
  <c r="J36" i="37"/>
  <c r="W36" i="37" s="1"/>
  <c r="J40" i="37"/>
  <c r="W40" i="37" s="1"/>
  <c r="F40" i="37"/>
  <c r="AA40" i="37" s="1"/>
  <c r="U8" i="39"/>
  <c r="AB8" i="39"/>
  <c r="J29" i="35"/>
  <c r="AC29" i="35" s="1"/>
  <c r="AC30" i="36"/>
  <c r="W30" i="36"/>
  <c r="H35" i="39"/>
  <c r="J35" i="39"/>
  <c r="AC35" i="39" s="1"/>
  <c r="AA19" i="39"/>
  <c r="H16" i="36"/>
  <c r="F32" i="21"/>
  <c r="S32" i="21" s="1"/>
  <c r="J32" i="21"/>
  <c r="W32" i="21" s="1"/>
  <c r="H32" i="21"/>
  <c r="U32" i="21" s="1"/>
  <c r="F40" i="21"/>
  <c r="S40" i="21" s="1"/>
  <c r="H40" i="21"/>
  <c r="J40" i="21"/>
  <c r="AC40" i="21" s="1"/>
  <c r="B44" i="47"/>
  <c r="AC33" i="33"/>
  <c r="W33" i="33"/>
  <c r="S34" i="33"/>
  <c r="W38" i="33"/>
  <c r="J9" i="33"/>
  <c r="AC9" i="33" s="1"/>
  <c r="F9" i="33"/>
  <c r="AA9" i="33" s="1"/>
  <c r="F25" i="34"/>
  <c r="H44" i="34"/>
  <c r="U44" i="34" s="1"/>
  <c r="W9" i="36"/>
  <c r="F20" i="36"/>
  <c r="J24" i="36"/>
  <c r="W24" i="36" s="1"/>
  <c r="H24" i="36"/>
  <c r="U24" i="36" s="1"/>
  <c r="F24" i="36"/>
  <c r="J26" i="37"/>
  <c r="H26" i="37"/>
  <c r="AB26" i="37" s="1"/>
  <c r="F26" i="37"/>
  <c r="AA26" i="37" s="1"/>
  <c r="J23" i="39"/>
  <c r="E97" i="39"/>
  <c r="F97" i="39" s="1"/>
  <c r="G97" i="39" s="1"/>
  <c r="H15" i="37"/>
  <c r="U15" i="37" s="1"/>
  <c r="F15" i="37"/>
  <c r="AA15" i="37" s="1"/>
  <c r="F38" i="40"/>
  <c r="AA38" i="40" s="1"/>
  <c r="J38" i="40"/>
  <c r="H38" i="40"/>
  <c r="U38" i="40" s="1"/>
  <c r="J40" i="40"/>
  <c r="AC40" i="40" s="1"/>
  <c r="H40" i="40"/>
  <c r="AB40" i="40" s="1"/>
  <c r="F40" i="40"/>
  <c r="N6" i="43"/>
  <c r="F70" i="43"/>
  <c r="H71" i="43" s="1"/>
  <c r="M1" i="43"/>
  <c r="M2" i="43"/>
  <c r="C6" i="43"/>
  <c r="A121" i="9"/>
  <c r="F101" i="9"/>
  <c r="F33" i="9"/>
  <c r="C25" i="57"/>
  <c r="E103" i="43"/>
  <c r="F59" i="43"/>
  <c r="H63" i="43" s="1"/>
  <c r="G15" i="47"/>
  <c r="W40" i="40"/>
  <c r="AB24" i="36"/>
  <c r="H25" i="34"/>
  <c r="U25" i="34" s="1"/>
  <c r="AC36" i="37"/>
  <c r="J17" i="34"/>
  <c r="AC17" i="34"/>
  <c r="G80" i="34"/>
  <c r="F17" i="34"/>
  <c r="AA17" i="34" s="1"/>
  <c r="H27" i="33"/>
  <c r="U27" i="33" s="1"/>
  <c r="AB31" i="21"/>
  <c r="H27" i="36"/>
  <c r="AB27" i="36" s="1"/>
  <c r="F27" i="36"/>
  <c r="J28" i="34"/>
  <c r="AB34" i="21"/>
  <c r="H11" i="34"/>
  <c r="U11" i="34" s="1"/>
  <c r="S17" i="37"/>
  <c r="J11" i="37"/>
  <c r="AC11" i="37" s="1"/>
  <c r="AC12" i="39"/>
  <c r="AC37" i="37"/>
  <c r="F23" i="39"/>
  <c r="S23" i="39" s="1"/>
  <c r="S26" i="37"/>
  <c r="F44" i="34"/>
  <c r="S44" i="34" s="1"/>
  <c r="G126" i="34"/>
  <c r="J44" i="34"/>
  <c r="AC44" i="34" s="1"/>
  <c r="U31" i="37"/>
  <c r="H10" i="37"/>
  <c r="AB10" i="37" s="1"/>
  <c r="AB43" i="33"/>
  <c r="W27" i="36"/>
  <c r="U9" i="34"/>
  <c r="W40" i="34"/>
  <c r="U12" i="36"/>
  <c r="AA44" i="34"/>
  <c r="AB25" i="34"/>
  <c r="I60" i="37"/>
  <c r="J10" i="37"/>
  <c r="H23" i="39"/>
  <c r="AB23" i="39" s="1"/>
  <c r="J11" i="34"/>
  <c r="W17" i="34"/>
  <c r="J25" i="34"/>
  <c r="W25" i="34" s="1"/>
  <c r="U23" i="39"/>
  <c r="G26" i="47"/>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93" i="9"/>
  <c r="D37" i="11"/>
  <c r="C37" i="11" s="1"/>
  <c r="M29" i="15"/>
  <c r="P51" i="15"/>
  <c r="D10" i="11"/>
  <c r="C10" i="11" s="1"/>
  <c r="C2" i="31"/>
  <c r="I23" i="31" s="1"/>
  <c r="P60" i="15"/>
  <c r="D3" i="35"/>
  <c r="D3" i="34"/>
  <c r="D78" i="9"/>
  <c r="D94" i="57"/>
  <c r="D79" i="57"/>
  <c r="A16" i="55"/>
  <c r="B46" i="60" s="1"/>
  <c r="D3" i="33"/>
  <c r="D3" i="37"/>
  <c r="D3" i="36"/>
  <c r="C14" i="12"/>
  <c r="W32" i="40"/>
  <c r="S9" i="40"/>
  <c r="W33" i="40"/>
  <c r="W34" i="40"/>
  <c r="AB39" i="40"/>
  <c r="J37" i="40"/>
  <c r="H35" i="40"/>
  <c r="H37" i="40"/>
  <c r="H28" i="40"/>
  <c r="U28" i="40" s="1"/>
  <c r="F28" i="40"/>
  <c r="AA28" i="40" s="1"/>
  <c r="J28" i="40"/>
  <c r="F98" i="40"/>
  <c r="G98" i="40" s="1"/>
  <c r="H98" i="40" s="1"/>
  <c r="I98" i="40" s="1"/>
  <c r="J98" i="40" s="1"/>
  <c r="K98" i="40" s="1"/>
  <c r="L98" i="40" s="1"/>
  <c r="M98" i="40" s="1"/>
  <c r="F21" i="40"/>
  <c r="AA21" i="40" s="1"/>
  <c r="H21" i="40"/>
  <c r="F90" i="40"/>
  <c r="G90" i="40" s="1"/>
  <c r="J21" i="40"/>
  <c r="W21" i="40" s="1"/>
  <c r="W19" i="40"/>
  <c r="F86" i="40"/>
  <c r="G86" i="40" s="1"/>
  <c r="H17" i="40"/>
  <c r="U17" i="40"/>
  <c r="J17" i="40"/>
  <c r="AC17" i="40" s="1"/>
  <c r="F17" i="40"/>
  <c r="S17" i="40" s="1"/>
  <c r="F15" i="40"/>
  <c r="S15" i="40" s="1"/>
  <c r="J15" i="40"/>
  <c r="AC15" i="40" s="1"/>
  <c r="H15" i="40"/>
  <c r="AB15" i="40" s="1"/>
  <c r="AC25" i="40"/>
  <c r="W25" i="40"/>
  <c r="U19" i="40"/>
  <c r="U8" i="40"/>
  <c r="S36" i="40"/>
  <c r="AA35" i="40"/>
  <c r="AC38" i="39"/>
  <c r="AA37" i="39"/>
  <c r="AB29" i="39"/>
  <c r="W27" i="39"/>
  <c r="AC27" i="39"/>
  <c r="W35" i="39"/>
  <c r="U41" i="39"/>
  <c r="AB15" i="39"/>
  <c r="U19" i="39"/>
  <c r="AB27" i="39"/>
  <c r="U27" i="39"/>
  <c r="AA27" i="39"/>
  <c r="S27" i="39"/>
  <c r="S40" i="39"/>
  <c r="S31" i="39"/>
  <c r="AA12" i="39"/>
  <c r="S11" i="36"/>
  <c r="S12" i="36"/>
  <c r="S26" i="36"/>
  <c r="U27" i="36"/>
  <c r="AA25" i="36"/>
  <c r="S14" i="36"/>
  <c r="S10" i="36"/>
  <c r="W18" i="36"/>
  <c r="AC18" i="36"/>
  <c r="AC32" i="36"/>
  <c r="AC20" i="36"/>
  <c r="W8" i="36"/>
  <c r="U13" i="36"/>
  <c r="AB18" i="36"/>
  <c r="U18" i="36"/>
  <c r="S29" i="36"/>
  <c r="W35" i="35"/>
  <c r="W24" i="35"/>
  <c r="W23" i="35"/>
  <c r="S23" i="35"/>
  <c r="AB16" i="35"/>
  <c r="W14" i="35"/>
  <c r="W34" i="35"/>
  <c r="AC26" i="35"/>
  <c r="W28" i="35"/>
  <c r="AC27" i="35"/>
  <c r="U14" i="35"/>
  <c r="U8" i="35"/>
  <c r="S10" i="35"/>
  <c r="S34" i="37"/>
  <c r="AB28" i="37"/>
  <c r="AC12" i="37"/>
  <c r="AC35" i="37"/>
  <c r="W35" i="37"/>
  <c r="S31" i="37"/>
  <c r="H35" i="37"/>
  <c r="AB35" i="37"/>
  <c r="F35" i="37"/>
  <c r="S35" i="37" s="1"/>
  <c r="L103" i="37"/>
  <c r="M103" i="37" s="1"/>
  <c r="J19" i="37"/>
  <c r="W19" i="37" s="1"/>
  <c r="F19" i="37"/>
  <c r="S19" i="37" s="1"/>
  <c r="H19" i="37"/>
  <c r="W17" i="37"/>
  <c r="AC17" i="37"/>
  <c r="AB17" i="37"/>
  <c r="S15" i="37"/>
  <c r="J15" i="37"/>
  <c r="S10" i="37"/>
  <c r="AC21" i="37"/>
  <c r="W21" i="37"/>
  <c r="AC19" i="37"/>
  <c r="AB11" i="37"/>
  <c r="AA29" i="37"/>
  <c r="S37" i="37"/>
  <c r="W35" i="34"/>
  <c r="AB11" i="34"/>
  <c r="S38" i="34"/>
  <c r="S43" i="34"/>
  <c r="S17" i="34"/>
  <c r="AB17" i="34"/>
  <c r="AA9" i="34"/>
  <c r="W15" i="34"/>
  <c r="W31" i="34"/>
  <c r="U21" i="34"/>
  <c r="AB21" i="34"/>
  <c r="AA41" i="34"/>
  <c r="AA46" i="34"/>
  <c r="U17" i="33"/>
  <c r="U34" i="33"/>
  <c r="U38" i="33"/>
  <c r="W37" i="33"/>
  <c r="AC41" i="33"/>
  <c r="U15" i="33"/>
  <c r="AB9" i="33"/>
  <c r="U9" i="33"/>
  <c r="S10" i="33"/>
  <c r="AC12" i="33"/>
  <c r="W13" i="33"/>
  <c r="AC19" i="33"/>
  <c r="W21" i="33"/>
  <c r="AC21" i="33"/>
  <c r="U13" i="33"/>
  <c r="S9" i="33"/>
  <c r="W42" i="21"/>
  <c r="W39" i="21"/>
  <c r="AA34" i="21"/>
  <c r="AC32" i="21"/>
  <c r="AB39" i="21"/>
  <c r="W40" i="21"/>
  <c r="AC37" i="21"/>
  <c r="AC28" i="21"/>
  <c r="U27" i="21"/>
  <c r="U19" i="21"/>
  <c r="U43" i="21"/>
  <c r="U26" i="21"/>
  <c r="AB44" i="21"/>
  <c r="AB36" i="21"/>
  <c r="AA36" i="21"/>
  <c r="AA43" i="21"/>
  <c r="AB32" i="21"/>
  <c r="AB21" i="21"/>
  <c r="U21" i="21"/>
  <c r="AC19" i="21"/>
  <c r="AB11" i="21"/>
  <c r="U9"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111" i="57"/>
  <c r="D35" i="50"/>
  <c r="D14" i="50"/>
  <c r="B28" i="60" s="1"/>
  <c r="C18" i="9"/>
  <c r="D18" i="9" s="1"/>
  <c r="D22" i="15"/>
  <c r="A14" i="52"/>
  <c r="B61" i="60" s="1"/>
  <c r="C29" i="11"/>
  <c r="D27" i="11" s="1"/>
  <c r="C47" i="11"/>
  <c r="D45" i="11" s="1"/>
  <c r="Y25" i="31"/>
  <c r="V25" i="31"/>
  <c r="A4" i="54"/>
  <c r="B6" i="60" s="1"/>
  <c r="D3" i="21"/>
  <c r="M6" i="43"/>
  <c r="M5" i="43"/>
  <c r="F81" i="43"/>
  <c r="H85" i="43" s="1"/>
  <c r="H13" i="44"/>
  <c r="G59" i="40"/>
  <c r="C59" i="40" s="1"/>
  <c r="H11" i="44"/>
  <c r="A6" i="54"/>
  <c r="B7" i="60" s="1"/>
  <c r="C51" i="10"/>
  <c r="A8" i="54"/>
  <c r="B8" i="60" s="1"/>
  <c r="F2" i="21"/>
  <c r="F2" i="34"/>
  <c r="F2" i="35"/>
  <c r="F2" i="33"/>
  <c r="S29" i="31"/>
  <c r="C109" i="9"/>
  <c r="H106" i="9" s="1"/>
  <c r="C111" i="9"/>
  <c r="H108" i="9" s="1"/>
  <c r="H105" i="9"/>
  <c r="C110" i="9"/>
  <c r="H107" i="9" s="1"/>
  <c r="D3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J20" i="15" s="1"/>
  <c r="D9" i="11"/>
  <c r="D19" i="11"/>
  <c r="C19" i="11"/>
  <c r="C17" i="12"/>
  <c r="C20" i="12"/>
  <c r="C19" i="12"/>
  <c r="C18" i="12" s="1"/>
  <c r="D69" i="57"/>
  <c r="F54" i="57"/>
  <c r="F31" i="12"/>
  <c r="F52" i="9"/>
  <c r="F48" i="9"/>
  <c r="O52" i="9" s="1"/>
  <c r="F30" i="11"/>
  <c r="F28" i="15"/>
  <c r="F49" i="57"/>
  <c r="O53" i="57" s="1"/>
  <c r="F55" i="57"/>
  <c r="F53" i="57"/>
  <c r="F54" i="9"/>
  <c r="D68" i="9"/>
  <c r="F53" i="9"/>
  <c r="G22" i="11"/>
  <c r="G41" i="11"/>
  <c r="H113" i="43"/>
  <c r="X7" i="43"/>
  <c r="E59" i="43"/>
  <c r="B57" i="43" s="1"/>
  <c r="E70" i="43"/>
  <c r="B68" i="43" s="1"/>
  <c r="H22" i="43"/>
  <c r="AI11" i="43"/>
  <c r="AG11" i="43"/>
  <c r="AG13" i="43" s="1"/>
  <c r="AE11" i="43"/>
  <c r="AC11" i="43"/>
  <c r="AA11" i="43"/>
  <c r="Y11" i="43"/>
  <c r="Y13" i="43" s="1"/>
  <c r="AJ11" i="43"/>
  <c r="AJ13" i="43" s="1"/>
  <c r="AH11" i="43"/>
  <c r="AF11" i="43"/>
  <c r="AF13" i="43" s="1"/>
  <c r="AD11" i="43"/>
  <c r="AD13" i="43"/>
  <c r="AB11" i="43"/>
  <c r="AB13" i="43" s="1"/>
  <c r="Z11" i="43"/>
  <c r="Z7" i="43"/>
  <c r="E9" i="43"/>
  <c r="E8" i="43"/>
  <c r="E10" i="43"/>
  <c r="E11" i="43"/>
  <c r="C7" i="39"/>
  <c r="C68" i="39" s="1"/>
  <c r="C70" i="39" s="1"/>
  <c r="C53" i="10"/>
  <c r="D124" i="9"/>
  <c r="D7" i="52" s="1"/>
  <c r="M48" i="57"/>
  <c r="B58" i="60"/>
  <c r="L105" i="43"/>
  <c r="H105" i="43"/>
  <c r="D104" i="43"/>
  <c r="G109" i="43"/>
  <c r="C107" i="43"/>
  <c r="A4" i="52"/>
  <c r="A124" i="57"/>
  <c r="M47" i="9"/>
  <c r="N104" i="46"/>
  <c r="J17" i="43"/>
  <c r="C7" i="21"/>
  <c r="C58" i="21" s="1"/>
  <c r="D58" i="21" s="1"/>
  <c r="E58" i="21" s="1"/>
  <c r="F58" i="21" s="1"/>
  <c r="G58" i="21" s="1"/>
  <c r="H58" i="21" s="1"/>
  <c r="I58" i="21" s="1"/>
  <c r="C7" i="33"/>
  <c r="C5" i="64" s="1"/>
  <c r="C7" i="37"/>
  <c r="C52" i="37" s="1"/>
  <c r="D52" i="37" s="1"/>
  <c r="H77" i="43"/>
  <c r="I104" i="43"/>
  <c r="J109" i="43"/>
  <c r="I115" i="43"/>
  <c r="H104" i="43"/>
  <c r="D105" i="43"/>
  <c r="D102" i="43"/>
  <c r="C105" i="43"/>
  <c r="H70" i="43"/>
  <c r="D115" i="43"/>
  <c r="E115" i="43" s="1"/>
  <c r="F115" i="43" s="1"/>
  <c r="G115" i="43" s="1"/>
  <c r="H115" i="43" s="1"/>
  <c r="B117" i="43"/>
  <c r="C117" i="43" s="1"/>
  <c r="I107" i="43"/>
  <c r="N106" i="43"/>
  <c r="J105" i="43"/>
  <c r="G37" i="47"/>
  <c r="G19" i="43"/>
  <c r="P25" i="43" s="1"/>
  <c r="F36" i="43"/>
  <c r="C17" i="43"/>
  <c r="F35" i="43"/>
  <c r="F37" i="43"/>
  <c r="F39" i="43"/>
  <c r="K17" i="43"/>
  <c r="C7" i="34"/>
  <c r="C59" i="34" s="1"/>
  <c r="D59" i="34" s="1"/>
  <c r="C7" i="36"/>
  <c r="C46" i="36" s="1"/>
  <c r="F38" i="43"/>
  <c r="K86" i="43"/>
  <c r="J86" i="43" s="1"/>
  <c r="D86" i="43"/>
  <c r="M87" i="43"/>
  <c r="N87" i="43" s="1"/>
  <c r="K82" i="43"/>
  <c r="J82" i="43" s="1"/>
  <c r="D82" i="43"/>
  <c r="M83" i="43"/>
  <c r="N83" i="43" s="1"/>
  <c r="H65" i="43"/>
  <c r="I116" i="43"/>
  <c r="J116" i="43" s="1"/>
  <c r="K116" i="43" s="1"/>
  <c r="L116" i="43" s="1"/>
  <c r="M116" i="43" s="1"/>
  <c r="D117" i="43"/>
  <c r="E117" i="43" s="1"/>
  <c r="F117" i="43" s="1"/>
  <c r="G117" i="43" s="1"/>
  <c r="H117" i="43" s="1"/>
  <c r="B118" i="43"/>
  <c r="C118" i="43" s="1"/>
  <c r="B116" i="43"/>
  <c r="C116" i="43" s="1"/>
  <c r="I106" i="43"/>
  <c r="E105" i="43"/>
  <c r="N104" i="43"/>
  <c r="M12" i="43"/>
  <c r="M8" i="43"/>
  <c r="N7" i="43"/>
  <c r="M3" i="43"/>
  <c r="M11" i="43"/>
  <c r="N8" i="43"/>
  <c r="H8" i="44"/>
  <c r="H12" i="44"/>
  <c r="C63" i="39"/>
  <c r="G64" i="39"/>
  <c r="C64" i="39" s="1"/>
  <c r="M85" i="43"/>
  <c r="N85" i="43"/>
  <c r="K85" i="43"/>
  <c r="J85" i="43" s="1"/>
  <c r="D85" i="43"/>
  <c r="M82" i="43"/>
  <c r="N82" i="43" s="1"/>
  <c r="K83" i="43"/>
  <c r="J83" i="43" s="1"/>
  <c r="D83" i="43"/>
  <c r="H81" i="43"/>
  <c r="H62" i="43"/>
  <c r="F105" i="43"/>
  <c r="J107" i="43"/>
  <c r="J102" i="43"/>
  <c r="J104" i="43"/>
  <c r="J106" i="43"/>
  <c r="N103" i="43"/>
  <c r="N105" i="43"/>
  <c r="E107" i="43"/>
  <c r="E102" i="43"/>
  <c r="E104" i="43"/>
  <c r="I109" i="43"/>
  <c r="I103" i="43"/>
  <c r="I105" i="43"/>
  <c r="M102" i="43"/>
  <c r="B115" i="43"/>
  <c r="I117" i="43"/>
  <c r="J117" i="43" s="1"/>
  <c r="K117" i="43" s="1"/>
  <c r="L117" i="43" s="1"/>
  <c r="M117" i="43" s="1"/>
  <c r="D116" i="43"/>
  <c r="E116" i="43" s="1"/>
  <c r="F116" i="43" s="1"/>
  <c r="G116" i="43" s="1"/>
  <c r="H116" i="43" s="1"/>
  <c r="D118" i="43"/>
  <c r="E118" i="43" s="1"/>
  <c r="F118" i="43" s="1"/>
  <c r="G118" i="43"/>
  <c r="H118" i="43" s="1"/>
  <c r="F35" i="15"/>
  <c r="E18" i="1"/>
  <c r="C17" i="15"/>
  <c r="A2" i="9"/>
  <c r="W23" i="40"/>
  <c r="S23" i="40"/>
  <c r="S38" i="40"/>
  <c r="U40" i="40"/>
  <c r="AC13" i="40"/>
  <c r="W42" i="39"/>
  <c r="W34" i="39"/>
  <c r="W32" i="39"/>
  <c r="S43" i="39"/>
  <c r="AA32" i="39"/>
  <c r="S11" i="39"/>
  <c r="AA25" i="39"/>
  <c r="S29" i="39"/>
  <c r="U40" i="39"/>
  <c r="AB43" i="39"/>
  <c r="AC41" i="39"/>
  <c r="U11" i="39"/>
  <c r="S34" i="39"/>
  <c r="S39" i="39"/>
  <c r="AA13" i="36"/>
  <c r="S8" i="36"/>
  <c r="W29" i="35"/>
  <c r="U33" i="35"/>
  <c r="U22" i="35"/>
  <c r="AA33" i="35"/>
  <c r="AA29" i="35"/>
  <c r="S22" i="35"/>
  <c r="U28" i="35"/>
  <c r="AB27" i="35"/>
  <c r="S35" i="35"/>
  <c r="AB26" i="35"/>
  <c r="AC16" i="35"/>
  <c r="AA25" i="35"/>
  <c r="S28" i="35"/>
  <c r="U29" i="37"/>
  <c r="U30" i="37"/>
  <c r="S40" i="37"/>
  <c r="AC29" i="37"/>
  <c r="U26" i="37"/>
  <c r="AC13" i="37"/>
  <c r="U38" i="37"/>
  <c r="AA13" i="37"/>
  <c r="G84" i="34"/>
  <c r="J21" i="34"/>
  <c r="AC21" i="34" s="1"/>
  <c r="AB40" i="34"/>
  <c r="AC23" i="34"/>
  <c r="AB28" i="34"/>
  <c r="AB37" i="34"/>
  <c r="AA45" i="34"/>
  <c r="AB45" i="34"/>
  <c r="AB35" i="34"/>
  <c r="W29" i="34"/>
  <c r="W43" i="34"/>
  <c r="U34" i="34"/>
  <c r="AC25" i="34"/>
  <c r="W44" i="34"/>
  <c r="AB44" i="34"/>
  <c r="AA33" i="34"/>
  <c r="S35" i="34"/>
  <c r="AB47" i="34"/>
  <c r="AC45" i="34"/>
  <c r="AA29" i="34"/>
  <c r="AB13" i="34"/>
  <c r="U10" i="34"/>
  <c r="AB29" i="34"/>
  <c r="U37" i="33"/>
  <c r="U19" i="33"/>
  <c r="AA28" i="33"/>
  <c r="W40" i="33"/>
  <c r="U35" i="33"/>
  <c r="W15" i="33"/>
  <c r="W8" i="33"/>
  <c r="G83" i="21"/>
  <c r="J21" i="21"/>
  <c r="AC31" i="21"/>
  <c r="AA32" i="21"/>
  <c r="W23" i="21"/>
  <c r="AB25" i="21"/>
  <c r="AA25" i="21"/>
  <c r="AA26" i="21"/>
  <c r="W10" i="21"/>
  <c r="S35" i="21"/>
  <c r="C17" i="39"/>
  <c r="C19" i="39"/>
  <c r="C15" i="40"/>
  <c r="C17" i="40"/>
  <c r="B54" i="43"/>
  <c r="B65" i="43"/>
  <c r="U30" i="40"/>
  <c r="B52" i="43"/>
  <c r="B56" i="43"/>
  <c r="B63" i="43"/>
  <c r="B67" i="43"/>
  <c r="U35" i="40"/>
  <c r="AB35" i="40"/>
  <c r="W37" i="40"/>
  <c r="AC37" i="40"/>
  <c r="S28" i="40"/>
  <c r="AC28" i="40"/>
  <c r="W28" i="40"/>
  <c r="AB28" i="40"/>
  <c r="AB21" i="40"/>
  <c r="U21" i="40"/>
  <c r="AB17" i="40"/>
  <c r="AA17" i="40"/>
  <c r="W17" i="40"/>
  <c r="W15" i="40"/>
  <c r="U35" i="37"/>
  <c r="AA35" i="37"/>
  <c r="AA19" i="37"/>
  <c r="M86" i="43"/>
  <c r="N86" i="43" s="1"/>
  <c r="F34" i="11"/>
  <c r="E19" i="1"/>
  <c r="D20" i="1"/>
  <c r="D18" i="1"/>
  <c r="F50" i="11"/>
  <c r="F19" i="1"/>
  <c r="F18" i="1"/>
  <c r="C11" i="12" s="1"/>
  <c r="C15" i="12" s="1"/>
  <c r="D19" i="1"/>
  <c r="K87" i="43"/>
  <c r="J87" i="43" s="1"/>
  <c r="D87" i="43"/>
  <c r="A18" i="55"/>
  <c r="B48" i="60" s="1"/>
  <c r="O19" i="43"/>
  <c r="C115" i="43"/>
  <c r="J22" i="43"/>
  <c r="M84" i="43"/>
  <c r="N84" i="43" s="1"/>
  <c r="K84" i="43"/>
  <c r="J84" i="43" s="1"/>
  <c r="D84" i="43"/>
  <c r="M81" i="43"/>
  <c r="N81" i="43" s="1"/>
  <c r="K81" i="43"/>
  <c r="J81" i="43" s="1"/>
  <c r="D81" i="43"/>
  <c r="M88" i="43"/>
  <c r="N88" i="43" s="1"/>
  <c r="K88" i="43"/>
  <c r="J88" i="43" s="1"/>
  <c r="D88" i="43"/>
  <c r="I113" i="57"/>
  <c r="B40" i="1"/>
  <c r="M27" i="15" s="1"/>
  <c r="C13" i="12"/>
  <c r="C36" i="11"/>
  <c r="D117" i="57"/>
  <c r="D118" i="57"/>
  <c r="I114" i="57" s="1"/>
  <c r="D131" i="57" s="1"/>
  <c r="D133" i="57"/>
  <c r="D130" i="9"/>
  <c r="D13" i="52" s="1"/>
  <c r="D23" i="48"/>
  <c r="M46" i="9"/>
  <c r="H59" i="43"/>
  <c r="H60" i="43"/>
  <c r="H66" i="43"/>
  <c r="H84" i="43"/>
  <c r="H9" i="44"/>
  <c r="H7" i="44"/>
  <c r="H10" i="44"/>
  <c r="N12" i="43"/>
  <c r="N4" i="43"/>
  <c r="M7" i="43"/>
  <c r="N1" i="43"/>
  <c r="M10" i="43"/>
  <c r="H15" i="44"/>
  <c r="H87" i="43"/>
  <c r="H86" i="43"/>
  <c r="H61" i="43"/>
  <c r="H5" i="44"/>
  <c r="N10" i="43"/>
  <c r="N2" i="43"/>
  <c r="N11" i="43"/>
  <c r="N9" i="43"/>
  <c r="M4" i="43"/>
  <c r="N5" i="43"/>
  <c r="N3" i="43"/>
  <c r="M9" i="43"/>
  <c r="E17" i="43"/>
  <c r="N17" i="43"/>
  <c r="L17" i="43"/>
  <c r="G17" i="43" s="1"/>
  <c r="O17" i="43"/>
  <c r="M17" i="43"/>
  <c r="B13" i="59"/>
  <c r="B12" i="59" s="1"/>
  <c r="B11" i="59" s="1"/>
  <c r="B10" i="59" s="1"/>
  <c r="B9" i="59" s="1"/>
  <c r="AB13" i="59"/>
  <c r="AA12" i="59"/>
  <c r="X12" i="59"/>
  <c r="AB12" i="59"/>
  <c r="AA11" i="59"/>
  <c r="Y11" i="59"/>
  <c r="Z11" i="59" s="1"/>
  <c r="Y9" i="59"/>
  <c r="Z9" i="59" s="1"/>
  <c r="AB9" i="59"/>
  <c r="AB7" i="59"/>
  <c r="X9" i="59"/>
  <c r="X7" i="59"/>
  <c r="AA9" i="59"/>
  <c r="AA7" i="59"/>
  <c r="AB8" i="59"/>
  <c r="X8" i="59"/>
  <c r="J30" i="35"/>
  <c r="W30" i="35" s="1"/>
  <c r="H30" i="35"/>
  <c r="AB30" i="35" s="1"/>
  <c r="AA30" i="35"/>
  <c r="M56" i="9"/>
  <c r="N56" i="9"/>
  <c r="N57" i="57"/>
  <c r="J57" i="57"/>
  <c r="J58" i="57" s="1"/>
  <c r="J60" i="57" s="1"/>
  <c r="J62" i="57" s="1"/>
  <c r="M57" i="57"/>
  <c r="J56" i="9"/>
  <c r="J57" i="9" s="1"/>
  <c r="J59" i="9" s="1"/>
  <c r="J61" i="9" s="1"/>
  <c r="K57" i="57"/>
  <c r="F51" i="15"/>
  <c r="C50" i="15"/>
  <c r="F31" i="15"/>
  <c r="F60" i="15"/>
  <c r="M17" i="15"/>
  <c r="F10" i="59"/>
  <c r="F9" i="59" s="1"/>
  <c r="X3" i="59"/>
  <c r="Y3" i="59"/>
  <c r="Z3" i="59" s="1"/>
  <c r="P21" i="43"/>
  <c r="B71" i="39" s="1"/>
  <c r="P24" i="43"/>
  <c r="B66" i="40" s="1"/>
  <c r="P22" i="43"/>
  <c r="H16" i="48"/>
  <c r="D15" i="48"/>
  <c r="H76" i="43"/>
  <c r="H75" i="43"/>
  <c r="H78" i="43"/>
  <c r="H73" i="43"/>
  <c r="D5" i="48"/>
  <c r="H5" i="48"/>
  <c r="C16" i="43"/>
  <c r="D5" i="43" s="1"/>
  <c r="F48" i="43"/>
  <c r="G4" i="47"/>
  <c r="S13" i="59"/>
  <c r="AC30" i="35"/>
  <c r="H51" i="43"/>
  <c r="H55" i="43"/>
  <c r="H53" i="43"/>
  <c r="H52" i="43"/>
  <c r="H54" i="43"/>
  <c r="I115" i="57"/>
  <c r="D132" i="57" s="1"/>
  <c r="D119" i="57"/>
  <c r="I114" i="9"/>
  <c r="D21" i="50" s="1"/>
  <c r="D22" i="50" s="1"/>
  <c r="B35" i="60" s="1"/>
  <c r="I112" i="9"/>
  <c r="D18" i="50" s="1"/>
  <c r="D116" i="9"/>
  <c r="D114" i="9"/>
  <c r="D115" i="9"/>
  <c r="D41" i="50" s="1"/>
  <c r="B63" i="60" s="1"/>
  <c r="M49" i="9"/>
  <c r="L68" i="9" s="1"/>
  <c r="M68" i="9" s="1"/>
  <c r="H15" i="48"/>
  <c r="D16" i="48"/>
  <c r="D6" i="61"/>
  <c r="D20" i="9"/>
  <c r="C19" i="9"/>
  <c r="D19" i="57"/>
  <c r="E2" i="21"/>
  <c r="D5" i="61"/>
  <c r="E2" i="66"/>
  <c r="H23" i="31"/>
  <c r="E2" i="36"/>
  <c r="D20" i="57"/>
  <c r="E2" i="35"/>
  <c r="C19" i="57"/>
  <c r="D4" i="61"/>
  <c r="C20" i="57"/>
  <c r="E2" i="37"/>
  <c r="D3" i="61"/>
  <c r="D19" i="9"/>
  <c r="E2" i="33"/>
  <c r="E2" i="11"/>
  <c r="C20" i="9"/>
  <c r="E2" i="34"/>
  <c r="U30" i="35" l="1"/>
  <c r="AA25" i="34"/>
  <c r="S25" i="34"/>
  <c r="AC14" i="36"/>
  <c r="W14" i="36"/>
  <c r="AB44" i="39"/>
  <c r="U44" i="39"/>
  <c r="W26" i="37"/>
  <c r="AC26" i="37"/>
  <c r="AB35" i="39"/>
  <c r="U35" i="39"/>
  <c r="N107" i="43"/>
  <c r="N102" i="43"/>
  <c r="W25" i="39"/>
  <c r="AC25" i="39"/>
  <c r="F37" i="47"/>
  <c r="B35" i="47" s="1"/>
  <c r="I105" i="9"/>
  <c r="U10" i="36"/>
  <c r="AC14" i="39"/>
  <c r="AA30" i="34"/>
  <c r="U11" i="36"/>
  <c r="U25" i="35"/>
  <c r="W25" i="21"/>
  <c r="D22" i="43"/>
  <c r="S30" i="40"/>
  <c r="AA23" i="37"/>
  <c r="S28" i="37"/>
  <c r="AC45" i="39"/>
  <c r="AC13" i="36"/>
  <c r="W27" i="40"/>
  <c r="U8" i="33"/>
  <c r="H25" i="33"/>
  <c r="U25" i="33" s="1"/>
  <c r="F25" i="33"/>
  <c r="AA25" i="33" s="1"/>
  <c r="U27" i="40"/>
  <c r="C25" i="39"/>
  <c r="W31" i="39"/>
  <c r="W8" i="21"/>
  <c r="F26" i="33"/>
  <c r="W22" i="36"/>
  <c r="J9" i="21"/>
  <c r="W9" i="21" s="1"/>
  <c r="U38" i="21"/>
  <c r="AC43" i="21"/>
  <c r="B88" i="43"/>
  <c r="F9" i="21"/>
  <c r="J27" i="33"/>
  <c r="F32" i="36"/>
  <c r="S32" i="36" s="1"/>
  <c r="F44" i="39"/>
  <c r="C94" i="9"/>
  <c r="C93" i="57"/>
  <c r="AA15" i="59"/>
  <c r="AB21" i="33"/>
  <c r="E68" i="59"/>
  <c r="E67" i="59" s="1"/>
  <c r="U61" i="59"/>
  <c r="AB21" i="59"/>
  <c r="B28" i="59"/>
  <c r="E27" i="59"/>
  <c r="E28" i="59" s="1"/>
  <c r="E29" i="59" s="1"/>
  <c r="U29" i="59" s="1"/>
  <c r="F40" i="59"/>
  <c r="F41" i="59" s="1"/>
  <c r="V41" i="59" s="1"/>
  <c r="C12" i="50"/>
  <c r="AJ10" i="43"/>
  <c r="AB10" i="43"/>
  <c r="L1" i="61"/>
  <c r="M7" i="15"/>
  <c r="Q8" i="64"/>
  <c r="Q20" i="64"/>
  <c r="O10" i="65"/>
  <c r="J32" i="64"/>
  <c r="S27" i="66"/>
  <c r="W41" i="66"/>
  <c r="H39" i="66"/>
  <c r="AB39" i="66" s="1"/>
  <c r="H23" i="66"/>
  <c r="AB23" i="66" s="1"/>
  <c r="J27" i="66"/>
  <c r="J10" i="66"/>
  <c r="AC10" i="66" s="1"/>
  <c r="C21" i="65"/>
  <c r="E19" i="65" s="1"/>
  <c r="W23" i="66"/>
  <c r="F32" i="33"/>
  <c r="AA32" i="33" s="1"/>
  <c r="H32" i="33"/>
  <c r="AB32" i="33" s="1"/>
  <c r="C12" i="12"/>
  <c r="C16" i="12" s="1"/>
  <c r="C21" i="12" s="1"/>
  <c r="C22" i="12" s="1"/>
  <c r="W42" i="66"/>
  <c r="S33" i="33"/>
  <c r="AB26" i="33"/>
  <c r="S25" i="33"/>
  <c r="C95" i="57"/>
  <c r="C92" i="9"/>
  <c r="B33" i="60"/>
  <c r="P23" i="43"/>
  <c r="M50" i="57"/>
  <c r="D130" i="57"/>
  <c r="AA24" i="36"/>
  <c r="S24" i="36"/>
  <c r="S37" i="34"/>
  <c r="AB17" i="21"/>
  <c r="U17" i="21"/>
  <c r="S32" i="37"/>
  <c r="AA32" i="37"/>
  <c r="W25" i="35"/>
  <c r="AC25" i="35"/>
  <c r="S19" i="33"/>
  <c r="AA19" i="33"/>
  <c r="W19" i="34"/>
  <c r="AC19" i="34"/>
  <c r="W34" i="37"/>
  <c r="AC34" i="37"/>
  <c r="AA11" i="40"/>
  <c r="S11" i="40"/>
  <c r="F101" i="33"/>
  <c r="G101" i="33" s="1"/>
  <c r="H101" i="33" s="1"/>
  <c r="I101" i="33" s="1"/>
  <c r="J101" i="33" s="1"/>
  <c r="K101" i="33" s="1"/>
  <c r="L101" i="33" s="1"/>
  <c r="M101" i="33" s="1"/>
  <c r="J32" i="33"/>
  <c r="W32" i="33" s="1"/>
  <c r="W13" i="34"/>
  <c r="AC13" i="34"/>
  <c r="U23" i="35"/>
  <c r="AB23" i="35"/>
  <c r="C65" i="40"/>
  <c r="D63" i="40"/>
  <c r="U19" i="37"/>
  <c r="AB19" i="37"/>
  <c r="F64" i="15"/>
  <c r="C63" i="15" s="1"/>
  <c r="C34" i="15"/>
  <c r="W28" i="34"/>
  <c r="AC28" i="34"/>
  <c r="AA40" i="40"/>
  <c r="S40" i="40"/>
  <c r="W38" i="40"/>
  <c r="AC38" i="40"/>
  <c r="AA27" i="21"/>
  <c r="S27" i="21"/>
  <c r="C113" i="57"/>
  <c r="H108" i="57" s="1"/>
  <c r="H106" i="57"/>
  <c r="C114" i="57"/>
  <c r="H109" i="57" s="1"/>
  <c r="C112" i="57"/>
  <c r="H107" i="57" s="1"/>
  <c r="S11" i="37"/>
  <c r="AA11" i="37"/>
  <c r="AA22" i="36"/>
  <c r="S22" i="36"/>
  <c r="AA13" i="39"/>
  <c r="S13" i="39"/>
  <c r="S31" i="34"/>
  <c r="AA31" i="34"/>
  <c r="AA46" i="21"/>
  <c r="S46" i="21"/>
  <c r="AC11" i="33"/>
  <c r="W11" i="33"/>
  <c r="W10" i="34"/>
  <c r="AC10" i="34"/>
  <c r="AC29" i="36"/>
  <c r="W29" i="36"/>
  <c r="W17" i="39"/>
  <c r="AC17" i="39"/>
  <c r="AA31" i="21"/>
  <c r="S31" i="21"/>
  <c r="S15" i="21"/>
  <c r="AA15" i="21"/>
  <c r="C112" i="9"/>
  <c r="H110" i="9" s="1"/>
  <c r="C114" i="9"/>
  <c r="H112" i="9" s="1"/>
  <c r="C106" i="9"/>
  <c r="H102" i="9" s="1"/>
  <c r="C116" i="9"/>
  <c r="H114" i="9" s="1"/>
  <c r="B103" i="9"/>
  <c r="AC32" i="37"/>
  <c r="W32" i="37"/>
  <c r="W14" i="40"/>
  <c r="AC14" i="40"/>
  <c r="AC25" i="36"/>
  <c r="W25" i="36"/>
  <c r="AA46" i="33"/>
  <c r="S46" i="33"/>
  <c r="S28" i="36"/>
  <c r="AA28" i="36"/>
  <c r="AC33" i="35"/>
  <c r="W33" i="35"/>
  <c r="AC10" i="35"/>
  <c r="W10" i="35"/>
  <c r="AC25" i="33"/>
  <c r="W25" i="33"/>
  <c r="AB36" i="40"/>
  <c r="U36" i="40"/>
  <c r="W33" i="36"/>
  <c r="AC33" i="36"/>
  <c r="W33" i="21"/>
  <c r="AC33" i="21"/>
  <c r="AC27" i="37"/>
  <c r="W27" i="37"/>
  <c r="J33" i="37"/>
  <c r="H99" i="37"/>
  <c r="I99" i="37" s="1"/>
  <c r="J99" i="37" s="1"/>
  <c r="K99" i="37" s="1"/>
  <c r="L99" i="37" s="1"/>
  <c r="M99" i="37" s="1"/>
  <c r="AA34" i="35"/>
  <c r="S34" i="35"/>
  <c r="F102" i="43"/>
  <c r="F104" i="43"/>
  <c r="F107" i="43"/>
  <c r="F106" i="43"/>
  <c r="F103" i="43"/>
  <c r="M103" i="43"/>
  <c r="M104" i="43"/>
  <c r="M106" i="43"/>
  <c r="M107" i="43"/>
  <c r="W33" i="34"/>
  <c r="AC33" i="34"/>
  <c r="U31" i="40"/>
  <c r="AB31" i="40"/>
  <c r="AA13" i="34"/>
  <c r="S13" i="34"/>
  <c r="AB28" i="21"/>
  <c r="U28" i="21"/>
  <c r="AB42" i="39"/>
  <c r="U42" i="39"/>
  <c r="AB36" i="39"/>
  <c r="U36" i="39"/>
  <c r="W27" i="34"/>
  <c r="AC27" i="34"/>
  <c r="T521" i="31"/>
  <c r="S521" i="31"/>
  <c r="T517" i="31"/>
  <c r="S517" i="31"/>
  <c r="T400" i="31"/>
  <c r="S400" i="31"/>
  <c r="T383" i="31"/>
  <c r="S383" i="31"/>
  <c r="T367" i="31"/>
  <c r="S367" i="31"/>
  <c r="T255" i="31"/>
  <c r="S255" i="31"/>
  <c r="T251" i="31"/>
  <c r="S251" i="31"/>
  <c r="T247" i="31"/>
  <c r="S247" i="31"/>
  <c r="T243" i="31"/>
  <c r="S243" i="31"/>
  <c r="T239" i="31"/>
  <c r="S239" i="31"/>
  <c r="T235" i="31"/>
  <c r="S235" i="31"/>
  <c r="T210" i="31"/>
  <c r="S210" i="31"/>
  <c r="T203" i="31"/>
  <c r="S203" i="31"/>
  <c r="T178" i="31"/>
  <c r="S178" i="31"/>
  <c r="T171" i="31"/>
  <c r="S171" i="31"/>
  <c r="T146" i="31"/>
  <c r="S146" i="31"/>
  <c r="T139" i="31"/>
  <c r="S139" i="31"/>
  <c r="T89" i="31"/>
  <c r="S89" i="31"/>
  <c r="AA12" i="66"/>
  <c r="S12" i="66"/>
  <c r="U30" i="66"/>
  <c r="AB30" i="66"/>
  <c r="S31" i="66"/>
  <c r="AA31" i="66"/>
  <c r="U21" i="66"/>
  <c r="AB21" i="66"/>
  <c r="AB10" i="66"/>
  <c r="U10" i="66"/>
  <c r="AA35" i="66"/>
  <c r="S35" i="66"/>
  <c r="AC34" i="66"/>
  <c r="W34" i="66"/>
  <c r="D68" i="39"/>
  <c r="H64" i="43"/>
  <c r="H67" i="43"/>
  <c r="W21" i="34"/>
  <c r="S21" i="40"/>
  <c r="B49" i="43"/>
  <c r="C15" i="39"/>
  <c r="U33" i="33"/>
  <c r="S34" i="34"/>
  <c r="AB27" i="34"/>
  <c r="AA27" i="34"/>
  <c r="U9" i="39"/>
  <c r="AB37" i="39"/>
  <c r="U23" i="40"/>
  <c r="H88" i="43"/>
  <c r="H82" i="43"/>
  <c r="C7" i="43"/>
  <c r="C9" i="11"/>
  <c r="S417" i="31"/>
  <c r="S509" i="31"/>
  <c r="S28" i="21"/>
  <c r="S17" i="21"/>
  <c r="AC26" i="21"/>
  <c r="AA39" i="21"/>
  <c r="W9" i="33"/>
  <c r="AB41" i="34"/>
  <c r="AC39" i="34"/>
  <c r="W11" i="37"/>
  <c r="AB10" i="35"/>
  <c r="W28" i="36"/>
  <c r="AC26" i="36"/>
  <c r="AC16" i="36"/>
  <c r="AC24" i="36"/>
  <c r="AC11" i="39"/>
  <c r="AB13" i="39"/>
  <c r="AC15" i="39"/>
  <c r="S21" i="39"/>
  <c r="AA19" i="40"/>
  <c r="AC27" i="21"/>
  <c r="AC40" i="37"/>
  <c r="AB38" i="40"/>
  <c r="AB15" i="37"/>
  <c r="U9" i="36"/>
  <c r="AA40" i="21"/>
  <c r="H34" i="35"/>
  <c r="U41" i="33"/>
  <c r="U25" i="36"/>
  <c r="J12" i="36"/>
  <c r="AA16" i="36"/>
  <c r="W44" i="21"/>
  <c r="T259" i="31"/>
  <c r="S23" i="21"/>
  <c r="S23" i="34"/>
  <c r="S28" i="34"/>
  <c r="S15" i="39"/>
  <c r="H42" i="33"/>
  <c r="U42" i="33" s="1"/>
  <c r="AC11" i="36"/>
  <c r="H14" i="39"/>
  <c r="H35" i="35"/>
  <c r="F47" i="34"/>
  <c r="H31" i="34"/>
  <c r="J14" i="33"/>
  <c r="F32" i="34"/>
  <c r="U34" i="37"/>
  <c r="H23" i="33"/>
  <c r="U15" i="34"/>
  <c r="AB15" i="34"/>
  <c r="F34" i="36"/>
  <c r="J34" i="36"/>
  <c r="AC34" i="36" s="1"/>
  <c r="AC30" i="40"/>
  <c r="W30" i="40"/>
  <c r="W19" i="39"/>
  <c r="AC19" i="39"/>
  <c r="AB34" i="39"/>
  <c r="U34" i="39"/>
  <c r="S27" i="35"/>
  <c r="U31" i="36"/>
  <c r="S30" i="37"/>
  <c r="AB35" i="21"/>
  <c r="F30" i="21"/>
  <c r="J30" i="21"/>
  <c r="J46" i="21"/>
  <c r="H46" i="21"/>
  <c r="H11" i="33"/>
  <c r="AC30" i="37"/>
  <c r="W30" i="37"/>
  <c r="J39" i="37"/>
  <c r="F39" i="37"/>
  <c r="H39" i="37"/>
  <c r="AA44" i="39"/>
  <c r="S44" i="39"/>
  <c r="J31" i="40"/>
  <c r="F31" i="40"/>
  <c r="AC41" i="21"/>
  <c r="W41" i="21"/>
  <c r="S525" i="31"/>
  <c r="S114" i="31"/>
  <c r="AB40" i="33"/>
  <c r="U40" i="33"/>
  <c r="AA8" i="37"/>
  <c r="H83" i="43"/>
  <c r="U14" i="36"/>
  <c r="AC36" i="34"/>
  <c r="AA32" i="36"/>
  <c r="U26" i="36"/>
  <c r="S10" i="34"/>
  <c r="H27" i="37"/>
  <c r="U24" i="35"/>
  <c r="S8" i="34"/>
  <c r="U12" i="39"/>
  <c r="U23" i="36"/>
  <c r="S19" i="34"/>
  <c r="AB30" i="34"/>
  <c r="AB45" i="39"/>
  <c r="F38" i="37"/>
  <c r="AC14" i="21"/>
  <c r="W14" i="21"/>
  <c r="AA42" i="34"/>
  <c r="F23" i="33"/>
  <c r="AC9" i="21"/>
  <c r="W29" i="39"/>
  <c r="AC29" i="39"/>
  <c r="AC34" i="34"/>
  <c r="W34" i="34"/>
  <c r="AA39" i="34"/>
  <c r="S39" i="34"/>
  <c r="AA8" i="35"/>
  <c r="S8" i="35"/>
  <c r="F27" i="33"/>
  <c r="S27" i="33" s="1"/>
  <c r="W23" i="33"/>
  <c r="S15" i="34"/>
  <c r="AB29" i="35"/>
  <c r="F15" i="47"/>
  <c r="B13" i="47" s="1"/>
  <c r="W38" i="37"/>
  <c r="AA36" i="37"/>
  <c r="S36" i="37"/>
  <c r="F42" i="33"/>
  <c r="AA42" i="33" s="1"/>
  <c r="AB31" i="33"/>
  <c r="U31" i="33"/>
  <c r="H10" i="33"/>
  <c r="F12" i="21"/>
  <c r="H12" i="21"/>
  <c r="E85" i="33"/>
  <c r="F85" i="33" s="1"/>
  <c r="G85" i="33" s="1"/>
  <c r="F29" i="33"/>
  <c r="H29" i="33"/>
  <c r="F14" i="34"/>
  <c r="H14" i="34"/>
  <c r="AB22" i="36"/>
  <c r="U22" i="36"/>
  <c r="U29" i="36"/>
  <c r="H9" i="37"/>
  <c r="J9" i="37"/>
  <c r="H14" i="37"/>
  <c r="J14" i="37"/>
  <c r="AC8" i="39"/>
  <c r="F36" i="39"/>
  <c r="J36" i="39"/>
  <c r="H25" i="37"/>
  <c r="J25" i="37"/>
  <c r="T456" i="31"/>
  <c r="S456" i="31"/>
  <c r="C108" i="43"/>
  <c r="C100" i="43"/>
  <c r="N108" i="43"/>
  <c r="N109" i="43" s="1"/>
  <c r="N100" i="43"/>
  <c r="S57" i="59"/>
  <c r="N57" i="59"/>
  <c r="B56" i="59"/>
  <c r="S65" i="59"/>
  <c r="AH10" i="43"/>
  <c r="AH12" i="43"/>
  <c r="AH13" i="43" s="1"/>
  <c r="X7" i="64"/>
  <c r="Q7" i="64"/>
  <c r="AA8" i="66"/>
  <c r="S8" i="66"/>
  <c r="K108" i="43"/>
  <c r="K100" i="43"/>
  <c r="F108" i="43"/>
  <c r="F109" i="43" s="1"/>
  <c r="F100" i="43"/>
  <c r="AB21" i="37"/>
  <c r="U21" i="37"/>
  <c r="X25" i="31"/>
  <c r="C36" i="57" s="1"/>
  <c r="F124" i="57" s="1"/>
  <c r="H100" i="43"/>
  <c r="D100" i="43"/>
  <c r="D108" i="43"/>
  <c r="L100" i="43"/>
  <c r="L108" i="43"/>
  <c r="I20" i="58"/>
  <c r="C55" i="59"/>
  <c r="O56" i="59"/>
  <c r="F17" i="59"/>
  <c r="AB17" i="59"/>
  <c r="D39" i="59"/>
  <c r="C40" i="59"/>
  <c r="V61" i="59"/>
  <c r="F60" i="59"/>
  <c r="F59" i="59" s="1"/>
  <c r="F25" i="66"/>
  <c r="S25" i="66" s="1"/>
  <c r="H25" i="66"/>
  <c r="E87" i="66"/>
  <c r="F87" i="66" s="1"/>
  <c r="G87" i="66" s="1"/>
  <c r="H87" i="66" s="1"/>
  <c r="I87" i="66" s="1"/>
  <c r="J87" i="66" s="1"/>
  <c r="K87" i="66" s="1"/>
  <c r="L87" i="66" s="1"/>
  <c r="M87" i="66" s="1"/>
  <c r="J25" i="66"/>
  <c r="J28" i="66"/>
  <c r="H28" i="66"/>
  <c r="U28" i="66" s="1"/>
  <c r="F101" i="66"/>
  <c r="G101" i="66" s="1"/>
  <c r="H101" i="66" s="1"/>
  <c r="I101" i="66" s="1"/>
  <c r="J101" i="66" s="1"/>
  <c r="K101" i="66" s="1"/>
  <c r="L101" i="66" s="1"/>
  <c r="M101" i="66" s="1"/>
  <c r="J32" i="66"/>
  <c r="AC32" i="66" s="1"/>
  <c r="H45" i="66"/>
  <c r="AB45" i="66" s="1"/>
  <c r="F45" i="66"/>
  <c r="S45" i="66" s="1"/>
  <c r="J45" i="66"/>
  <c r="AC45" i="66" s="1"/>
  <c r="U25" i="31"/>
  <c r="C35" i="57" s="1"/>
  <c r="D124" i="57" s="1"/>
  <c r="E108" i="43"/>
  <c r="E109" i="43" s="1"/>
  <c r="M108" i="43"/>
  <c r="M109" i="43" s="1"/>
  <c r="C48" i="59"/>
  <c r="D48" i="59" s="1"/>
  <c r="D47" i="59"/>
  <c r="S61" i="59"/>
  <c r="B60" i="59"/>
  <c r="B59" i="59" s="1"/>
  <c r="B68" i="59"/>
  <c r="B67" i="59" s="1"/>
  <c r="S69" i="59"/>
  <c r="V69" i="59"/>
  <c r="F68" i="59"/>
  <c r="F67" i="59" s="1"/>
  <c r="Z10" i="43"/>
  <c r="Z12" i="43"/>
  <c r="Z13" i="43" s="1"/>
  <c r="AB27" i="66"/>
  <c r="U27" i="66"/>
  <c r="AC15" i="66"/>
  <c r="W15" i="66"/>
  <c r="J13" i="66"/>
  <c r="F13" i="66"/>
  <c r="H13" i="66"/>
  <c r="I10" i="58"/>
  <c r="AA21" i="21"/>
  <c r="S21" i="21"/>
  <c r="S21" i="34"/>
  <c r="AA21" i="34"/>
  <c r="AA3" i="59"/>
  <c r="AB38" i="66"/>
  <c r="U38" i="66"/>
  <c r="AB43" i="66"/>
  <c r="U43" i="66"/>
  <c r="C44" i="59"/>
  <c r="D44" i="59" s="1"/>
  <c r="C36" i="59"/>
  <c r="D36" i="59" s="1"/>
  <c r="X20" i="59"/>
  <c r="X21" i="59"/>
  <c r="X27" i="59"/>
  <c r="B32" i="59"/>
  <c r="B33" i="59" s="1"/>
  <c r="S33" i="59" s="1"/>
  <c r="E40" i="59"/>
  <c r="E41" i="59" s="1"/>
  <c r="U41" i="59" s="1"/>
  <c r="C52" i="59"/>
  <c r="U57" i="59"/>
  <c r="C14" i="50"/>
  <c r="AD10" i="43"/>
  <c r="S10" i="66"/>
  <c r="U23" i="66"/>
  <c r="U31" i="66"/>
  <c r="U39" i="66"/>
  <c r="H37" i="66"/>
  <c r="AB37" i="66" s="1"/>
  <c r="I15" i="58"/>
  <c r="S25" i="40"/>
  <c r="AA17" i="59"/>
  <c r="AA19" i="59"/>
  <c r="AA20" i="59"/>
  <c r="AA21" i="59"/>
  <c r="X22" i="59"/>
  <c r="X23" i="59"/>
  <c r="X24" i="59"/>
  <c r="AA27" i="59"/>
  <c r="B36" i="59"/>
  <c r="B37" i="59" s="1"/>
  <c r="S37" i="59" s="1"/>
  <c r="E48" i="59"/>
  <c r="E49" i="59" s="1"/>
  <c r="U49" i="59" s="1"/>
  <c r="C8" i="65"/>
  <c r="C10" i="65" s="1"/>
  <c r="AA9" i="66"/>
  <c r="AA30" i="66"/>
  <c r="AC38" i="66"/>
  <c r="B29" i="59"/>
  <c r="S29" i="59" s="1"/>
  <c r="AB26" i="59"/>
  <c r="AB27" i="59"/>
  <c r="B40" i="59"/>
  <c r="B41" i="59" s="1"/>
  <c r="S41" i="59" s="1"/>
  <c r="J52" i="15"/>
  <c r="H36" i="66"/>
  <c r="U36" i="66" s="1"/>
  <c r="S44" i="66"/>
  <c r="S42" i="66"/>
  <c r="AB42" i="66"/>
  <c r="W37" i="66"/>
  <c r="S37" i="66"/>
  <c r="W35" i="66"/>
  <c r="S43" i="66"/>
  <c r="AB46" i="66"/>
  <c r="S32" i="66"/>
  <c r="AC26" i="66"/>
  <c r="W26" i="66"/>
  <c r="F26" i="66"/>
  <c r="AA26" i="66" s="1"/>
  <c r="U17" i="66"/>
  <c r="B7" i="48"/>
  <c r="D7" i="48" s="1"/>
  <c r="F13" i="48"/>
  <c r="H13" i="48" s="1"/>
  <c r="W10" i="66"/>
  <c r="H11" i="66"/>
  <c r="J11" i="66"/>
  <c r="U44" i="33"/>
  <c r="AA44" i="33"/>
  <c r="W44" i="33"/>
  <c r="B14" i="48"/>
  <c r="D14" i="48" s="1"/>
  <c r="AC45" i="33"/>
  <c r="B11" i="48"/>
  <c r="D11" i="48" s="1"/>
  <c r="B8" i="48"/>
  <c r="D8" i="48" s="1"/>
  <c r="F14" i="48"/>
  <c r="H14" i="48" s="1"/>
  <c r="B13" i="48"/>
  <c r="D13" i="48" s="1"/>
  <c r="W42" i="33"/>
  <c r="AB42" i="33"/>
  <c r="B10" i="48"/>
  <c r="E3" i="4" s="1"/>
  <c r="B5" i="55" s="1"/>
  <c r="B55" i="60" s="1"/>
  <c r="AA35" i="33"/>
  <c r="S32" i="33"/>
  <c r="W26" i="33"/>
  <c r="AC27" i="33"/>
  <c r="W27" i="33"/>
  <c r="AA27" i="33"/>
  <c r="AB27" i="33"/>
  <c r="S17" i="33"/>
  <c r="F21" i="48"/>
  <c r="H21" i="48" s="1"/>
  <c r="F7" i="48"/>
  <c r="H7" i="48" s="1"/>
  <c r="F8" i="48"/>
  <c r="H8" i="48" s="1"/>
  <c r="F10" i="48"/>
  <c r="H10" i="48" s="1"/>
  <c r="F9" i="48"/>
  <c r="H9" i="48" s="1"/>
  <c r="B4" i="48"/>
  <c r="D4" i="48" s="1"/>
  <c r="B9" i="48"/>
  <c r="D9" i="48" s="1"/>
  <c r="F4" i="48"/>
  <c r="H4" i="48" s="1"/>
  <c r="F11" i="48"/>
  <c r="H11" i="48" s="1"/>
  <c r="B22" i="48"/>
  <c r="D22" i="48" s="1"/>
  <c r="F6" i="48"/>
  <c r="H6" i="48" s="1"/>
  <c r="F22" i="48"/>
  <c r="H22" i="48" s="1"/>
  <c r="C23" i="12"/>
  <c r="L60" i="15"/>
  <c r="M60" i="15"/>
  <c r="N60" i="15"/>
  <c r="M105" i="43"/>
  <c r="C6" i="15"/>
  <c r="D3" i="66"/>
  <c r="H33" i="66"/>
  <c r="I113" i="9"/>
  <c r="C5" i="43"/>
  <c r="C58" i="33"/>
  <c r="D58" i="33" s="1"/>
  <c r="E58" i="33" s="1"/>
  <c r="F58" i="33" s="1"/>
  <c r="G58" i="33" s="1"/>
  <c r="H58" i="33" s="1"/>
  <c r="B8" i="59"/>
  <c r="B7" i="59" s="1"/>
  <c r="B6" i="59" s="1"/>
  <c r="B5" i="59" s="1"/>
  <c r="S9" i="59"/>
  <c r="F8" i="59"/>
  <c r="F7" i="59" s="1"/>
  <c r="F6" i="59" s="1"/>
  <c r="F5" i="59" s="1"/>
  <c r="V9" i="59"/>
  <c r="D19" i="50"/>
  <c r="B32" i="60" s="1"/>
  <c r="B31" i="60"/>
  <c r="J58" i="21"/>
  <c r="K58" i="21" s="1"/>
  <c r="L58" i="21" s="1"/>
  <c r="M58" i="21" s="1"/>
  <c r="N58" i="21" s="1"/>
  <c r="O58" i="21" s="1"/>
  <c r="F7" i="21"/>
  <c r="F48" i="35"/>
  <c r="G48" i="35" s="1"/>
  <c r="H48" i="35" s="1"/>
  <c r="I48" i="35" s="1"/>
  <c r="J48" i="35" s="1"/>
  <c r="K48" i="35" s="1"/>
  <c r="L48" i="35" s="1"/>
  <c r="M48" i="35" s="1"/>
  <c r="N48" i="35" s="1"/>
  <c r="O48" i="35" s="1"/>
  <c r="D127" i="9"/>
  <c r="D42" i="50"/>
  <c r="D43" i="50" s="1"/>
  <c r="D39" i="50"/>
  <c r="D40" i="50" s="1"/>
  <c r="H50" i="43"/>
  <c r="H49" i="43"/>
  <c r="AB37" i="40"/>
  <c r="U37" i="40"/>
  <c r="H106" i="43"/>
  <c r="H107" i="43"/>
  <c r="H103" i="43"/>
  <c r="H109" i="43"/>
  <c r="H102" i="43"/>
  <c r="K104" i="43"/>
  <c r="K105" i="43"/>
  <c r="K109" i="43"/>
  <c r="K106" i="43"/>
  <c r="K102" i="43"/>
  <c r="K107" i="43"/>
  <c r="K103" i="43"/>
  <c r="C109" i="57"/>
  <c r="H103" i="57" s="1"/>
  <c r="C115" i="57"/>
  <c r="H111" i="57" s="1"/>
  <c r="B106" i="57"/>
  <c r="C117" i="57"/>
  <c r="H113" i="57" s="1"/>
  <c r="B104" i="57"/>
  <c r="C119" i="57"/>
  <c r="H115" i="57" s="1"/>
  <c r="U23" i="21"/>
  <c r="AB23" i="21"/>
  <c r="AA23" i="33"/>
  <c r="S23" i="33"/>
  <c r="L67" i="9"/>
  <c r="M67" i="9" s="1"/>
  <c r="L66" i="9"/>
  <c r="M66" i="9" s="1"/>
  <c r="L63" i="9"/>
  <c r="M63" i="9" s="1"/>
  <c r="M69" i="9" s="1"/>
  <c r="N69" i="9" s="1"/>
  <c r="L64" i="9"/>
  <c r="M64" i="9" s="1"/>
  <c r="AC21" i="21"/>
  <c r="W21" i="21"/>
  <c r="D129" i="9"/>
  <c r="H48" i="43"/>
  <c r="H56" i="43"/>
  <c r="H7" i="21"/>
  <c r="J7" i="35"/>
  <c r="E59" i="34"/>
  <c r="U16" i="36"/>
  <c r="AB16" i="36"/>
  <c r="AA27" i="37"/>
  <c r="S27" i="37"/>
  <c r="AA24" i="35"/>
  <c r="S24" i="35"/>
  <c r="AC39" i="33"/>
  <c r="W39" i="33"/>
  <c r="S14" i="37"/>
  <c r="AA14" i="37"/>
  <c r="L65" i="9"/>
  <c r="M65" i="9" s="1"/>
  <c r="U30" i="21"/>
  <c r="AB30" i="21"/>
  <c r="C14" i="15"/>
  <c r="C34" i="11"/>
  <c r="J115" i="43"/>
  <c r="K115" i="43" s="1"/>
  <c r="L115" i="43" s="1"/>
  <c r="M115" i="43" s="1"/>
  <c r="E52" i="37"/>
  <c r="AC15" i="37"/>
  <c r="W15" i="37"/>
  <c r="U19" i="34"/>
  <c r="AB19" i="34"/>
  <c r="E81" i="43"/>
  <c r="B79" i="43" s="1"/>
  <c r="D46" i="36"/>
  <c r="W23" i="39"/>
  <c r="AC23" i="39"/>
  <c r="AA20" i="36"/>
  <c r="S20" i="36"/>
  <c r="AB40" i="21"/>
  <c r="U40" i="21"/>
  <c r="U32" i="39"/>
  <c r="AB32" i="39"/>
  <c r="L103" i="43"/>
  <c r="L106" i="43"/>
  <c r="L107" i="43"/>
  <c r="L109" i="43"/>
  <c r="L102" i="43"/>
  <c r="AA26" i="35"/>
  <c r="S26" i="35"/>
  <c r="AA14" i="40"/>
  <c r="S14" i="40"/>
  <c r="W14" i="34"/>
  <c r="AC14" i="34"/>
  <c r="S33" i="36"/>
  <c r="AA33" i="36"/>
  <c r="AA36" i="34"/>
  <c r="S36" i="34"/>
  <c r="AA19" i="21"/>
  <c r="S19" i="21"/>
  <c r="AB10" i="21"/>
  <c r="U10" i="21"/>
  <c r="AA10" i="21"/>
  <c r="S10" i="21"/>
  <c r="J13" i="21"/>
  <c r="H13" i="21"/>
  <c r="F13" i="21"/>
  <c r="J29" i="21"/>
  <c r="F29" i="21"/>
  <c r="H29" i="21"/>
  <c r="F45" i="21"/>
  <c r="J45" i="21"/>
  <c r="H45" i="21"/>
  <c r="E48" i="43"/>
  <c r="B46" i="43" s="1"/>
  <c r="C24" i="43" s="1"/>
  <c r="W11" i="34"/>
  <c r="AC11" i="34"/>
  <c r="AA40" i="34"/>
  <c r="S40" i="34"/>
  <c r="D103" i="43"/>
  <c r="D107" i="43"/>
  <c r="D109" i="43"/>
  <c r="D106" i="43"/>
  <c r="G103" i="43"/>
  <c r="G105" i="43"/>
  <c r="G102" i="43"/>
  <c r="G107" i="43"/>
  <c r="G106" i="43"/>
  <c r="AB36" i="34"/>
  <c r="U36" i="34"/>
  <c r="AA9" i="37"/>
  <c r="S9" i="37"/>
  <c r="S32" i="40"/>
  <c r="AA32" i="40"/>
  <c r="AC41" i="34"/>
  <c r="W41" i="34"/>
  <c r="AC13" i="39"/>
  <c r="W13" i="39"/>
  <c r="AA33" i="40"/>
  <c r="S33" i="40"/>
  <c r="AC28" i="37"/>
  <c r="W28" i="37"/>
  <c r="AB35" i="35"/>
  <c r="U35" i="35"/>
  <c r="S13" i="35"/>
  <c r="AA13" i="35"/>
  <c r="AB46" i="33"/>
  <c r="U46" i="33"/>
  <c r="AB30" i="33"/>
  <c r="U30" i="33"/>
  <c r="AB32" i="36"/>
  <c r="U32" i="36"/>
  <c r="AB46" i="34"/>
  <c r="U46" i="34"/>
  <c r="AA31" i="33"/>
  <c r="S31" i="33"/>
  <c r="S26" i="33"/>
  <c r="AA26" i="33"/>
  <c r="AC36" i="21"/>
  <c r="W36" i="21"/>
  <c r="AA42" i="21"/>
  <c r="S42" i="21"/>
  <c r="AA8" i="33"/>
  <c r="S8" i="33"/>
  <c r="U12" i="33"/>
  <c r="AB12" i="33"/>
  <c r="AC35" i="33"/>
  <c r="W35" i="33"/>
  <c r="L64" i="57"/>
  <c r="M64" i="57" s="1"/>
  <c r="M70" i="57" s="1"/>
  <c r="N70" i="57" s="1"/>
  <c r="AA15" i="40"/>
  <c r="S20" i="35"/>
  <c r="T28" i="31"/>
  <c r="S28" i="31"/>
  <c r="C106" i="43"/>
  <c r="C109" i="43"/>
  <c r="C102" i="43"/>
  <c r="C104" i="43"/>
  <c r="C103" i="43"/>
  <c r="U14" i="40"/>
  <c r="AB14" i="40"/>
  <c r="W35" i="40"/>
  <c r="AC35" i="40"/>
  <c r="U14" i="21"/>
  <c r="AB14" i="21"/>
  <c r="AB38" i="34"/>
  <c r="U38" i="34"/>
  <c r="S27" i="40"/>
  <c r="AA27" i="40"/>
  <c r="AC34" i="33"/>
  <c r="W34" i="33"/>
  <c r="AC10" i="37"/>
  <c r="W10" i="37"/>
  <c r="AA12" i="37"/>
  <c r="S12" i="37"/>
  <c r="AB23" i="34"/>
  <c r="U23" i="34"/>
  <c r="F4" i="47"/>
  <c r="B2" i="47" s="1"/>
  <c r="W46" i="33"/>
  <c r="AC46" i="33"/>
  <c r="S14" i="33"/>
  <c r="AA14" i="33"/>
  <c r="AB32" i="34"/>
  <c r="U32" i="34"/>
  <c r="AC20" i="35"/>
  <c r="W20" i="35"/>
  <c r="U8" i="21"/>
  <c r="AB8" i="21"/>
  <c r="H45" i="33"/>
  <c r="F45" i="33"/>
  <c r="J12" i="35"/>
  <c r="F12" i="35"/>
  <c r="H12" i="35"/>
  <c r="F111" i="33"/>
  <c r="H36" i="33" s="1"/>
  <c r="AC21" i="40"/>
  <c r="U15" i="40"/>
  <c r="U10" i="37"/>
  <c r="AA27" i="36"/>
  <c r="S27" i="36"/>
  <c r="H72" i="43"/>
  <c r="H74" i="43"/>
  <c r="H39" i="33"/>
  <c r="F39" i="33"/>
  <c r="F117" i="33"/>
  <c r="G117" i="33" s="1"/>
  <c r="AC17" i="21"/>
  <c r="W17" i="21"/>
  <c r="F26" i="47"/>
  <c r="B24" i="47" s="1"/>
  <c r="W36" i="40"/>
  <c r="AC36" i="40"/>
  <c r="U14" i="39"/>
  <c r="AB14" i="39"/>
  <c r="U13" i="35"/>
  <c r="AB13" i="35"/>
  <c r="AC30" i="33"/>
  <c r="W30" i="33"/>
  <c r="AB36" i="37"/>
  <c r="U36" i="37"/>
  <c r="AA45" i="39"/>
  <c r="S45" i="39"/>
  <c r="S37" i="21"/>
  <c r="AA37" i="21"/>
  <c r="C21" i="39"/>
  <c r="B71" i="43"/>
  <c r="S38" i="33"/>
  <c r="AA38" i="33"/>
  <c r="AC10" i="33"/>
  <c r="W10" i="33"/>
  <c r="AA14" i="39"/>
  <c r="S14" i="39"/>
  <c r="AA23" i="39"/>
  <c r="AC34" i="21"/>
  <c r="W34" i="21"/>
  <c r="AC9" i="34"/>
  <c r="AC15" i="21"/>
  <c r="W15" i="21"/>
  <c r="AC31" i="33"/>
  <c r="W23" i="37"/>
  <c r="U23" i="37"/>
  <c r="U13" i="37"/>
  <c r="AB13" i="37"/>
  <c r="AC11" i="35"/>
  <c r="W11" i="35"/>
  <c r="AB28" i="33"/>
  <c r="U28" i="33"/>
  <c r="S11" i="33"/>
  <c r="AA11" i="33"/>
  <c r="AB25" i="33"/>
  <c r="AB43" i="34"/>
  <c r="U43" i="34"/>
  <c r="W34" i="36"/>
  <c r="AA17" i="39"/>
  <c r="AB11" i="40"/>
  <c r="AB12" i="21"/>
  <c r="U12" i="21"/>
  <c r="U33" i="21"/>
  <c r="AB33" i="21"/>
  <c r="AC38" i="34"/>
  <c r="W38" i="34"/>
  <c r="F33" i="37"/>
  <c r="H33" i="37"/>
  <c r="J43" i="33"/>
  <c r="F43" i="33"/>
  <c r="E125" i="33"/>
  <c r="F125" i="33" s="1"/>
  <c r="G125" i="33" s="1"/>
  <c r="AA15" i="33"/>
  <c r="AB30" i="36"/>
  <c r="W31" i="35"/>
  <c r="J36" i="35"/>
  <c r="H36" i="35"/>
  <c r="AB12" i="37"/>
  <c r="F36" i="35"/>
  <c r="S25" i="37"/>
  <c r="F12" i="40"/>
  <c r="J17" i="33"/>
  <c r="W8" i="35"/>
  <c r="T499" i="31"/>
  <c r="S499" i="31"/>
  <c r="T32" i="31"/>
  <c r="S32" i="31"/>
  <c r="F12" i="34"/>
  <c r="H12" i="34"/>
  <c r="J9" i="35"/>
  <c r="F9" i="35"/>
  <c r="H9" i="35"/>
  <c r="J23" i="36"/>
  <c r="F23" i="36"/>
  <c r="V57" i="59"/>
  <c r="F56" i="59"/>
  <c r="Q57" i="59"/>
  <c r="X30" i="64"/>
  <c r="Q30" i="64"/>
  <c r="X18" i="64"/>
  <c r="Q18" i="64"/>
  <c r="X10" i="64"/>
  <c r="Q10" i="64"/>
  <c r="W18" i="64"/>
  <c r="O18" i="64"/>
  <c r="N42" i="64"/>
  <c r="R42" i="64"/>
  <c r="F16" i="59"/>
  <c r="F15" i="59" s="1"/>
  <c r="V17" i="59"/>
  <c r="J39" i="40"/>
  <c r="F39" i="40"/>
  <c r="S524" i="31"/>
  <c r="S520" i="31"/>
  <c r="S228" i="31"/>
  <c r="S322" i="31"/>
  <c r="T414" i="31"/>
  <c r="S414" i="31"/>
  <c r="T350" i="31"/>
  <c r="S350" i="31"/>
  <c r="T320" i="31"/>
  <c r="S320" i="31"/>
  <c r="T220" i="31"/>
  <c r="S220" i="31"/>
  <c r="T204" i="31"/>
  <c r="S204" i="31"/>
  <c r="T188" i="31"/>
  <c r="S188" i="31"/>
  <c r="T172" i="31"/>
  <c r="S172" i="31"/>
  <c r="T156" i="31"/>
  <c r="S156" i="31"/>
  <c r="T140" i="31"/>
  <c r="S140" i="31"/>
  <c r="T108" i="31"/>
  <c r="S108" i="31"/>
  <c r="I21" i="58"/>
  <c r="D1" i="58" s="1"/>
  <c r="E10" i="58" s="1"/>
  <c r="B75" i="43"/>
  <c r="C29" i="39"/>
  <c r="B55" i="43"/>
  <c r="B66" i="43"/>
  <c r="T512" i="31"/>
  <c r="S512" i="31"/>
  <c r="T382" i="31"/>
  <c r="S382" i="31"/>
  <c r="T288" i="31"/>
  <c r="S288" i="31"/>
  <c r="T212" i="31"/>
  <c r="S212" i="31"/>
  <c r="T196" i="31"/>
  <c r="S196" i="31"/>
  <c r="T180" i="31"/>
  <c r="S180" i="31"/>
  <c r="T164" i="31"/>
  <c r="S164" i="31"/>
  <c r="T148" i="31"/>
  <c r="S148" i="31"/>
  <c r="T132" i="31"/>
  <c r="S132" i="31"/>
  <c r="D19" i="59"/>
  <c r="C20" i="59"/>
  <c r="AB18" i="35"/>
  <c r="U18" i="35"/>
  <c r="C41" i="59"/>
  <c r="D40" i="59"/>
  <c r="S17" i="59"/>
  <c r="B16" i="59"/>
  <c r="B15" i="59" s="1"/>
  <c r="X19" i="59"/>
  <c r="B20" i="59"/>
  <c r="B21" i="59" s="1"/>
  <c r="S21" i="59" s="1"/>
  <c r="X16" i="59"/>
  <c r="D52" i="59"/>
  <c r="C53" i="59"/>
  <c r="E64" i="59"/>
  <c r="E63" i="59" s="1"/>
  <c r="U65" i="59"/>
  <c r="E13" i="59"/>
  <c r="AA13" i="59"/>
  <c r="AB22" i="59"/>
  <c r="AB20" i="59"/>
  <c r="AB16" i="59"/>
  <c r="AB18" i="59"/>
  <c r="AB3" i="59"/>
  <c r="AB19" i="59"/>
  <c r="F23" i="59"/>
  <c r="F24" i="59" s="1"/>
  <c r="F25" i="59" s="1"/>
  <c r="V25" i="59" s="1"/>
  <c r="AB14" i="59"/>
  <c r="Y26" i="59"/>
  <c r="Z26" i="59" s="1"/>
  <c r="Y24" i="59"/>
  <c r="Z24" i="59" s="1"/>
  <c r="Y14" i="59"/>
  <c r="Z14" i="59" s="1"/>
  <c r="Y16" i="59"/>
  <c r="Z16" i="59" s="1"/>
  <c r="C27" i="59"/>
  <c r="AA12" i="43"/>
  <c r="AA13" i="43" s="1"/>
  <c r="AA10" i="43"/>
  <c r="AI12" i="43"/>
  <c r="AI13" i="43" s="1"/>
  <c r="AI10" i="43"/>
  <c r="C30" i="58"/>
  <c r="C32" i="58"/>
  <c r="S21" i="37"/>
  <c r="Y17" i="59"/>
  <c r="Z17" i="59" s="1"/>
  <c r="Y22" i="59"/>
  <c r="Z22" i="59" s="1"/>
  <c r="Y23" i="59"/>
  <c r="Z23" i="59" s="1"/>
  <c r="Y25" i="59"/>
  <c r="Z25" i="59" s="1"/>
  <c r="C32" i="59"/>
  <c r="D31" i="59"/>
  <c r="C68" i="59"/>
  <c r="T69" i="59"/>
  <c r="X13" i="59"/>
  <c r="E36" i="59"/>
  <c r="E37" i="59" s="1"/>
  <c r="U37" i="59" s="1"/>
  <c r="AE10" i="43"/>
  <c r="AE12" i="43"/>
  <c r="AE13" i="43" s="1"/>
  <c r="P72" i="15"/>
  <c r="P59" i="15"/>
  <c r="X14" i="59"/>
  <c r="X5" i="59"/>
  <c r="X6" i="59"/>
  <c r="J6" i="15"/>
  <c r="D55" i="59"/>
  <c r="C45" i="59"/>
  <c r="D56" i="59"/>
  <c r="E17" i="59"/>
  <c r="C76" i="59"/>
  <c r="X17" i="59"/>
  <c r="C17" i="59"/>
  <c r="Y15" i="59"/>
  <c r="Z15" i="59" s="1"/>
  <c r="E24" i="59"/>
  <c r="E25" i="59" s="1"/>
  <c r="U25" i="59" s="1"/>
  <c r="F48" i="59"/>
  <c r="F49" i="59" s="1"/>
  <c r="V49" i="59" s="1"/>
  <c r="E55" i="59"/>
  <c r="AC12" i="43"/>
  <c r="AC13" i="43" s="1"/>
  <c r="AC10" i="43"/>
  <c r="AA22" i="59"/>
  <c r="AB12" i="66"/>
  <c r="U12" i="66"/>
  <c r="B86" i="43"/>
  <c r="X15" i="59"/>
  <c r="Y18" i="59"/>
  <c r="Z18" i="59" s="1"/>
  <c r="Y19" i="59"/>
  <c r="Z19" i="59" s="1"/>
  <c r="Y20" i="59"/>
  <c r="Z20" i="59" s="1"/>
  <c r="Y21" i="59"/>
  <c r="Z21" i="59" s="1"/>
  <c r="D73" i="59"/>
  <c r="AB15" i="59"/>
  <c r="Y13" i="59"/>
  <c r="Z13" i="59" s="1"/>
  <c r="AB10" i="59"/>
  <c r="AB11" i="59"/>
  <c r="AB5" i="59"/>
  <c r="AB6" i="59"/>
  <c r="Y5" i="59"/>
  <c r="Z5" i="59" s="1"/>
  <c r="F27" i="59"/>
  <c r="F28" i="59" s="1"/>
  <c r="F29" i="59" s="1"/>
  <c r="V29" i="59" s="1"/>
  <c r="X26" i="59"/>
  <c r="X18" i="59"/>
  <c r="X11" i="59"/>
  <c r="X10" i="59"/>
  <c r="AA10" i="59"/>
  <c r="H22" i="65"/>
  <c r="F32" i="15"/>
  <c r="F61" i="15" s="1"/>
  <c r="M18" i="15"/>
  <c r="C7" i="66"/>
  <c r="C58" i="66" s="1"/>
  <c r="B13" i="1"/>
  <c r="Y7" i="59"/>
  <c r="Z7" i="59" s="1"/>
  <c r="Y6" i="59"/>
  <c r="Z6" i="59" s="1"/>
  <c r="Y32" i="64"/>
  <c r="S32" i="64"/>
  <c r="Y20" i="64"/>
  <c r="S20" i="64"/>
  <c r="S9" i="64"/>
  <c r="Y9" i="64"/>
  <c r="W35" i="64"/>
  <c r="O35" i="64"/>
  <c r="AA14" i="66"/>
  <c r="S14" i="66"/>
  <c r="AA17" i="66"/>
  <c r="S17" i="66"/>
  <c r="AA19" i="66"/>
  <c r="S19" i="66"/>
  <c r="T13" i="59"/>
  <c r="Y10" i="59"/>
  <c r="Z10" i="59" s="1"/>
  <c r="F30" i="1"/>
  <c r="AA8" i="59"/>
  <c r="AA5" i="59"/>
  <c r="AA6" i="59"/>
  <c r="Y34" i="64"/>
  <c r="S34" i="64"/>
  <c r="W33" i="64"/>
  <c r="O33" i="64"/>
  <c r="H33" i="64"/>
  <c r="AA21" i="66"/>
  <c r="S21" i="66"/>
  <c r="AA14" i="59"/>
  <c r="C64" i="59"/>
  <c r="AA18" i="59"/>
  <c r="C23" i="59"/>
  <c r="C12" i="59"/>
  <c r="Y12" i="59"/>
  <c r="Z12" i="59" s="1"/>
  <c r="Y8" i="59"/>
  <c r="Z8" i="59" s="1"/>
  <c r="S30" i="64"/>
  <c r="Y33" i="64"/>
  <c r="S33" i="64"/>
  <c r="Y10" i="64"/>
  <c r="R37" i="64" s="1"/>
  <c r="S10" i="64"/>
  <c r="P42" i="64"/>
  <c r="W16" i="64"/>
  <c r="O16" i="64"/>
  <c r="W9" i="64"/>
  <c r="O9" i="64"/>
  <c r="AA15" i="66"/>
  <c r="S15" i="66"/>
  <c r="AA23" i="66"/>
  <c r="S23" i="66"/>
  <c r="AB14" i="66"/>
  <c r="U26" i="66"/>
  <c r="AB28" i="66"/>
  <c r="AC33" i="66"/>
  <c r="W33" i="66"/>
  <c r="U37" i="66"/>
  <c r="U40" i="66"/>
  <c r="AA41" i="66"/>
  <c r="C23" i="43"/>
  <c r="C21" i="43" s="1"/>
  <c r="S28" i="66"/>
  <c r="W40" i="66"/>
  <c r="W46" i="66"/>
  <c r="AA39" i="66"/>
  <c r="S39" i="66"/>
  <c r="F117" i="66"/>
  <c r="G117" i="66" s="1"/>
  <c r="J39" i="66"/>
  <c r="W29" i="66"/>
  <c r="F29" i="66"/>
  <c r="W30" i="66"/>
  <c r="U32" i="66"/>
  <c r="U35" i="66"/>
  <c r="F36" i="66"/>
  <c r="J36" i="66"/>
  <c r="S38" i="66"/>
  <c r="U44" i="66"/>
  <c r="AA45" i="66"/>
  <c r="H29" i="66"/>
  <c r="F33" i="66"/>
  <c r="W43" i="66"/>
  <c r="N37" i="64"/>
  <c r="D6" i="48"/>
  <c r="G20" i="9"/>
  <c r="C32" i="9" s="1"/>
  <c r="C102" i="9"/>
  <c r="C101" i="9"/>
  <c r="G19" i="9"/>
  <c r="D22" i="9"/>
  <c r="D102" i="9"/>
  <c r="G20" i="57"/>
  <c r="C103" i="57"/>
  <c r="D103" i="57"/>
  <c r="D101" i="9"/>
  <c r="C102" i="57"/>
  <c r="G19" i="57"/>
  <c r="D22" i="57"/>
  <c r="D102" i="57"/>
  <c r="E20" i="43"/>
  <c r="B4" i="55"/>
  <c r="B53" i="60" s="1"/>
  <c r="D7" i="61"/>
  <c r="G1" i="61"/>
  <c r="U45" i="66" l="1"/>
  <c r="W45" i="66"/>
  <c r="E26" i="58"/>
  <c r="AA9" i="21"/>
  <c r="S9" i="21"/>
  <c r="C49" i="59"/>
  <c r="AC27" i="66"/>
  <c r="W27" i="66"/>
  <c r="D31" i="50"/>
  <c r="D32" i="50" s="1"/>
  <c r="D10" i="50"/>
  <c r="D123" i="9"/>
  <c r="U32" i="33"/>
  <c r="AB36" i="66"/>
  <c r="C9" i="65"/>
  <c r="W32" i="66"/>
  <c r="AA25" i="66"/>
  <c r="S42" i="33"/>
  <c r="AC32" i="33"/>
  <c r="C12" i="65"/>
  <c r="D10" i="48"/>
  <c r="I58" i="33"/>
  <c r="J58" i="33" s="1"/>
  <c r="K58" i="33" s="1"/>
  <c r="L58" i="33" s="1"/>
  <c r="M58" i="33" s="1"/>
  <c r="N58" i="33" s="1"/>
  <c r="O58" i="33" s="1"/>
  <c r="F7" i="33"/>
  <c r="S7" i="33" s="1"/>
  <c r="J7" i="33"/>
  <c r="AC7" i="33" s="1"/>
  <c r="H7" i="33"/>
  <c r="U7" i="33" s="1"/>
  <c r="S13" i="66"/>
  <c r="AA13" i="66"/>
  <c r="AB25" i="66"/>
  <c r="U25" i="66"/>
  <c r="F125" i="57"/>
  <c r="G124" i="57"/>
  <c r="U25" i="37"/>
  <c r="AB25" i="37"/>
  <c r="AC14" i="37"/>
  <c r="W14" i="37"/>
  <c r="S14" i="34"/>
  <c r="AA14" i="34"/>
  <c r="S38" i="37"/>
  <c r="AA38" i="37"/>
  <c r="U27" i="37"/>
  <c r="AB27" i="37"/>
  <c r="AC31" i="40"/>
  <c r="W31" i="40"/>
  <c r="AA39" i="37"/>
  <c r="S39" i="37"/>
  <c r="U11" i="33"/>
  <c r="AB11" i="33"/>
  <c r="S30" i="21"/>
  <c r="AA30" i="21"/>
  <c r="S34" i="36"/>
  <c r="AA34" i="36"/>
  <c r="AA47" i="34"/>
  <c r="S47" i="34"/>
  <c r="AC12" i="36"/>
  <c r="W12" i="36"/>
  <c r="W13" i="66"/>
  <c r="AC13" i="66"/>
  <c r="AC28" i="66"/>
  <c r="W28" i="66"/>
  <c r="O55" i="59"/>
  <c r="O54" i="59"/>
  <c r="AC36" i="39"/>
  <c r="W36" i="39"/>
  <c r="AB14" i="37"/>
  <c r="U14" i="37"/>
  <c r="U29" i="33"/>
  <c r="AB29" i="33"/>
  <c r="S12" i="21"/>
  <c r="AA12" i="21"/>
  <c r="AC39" i="37"/>
  <c r="W39" i="37"/>
  <c r="AB46" i="21"/>
  <c r="U46" i="21"/>
  <c r="S32" i="34"/>
  <c r="AA32" i="34"/>
  <c r="AC33" i="37"/>
  <c r="W33" i="37"/>
  <c r="D65" i="40"/>
  <c r="E63" i="40"/>
  <c r="E124" i="57"/>
  <c r="D125" i="57"/>
  <c r="AC25" i="66"/>
  <c r="W25" i="66"/>
  <c r="B55" i="59"/>
  <c r="N56" i="59"/>
  <c r="AA36" i="39"/>
  <c r="S36" i="39"/>
  <c r="W9" i="37"/>
  <c r="AC9" i="37"/>
  <c r="S29" i="33"/>
  <c r="AA29" i="33"/>
  <c r="AB10" i="33"/>
  <c r="U10" i="33"/>
  <c r="W46" i="21"/>
  <c r="AC46" i="21"/>
  <c r="AC14" i="33"/>
  <c r="W14" i="33"/>
  <c r="AB13" i="66"/>
  <c r="U13" i="66"/>
  <c r="AC25" i="37"/>
  <c r="W25" i="37"/>
  <c r="AB9" i="37"/>
  <c r="U9" i="37"/>
  <c r="U14" i="34"/>
  <c r="AB14" i="34"/>
  <c r="AA31" i="40"/>
  <c r="S31" i="40"/>
  <c r="U39" i="37"/>
  <c r="AB39" i="37"/>
  <c r="W30" i="21"/>
  <c r="AC30" i="21"/>
  <c r="AB23" i="33"/>
  <c r="U23" i="33"/>
  <c r="AB31" i="34"/>
  <c r="U31" i="34"/>
  <c r="U34" i="35"/>
  <c r="AB34" i="35"/>
  <c r="E68" i="39"/>
  <c r="D70" i="39"/>
  <c r="L69" i="57"/>
  <c r="M69" i="57" s="1"/>
  <c r="L65" i="57"/>
  <c r="M65" i="57" s="1"/>
  <c r="L68" i="57"/>
  <c r="M68" i="57" s="1"/>
  <c r="L67" i="57"/>
  <c r="M67" i="57" s="1"/>
  <c r="L66" i="57"/>
  <c r="M66" i="57" s="1"/>
  <c r="C32" i="15"/>
  <c r="S26" i="66"/>
  <c r="B18" i="49"/>
  <c r="B4" i="60" s="1"/>
  <c r="AB11" i="66"/>
  <c r="U11" i="66"/>
  <c r="AC11" i="66"/>
  <c r="W11" i="66"/>
  <c r="C30" i="12"/>
  <c r="C28" i="12" s="1"/>
  <c r="Q72" i="15"/>
  <c r="Q59" i="15"/>
  <c r="S6" i="43"/>
  <c r="S5" i="43"/>
  <c r="S4" i="43"/>
  <c r="S2" i="43"/>
  <c r="S7" i="43"/>
  <c r="S3" i="43"/>
  <c r="D128" i="9"/>
  <c r="D11" i="52" s="1"/>
  <c r="D20" i="50"/>
  <c r="AB33" i="66"/>
  <c r="U33" i="66"/>
  <c r="H7" i="35"/>
  <c r="F7" i="35"/>
  <c r="S7" i="35" s="1"/>
  <c r="U36" i="33"/>
  <c r="AB36" i="33"/>
  <c r="AA33" i="66"/>
  <c r="S33" i="66"/>
  <c r="AC9" i="35"/>
  <c r="W9" i="35"/>
  <c r="AA36" i="66"/>
  <c r="S36" i="66"/>
  <c r="C24" i="59"/>
  <c r="D23" i="59"/>
  <c r="D58" i="66"/>
  <c r="E58" i="66" s="1"/>
  <c r="F58" i="66" s="1"/>
  <c r="G58" i="66" s="1"/>
  <c r="H58" i="66" s="1"/>
  <c r="I58" i="66" s="1"/>
  <c r="J58" i="66" s="1"/>
  <c r="K58" i="66" s="1"/>
  <c r="L58" i="66" s="1"/>
  <c r="M58" i="66" s="1"/>
  <c r="N58" i="66" s="1"/>
  <c r="O58" i="66" s="1"/>
  <c r="H25" i="65"/>
  <c r="C22" i="65"/>
  <c r="P54" i="59"/>
  <c r="P55" i="59"/>
  <c r="T17" i="59"/>
  <c r="C16" i="59"/>
  <c r="D17" i="59"/>
  <c r="D32" i="59"/>
  <c r="C33" i="59"/>
  <c r="F55" i="59"/>
  <c r="Q56" i="59"/>
  <c r="AB9" i="35"/>
  <c r="U9" i="35"/>
  <c r="AA12" i="34"/>
  <c r="S12" i="34"/>
  <c r="AC36" i="35"/>
  <c r="W36" i="35"/>
  <c r="AA33" i="37"/>
  <c r="S33" i="37"/>
  <c r="AA39" i="33"/>
  <c r="S39" i="33"/>
  <c r="S12" i="35"/>
  <c r="AA12" i="35"/>
  <c r="AC45" i="21"/>
  <c r="W45" i="21"/>
  <c r="AC29" i="21"/>
  <c r="W29" i="21"/>
  <c r="F52" i="37"/>
  <c r="C15" i="15"/>
  <c r="C18" i="15"/>
  <c r="C16" i="15"/>
  <c r="F59" i="34"/>
  <c r="J7" i="21"/>
  <c r="AC39" i="66"/>
  <c r="W39" i="66"/>
  <c r="D45" i="59"/>
  <c r="T45" i="59"/>
  <c r="C28" i="59"/>
  <c r="D27" i="59"/>
  <c r="C19" i="43"/>
  <c r="AA39" i="40"/>
  <c r="S39" i="40"/>
  <c r="AA9" i="35"/>
  <c r="S9" i="35"/>
  <c r="S36" i="35"/>
  <c r="AA36" i="35"/>
  <c r="S43" i="33"/>
  <c r="AA43" i="33"/>
  <c r="AB39" i="33"/>
  <c r="U39" i="33"/>
  <c r="W12" i="35"/>
  <c r="AC12" i="35"/>
  <c r="S45" i="21"/>
  <c r="AA45" i="21"/>
  <c r="S13" i="21"/>
  <c r="AA13" i="21"/>
  <c r="D113" i="43"/>
  <c r="W7" i="35"/>
  <c r="AC7" i="35"/>
  <c r="V38" i="35" s="1"/>
  <c r="I38" i="35" s="1"/>
  <c r="H14" i="62"/>
  <c r="B7" i="62" s="1"/>
  <c r="D10" i="52"/>
  <c r="AB29" i="66"/>
  <c r="U29" i="66"/>
  <c r="D64" i="59"/>
  <c r="C63" i="59"/>
  <c r="D63" i="59" s="1"/>
  <c r="X33" i="64"/>
  <c r="P37" i="64" s="1"/>
  <c r="P41" i="64" s="1"/>
  <c r="Q33" i="64"/>
  <c r="D76" i="59"/>
  <c r="C75" i="59"/>
  <c r="D75" i="59" s="1"/>
  <c r="D68" i="59"/>
  <c r="C67" i="59"/>
  <c r="D67" i="59" s="1"/>
  <c r="D41" i="59"/>
  <c r="T41" i="59"/>
  <c r="AC39" i="40"/>
  <c r="W39" i="40"/>
  <c r="AA23" i="36"/>
  <c r="S23" i="36"/>
  <c r="W43" i="33"/>
  <c r="AC43" i="33"/>
  <c r="G111" i="33"/>
  <c r="H111" i="33" s="1"/>
  <c r="I111" i="33" s="1"/>
  <c r="J111" i="33" s="1"/>
  <c r="K111" i="33" s="1"/>
  <c r="L111" i="33" s="1"/>
  <c r="M111" i="33" s="1"/>
  <c r="F36" i="33"/>
  <c r="J36" i="33"/>
  <c r="S45" i="33"/>
  <c r="AA45" i="33"/>
  <c r="S25" i="31"/>
  <c r="AB29" i="21"/>
  <c r="U29" i="21"/>
  <c r="U13" i="21"/>
  <c r="AB13" i="21"/>
  <c r="U7" i="21"/>
  <c r="AB7" i="21"/>
  <c r="T48" i="21" s="1"/>
  <c r="G48" i="21" s="1"/>
  <c r="U7" i="35"/>
  <c r="AB7" i="35"/>
  <c r="T38" i="35" s="1"/>
  <c r="G38" i="35" s="1"/>
  <c r="AC36" i="66"/>
  <c r="W36" i="66"/>
  <c r="C48" i="11"/>
  <c r="C78" i="57"/>
  <c r="C75" i="57" s="1"/>
  <c r="C31" i="12"/>
  <c r="C30" i="11"/>
  <c r="C77" i="9"/>
  <c r="C74" i="9" s="1"/>
  <c r="C24" i="12"/>
  <c r="C29" i="12" s="1"/>
  <c r="D28" i="12" s="1"/>
  <c r="C28" i="15"/>
  <c r="T53" i="59"/>
  <c r="D53" i="59"/>
  <c r="AC17" i="33"/>
  <c r="W17" i="33"/>
  <c r="AA29" i="66"/>
  <c r="S29" i="66"/>
  <c r="D12" i="59"/>
  <c r="C11" i="59"/>
  <c r="I5" i="65"/>
  <c r="L49" i="15"/>
  <c r="B14" i="1"/>
  <c r="I20" i="43"/>
  <c r="U17" i="59"/>
  <c r="E16" i="59"/>
  <c r="E15" i="59" s="1"/>
  <c r="J18" i="15"/>
  <c r="E12" i="59"/>
  <c r="E11" i="59" s="1"/>
  <c r="E10" i="59" s="1"/>
  <c r="E9" i="59" s="1"/>
  <c r="U13" i="59"/>
  <c r="D20" i="59"/>
  <c r="C21" i="59"/>
  <c r="W23" i="36"/>
  <c r="AC23" i="36"/>
  <c r="AB12" i="34"/>
  <c r="U12" i="34"/>
  <c r="AA12" i="40"/>
  <c r="S12" i="40"/>
  <c r="AB36" i="35"/>
  <c r="U36" i="35"/>
  <c r="U33" i="37"/>
  <c r="AB33" i="37"/>
  <c r="U12" i="35"/>
  <c r="AB12" i="35"/>
  <c r="AB45" i="33"/>
  <c r="U45" i="33"/>
  <c r="T25" i="31"/>
  <c r="AB45" i="21"/>
  <c r="U45" i="21"/>
  <c r="AA29" i="21"/>
  <c r="S29" i="21"/>
  <c r="W13" i="21"/>
  <c r="AC13" i="21"/>
  <c r="E46" i="36"/>
  <c r="F46" i="36" s="1"/>
  <c r="G46" i="36" s="1"/>
  <c r="H46" i="36" s="1"/>
  <c r="I46" i="36" s="1"/>
  <c r="J46" i="36" s="1"/>
  <c r="K46" i="36" s="1"/>
  <c r="L46" i="36" s="1"/>
  <c r="M46" i="36" s="1"/>
  <c r="N46" i="36" s="1"/>
  <c r="O46" i="36" s="1"/>
  <c r="H7" i="36"/>
  <c r="C35" i="11"/>
  <c r="C38" i="11"/>
  <c r="D12" i="52"/>
  <c r="I14" i="62"/>
  <c r="B8" i="62" s="1"/>
  <c r="AA7" i="21"/>
  <c r="R48" i="21" s="1"/>
  <c r="S7" i="21"/>
  <c r="N38" i="64"/>
  <c r="N39" i="64" s="1"/>
  <c r="N41" i="64"/>
  <c r="N40" i="64"/>
  <c r="R41" i="64"/>
  <c r="R40" i="64"/>
  <c r="P40" i="64"/>
  <c r="E27" i="1"/>
  <c r="F22" i="11" s="1"/>
  <c r="M28" i="43"/>
  <c r="G20" i="43" s="1"/>
  <c r="P28" i="43"/>
  <c r="N28" i="43"/>
  <c r="O28" i="43"/>
  <c r="I121" i="9"/>
  <c r="C104" i="57"/>
  <c r="C105" i="57"/>
  <c r="F5" i="61"/>
  <c r="F4" i="61"/>
  <c r="F3" i="61"/>
  <c r="F7" i="61"/>
  <c r="F6" i="61"/>
  <c r="I1" i="61" l="1"/>
  <c r="B30" i="1" s="1"/>
  <c r="K106" i="9"/>
  <c r="D6" i="52"/>
  <c r="T49" i="59"/>
  <c r="D49" i="59"/>
  <c r="C13" i="65"/>
  <c r="C14" i="65" s="1"/>
  <c r="C20" i="65" s="1"/>
  <c r="C19" i="65" s="1"/>
  <c r="D11" i="50"/>
  <c r="B25" i="60" s="1"/>
  <c r="B23" i="60"/>
  <c r="W7" i="33"/>
  <c r="AB7" i="33"/>
  <c r="J7" i="66"/>
  <c r="W7" i="66" s="1"/>
  <c r="AA7" i="33"/>
  <c r="AA7" i="35"/>
  <c r="R38" i="35" s="1"/>
  <c r="N55" i="59"/>
  <c r="N54" i="59"/>
  <c r="F63" i="40"/>
  <c r="E65" i="40"/>
  <c r="E70" i="39"/>
  <c r="F68" i="39"/>
  <c r="T48" i="33"/>
  <c r="G48" i="33" s="1"/>
  <c r="G52" i="33" s="1"/>
  <c r="H52" i="33" s="1"/>
  <c r="C33" i="11"/>
  <c r="C39" i="11" s="1"/>
  <c r="C19" i="15"/>
  <c r="C20" i="15" s="1"/>
  <c r="C26" i="15" s="1"/>
  <c r="F24" i="15"/>
  <c r="I18" i="65"/>
  <c r="C18" i="65" s="1"/>
  <c r="E16" i="65" s="1"/>
  <c r="R25" i="31"/>
  <c r="B24" i="31" s="1"/>
  <c r="B3" i="31" s="1"/>
  <c r="C34" i="57" s="1"/>
  <c r="I124" i="57" s="1"/>
  <c r="B23" i="31"/>
  <c r="B2" i="31" s="1"/>
  <c r="C33" i="57" s="1"/>
  <c r="H124" i="57" s="1"/>
  <c r="Q55" i="59"/>
  <c r="Q54" i="59"/>
  <c r="C15" i="59"/>
  <c r="D15" i="59" s="1"/>
  <c r="D16" i="59"/>
  <c r="AC7" i="66"/>
  <c r="V48" i="66" s="1"/>
  <c r="I48" i="66" s="1"/>
  <c r="C8" i="62"/>
  <c r="D8" i="62"/>
  <c r="D21" i="59"/>
  <c r="T21" i="59"/>
  <c r="I55" i="15"/>
  <c r="L57" i="15"/>
  <c r="J60" i="15"/>
  <c r="J61" i="15"/>
  <c r="Q46" i="15" s="1"/>
  <c r="L59" i="15"/>
  <c r="J58" i="15"/>
  <c r="J56" i="15" s="1"/>
  <c r="J59" i="15" s="1"/>
  <c r="Q48" i="15" s="1"/>
  <c r="J54" i="15"/>
  <c r="W7" i="21"/>
  <c r="AC7" i="21"/>
  <c r="V48" i="21" s="1"/>
  <c r="I48" i="21" s="1"/>
  <c r="G53" i="21" s="1"/>
  <c r="H53" i="21" s="1"/>
  <c r="G52" i="37"/>
  <c r="D33" i="59"/>
  <c r="T33" i="59"/>
  <c r="E25" i="65"/>
  <c r="E24" i="65"/>
  <c r="F7" i="66"/>
  <c r="U7" i="36"/>
  <c r="AB7" i="36"/>
  <c r="T36" i="36" s="1"/>
  <c r="G36" i="36" s="1"/>
  <c r="G43" i="35"/>
  <c r="H43" i="35" s="1"/>
  <c r="G42" i="35"/>
  <c r="H42" i="35" s="1"/>
  <c r="G52" i="21"/>
  <c r="H52" i="21" s="1"/>
  <c r="I42" i="35"/>
  <c r="J42" i="35" s="1"/>
  <c r="G59" i="34"/>
  <c r="J7" i="36"/>
  <c r="H7" i="66"/>
  <c r="F7" i="36"/>
  <c r="J10" i="39"/>
  <c r="J10" i="40"/>
  <c r="H10" i="40"/>
  <c r="H10" i="39"/>
  <c r="F10" i="39"/>
  <c r="F10" i="40"/>
  <c r="S36" i="33"/>
  <c r="AA36" i="33"/>
  <c r="R48" i="33" s="1"/>
  <c r="R49" i="21"/>
  <c r="E48" i="21"/>
  <c r="E8" i="59"/>
  <c r="E7" i="59" s="1"/>
  <c r="E6" i="59" s="1"/>
  <c r="E5" i="59" s="1"/>
  <c r="U9" i="59"/>
  <c r="D11" i="59"/>
  <c r="C10" i="59"/>
  <c r="AC36" i="33"/>
  <c r="V48" i="33" s="1"/>
  <c r="I48" i="33" s="1"/>
  <c r="W36" i="33"/>
  <c r="D7" i="62"/>
  <c r="C7" i="62"/>
  <c r="C29" i="59"/>
  <c r="D28" i="59"/>
  <c r="E38" i="35"/>
  <c r="I43" i="35" s="1"/>
  <c r="J43" i="35" s="1"/>
  <c r="R39" i="35"/>
  <c r="D24" i="59"/>
  <c r="C25" i="59"/>
  <c r="F25" i="12"/>
  <c r="C27" i="12" s="1"/>
  <c r="C25" i="12" s="1"/>
  <c r="C24" i="11"/>
  <c r="C42" i="11"/>
  <c r="C26" i="11"/>
  <c r="D22" i="11" s="1"/>
  <c r="C44" i="11"/>
  <c r="D41" i="11" s="1"/>
  <c r="C104" i="9"/>
  <c r="D107" i="9"/>
  <c r="H121" i="9"/>
  <c r="I103" i="9"/>
  <c r="I4" i="52"/>
  <c r="C20" i="43"/>
  <c r="E41" i="43"/>
  <c r="C41" i="43" s="1"/>
  <c r="M11" i="15" l="1"/>
  <c r="J10" i="15" s="1"/>
  <c r="J5" i="15" s="1"/>
  <c r="F11" i="15"/>
  <c r="G63" i="40"/>
  <c r="F65" i="40"/>
  <c r="C23" i="15"/>
  <c r="G68" i="39"/>
  <c r="F70" i="39"/>
  <c r="C17" i="65"/>
  <c r="C16" i="65" s="1"/>
  <c r="C24" i="15"/>
  <c r="C46" i="11"/>
  <c r="C45" i="11" s="1"/>
  <c r="C43" i="11"/>
  <c r="C41" i="11" s="1"/>
  <c r="C26" i="12"/>
  <c r="D25" i="12" s="1"/>
  <c r="C32" i="12" s="1"/>
  <c r="I52" i="33"/>
  <c r="J52" i="33" s="1"/>
  <c r="G53" i="33"/>
  <c r="H53" i="33" s="1"/>
  <c r="R49" i="33"/>
  <c r="E48" i="33"/>
  <c r="D25" i="59"/>
  <c r="T25" i="59"/>
  <c r="C49" i="21"/>
  <c r="B2" i="21" s="1"/>
  <c r="B3" i="21" s="1"/>
  <c r="C48" i="21"/>
  <c r="S10" i="40"/>
  <c r="AA10" i="40"/>
  <c r="W10" i="40"/>
  <c r="AC10" i="40"/>
  <c r="W7" i="36"/>
  <c r="AC7" i="36"/>
  <c r="V36" i="36" s="1"/>
  <c r="I36" i="36" s="1"/>
  <c r="G41" i="36" s="1"/>
  <c r="H41" i="36" s="1"/>
  <c r="AA7" i="66"/>
  <c r="R48" i="66" s="1"/>
  <c r="S7" i="66"/>
  <c r="Q58" i="15"/>
  <c r="Q71" i="15"/>
  <c r="C107" i="57"/>
  <c r="D110" i="57"/>
  <c r="I104" i="57"/>
  <c r="M19" i="43"/>
  <c r="T29" i="59"/>
  <c r="D29" i="59"/>
  <c r="AA10" i="39"/>
  <c r="S10" i="39"/>
  <c r="W10" i="39"/>
  <c r="AC10" i="39"/>
  <c r="C38" i="35"/>
  <c r="C39" i="35"/>
  <c r="U10" i="39"/>
  <c r="AB10" i="39"/>
  <c r="AA7" i="36"/>
  <c r="R36" i="36" s="1"/>
  <c r="S7" i="36"/>
  <c r="H59" i="34"/>
  <c r="G40" i="36"/>
  <c r="H40" i="36" s="1"/>
  <c r="H52" i="37"/>
  <c r="B33" i="1"/>
  <c r="F41" i="15" s="1"/>
  <c r="F70" i="15" s="1"/>
  <c r="Q50" i="15"/>
  <c r="I52" i="66"/>
  <c r="J52" i="66" s="1"/>
  <c r="E43" i="35"/>
  <c r="F43" i="35" s="1"/>
  <c r="E42" i="35"/>
  <c r="F42" i="35" s="1"/>
  <c r="D10" i="59"/>
  <c r="C9" i="59"/>
  <c r="E52" i="21"/>
  <c r="F52" i="21" s="1"/>
  <c r="E53" i="21"/>
  <c r="F53" i="21" s="1"/>
  <c r="AB10" i="40"/>
  <c r="U10" i="40"/>
  <c r="AB7" i="66"/>
  <c r="T48" i="66" s="1"/>
  <c r="G48" i="66" s="1"/>
  <c r="U7" i="66"/>
  <c r="I53" i="21"/>
  <c r="J53" i="21" s="1"/>
  <c r="I52" i="21"/>
  <c r="J52" i="21" s="1"/>
  <c r="I103" i="57"/>
  <c r="H125" i="57"/>
  <c r="D109" i="57"/>
  <c r="C106" i="57"/>
  <c r="D9" i="50"/>
  <c r="B21" i="60" s="1"/>
  <c r="D30" i="50"/>
  <c r="C37" i="43"/>
  <c r="C36" i="43"/>
  <c r="T9" i="43"/>
  <c r="V9" i="43" s="1"/>
  <c r="T7" i="43"/>
  <c r="V7" i="43" s="1"/>
  <c r="T2" i="43"/>
  <c r="V2" i="43" s="1"/>
  <c r="T16" i="43"/>
  <c r="V16" i="43" s="1"/>
  <c r="T12" i="43"/>
  <c r="V12" i="43" s="1"/>
  <c r="T4" i="43"/>
  <c r="V4" i="43" s="1"/>
  <c r="T8" i="43"/>
  <c r="V8" i="43" s="1"/>
  <c r="T5" i="43"/>
  <c r="V5" i="43" s="1"/>
  <c r="C35" i="43"/>
  <c r="C29" i="43"/>
  <c r="T14" i="43"/>
  <c r="V14" i="43" s="1"/>
  <c r="T6" i="43"/>
  <c r="V6" i="43" s="1"/>
  <c r="T10" i="43"/>
  <c r="V10" i="43" s="1"/>
  <c r="T3" i="43"/>
  <c r="V3" i="43" s="1"/>
  <c r="T11" i="43"/>
  <c r="V11" i="43" s="1"/>
  <c r="T15" i="43"/>
  <c r="V15" i="43" s="1"/>
  <c r="T13" i="43"/>
  <c r="V13" i="43" s="1"/>
  <c r="C34" i="43"/>
  <c r="C33" i="43"/>
  <c r="C38" i="43"/>
  <c r="C39" i="43"/>
  <c r="I102" i="9"/>
  <c r="H4" i="52"/>
  <c r="C103" i="9"/>
  <c r="D106" i="9"/>
  <c r="D112" i="9" s="1"/>
  <c r="H122" i="9"/>
  <c r="H5" i="52" s="1"/>
  <c r="C10" i="15" l="1"/>
  <c r="C5" i="15" s="1"/>
  <c r="C38" i="15" s="1"/>
  <c r="C54" i="15"/>
  <c r="C49" i="15" s="1"/>
  <c r="J24" i="15"/>
  <c r="J26" i="15"/>
  <c r="J29" i="15" s="1"/>
  <c r="C49" i="11"/>
  <c r="C51" i="11" s="1"/>
  <c r="C29" i="15"/>
  <c r="J14" i="15" s="1"/>
  <c r="J22" i="15" s="1"/>
  <c r="C23" i="65"/>
  <c r="C26" i="65" s="1"/>
  <c r="H68" i="39"/>
  <c r="G70" i="39"/>
  <c r="H63" i="40"/>
  <c r="G65" i="40"/>
  <c r="E48" i="66"/>
  <c r="R49" i="66"/>
  <c r="C49" i="33"/>
  <c r="C48" i="33"/>
  <c r="C8" i="59"/>
  <c r="T9" i="59"/>
  <c r="D9" i="59"/>
  <c r="R37" i="36"/>
  <c r="E36" i="36"/>
  <c r="I41" i="36"/>
  <c r="J41" i="36" s="1"/>
  <c r="I40" i="36"/>
  <c r="J40" i="36" s="1"/>
  <c r="G53" i="66"/>
  <c r="H53" i="66" s="1"/>
  <c r="G52" i="66"/>
  <c r="H52" i="66" s="1"/>
  <c r="B3" i="35"/>
  <c r="B2" i="35"/>
  <c r="I111" i="57"/>
  <c r="D128" i="57" s="1"/>
  <c r="D46" i="57"/>
  <c r="M49" i="57"/>
  <c r="D115" i="57"/>
  <c r="D116" i="57" s="1"/>
  <c r="I112" i="57" s="1"/>
  <c r="D129" i="57" s="1"/>
  <c r="D120" i="57"/>
  <c r="I116" i="57" s="1"/>
  <c r="I52" i="37"/>
  <c r="I59" i="34"/>
  <c r="E52" i="33"/>
  <c r="F52" i="33" s="1"/>
  <c r="E53" i="33"/>
  <c r="F53" i="33" s="1"/>
  <c r="I53" i="33"/>
  <c r="J53" i="33" s="1"/>
  <c r="I110" i="9"/>
  <c r="M48" i="9"/>
  <c r="D7" i="50"/>
  <c r="D45" i="9"/>
  <c r="D28" i="50"/>
  <c r="D29" i="50" s="1"/>
  <c r="G38" i="43"/>
  <c r="I38" i="43" s="1"/>
  <c r="E38" i="43"/>
  <c r="G34" i="43"/>
  <c r="I34" i="43" s="1"/>
  <c r="E34" i="43"/>
  <c r="E29" i="43"/>
  <c r="C30" i="43"/>
  <c r="E30" i="43" s="1"/>
  <c r="G36" i="43"/>
  <c r="I36" i="43" s="1"/>
  <c r="E36" i="43"/>
  <c r="B2" i="12"/>
  <c r="B3" i="12"/>
  <c r="D117" i="9"/>
  <c r="D113" i="9"/>
  <c r="G39" i="43"/>
  <c r="I39" i="43" s="1"/>
  <c r="E39" i="43"/>
  <c r="G33" i="43"/>
  <c r="I33" i="43" s="1"/>
  <c r="E33" i="43"/>
  <c r="G35" i="43"/>
  <c r="I35" i="43" s="1"/>
  <c r="E35" i="43"/>
  <c r="G37" i="43"/>
  <c r="I37" i="43" s="1"/>
  <c r="E37" i="43"/>
  <c r="C67" i="15" l="1"/>
  <c r="C61" i="15"/>
  <c r="J19" i="15"/>
  <c r="J17" i="15" s="1"/>
  <c r="C58" i="15"/>
  <c r="C62" i="15" s="1"/>
  <c r="C60" i="15" s="1"/>
  <c r="J13" i="15"/>
  <c r="J23" i="15" s="1"/>
  <c r="C36" i="15"/>
  <c r="Q47" i="15"/>
  <c r="C7" i="65"/>
  <c r="C27" i="65" s="1"/>
  <c r="C24" i="65" s="1"/>
  <c r="C13" i="15"/>
  <c r="C57" i="15" s="1"/>
  <c r="C66" i="15" s="1"/>
  <c r="C33" i="15"/>
  <c r="C31" i="15" s="1"/>
  <c r="H65" i="40"/>
  <c r="I63" i="40"/>
  <c r="H70" i="39"/>
  <c r="I68" i="39"/>
  <c r="J52" i="37"/>
  <c r="K52" i="37" s="1"/>
  <c r="L52" i="37" s="1"/>
  <c r="M52" i="37" s="1"/>
  <c r="N52" i="37" s="1"/>
  <c r="O52" i="37" s="1"/>
  <c r="H7" i="37" s="1"/>
  <c r="J7" i="37"/>
  <c r="D54" i="57"/>
  <c r="D49" i="57" s="1"/>
  <c r="M53" i="57" s="1"/>
  <c r="C73" i="57"/>
  <c r="D56" i="57"/>
  <c r="M54" i="57" s="1"/>
  <c r="D53" i="57"/>
  <c r="C65" i="57"/>
  <c r="C64" i="57" s="1"/>
  <c r="C68" i="57" s="1"/>
  <c r="C69" i="57" s="1"/>
  <c r="D55" i="57" s="1"/>
  <c r="C86" i="57"/>
  <c r="C79" i="57"/>
  <c r="C74" i="57" s="1"/>
  <c r="C94" i="57"/>
  <c r="C87" i="57" s="1"/>
  <c r="D35" i="65"/>
  <c r="J8" i="65" s="1"/>
  <c r="B2" i="33"/>
  <c r="B3" i="33"/>
  <c r="E41" i="36"/>
  <c r="F41" i="36" s="1"/>
  <c r="E40" i="36"/>
  <c r="F40" i="36" s="1"/>
  <c r="C7" i="59"/>
  <c r="D8" i="59"/>
  <c r="C48" i="66"/>
  <c r="C49" i="66"/>
  <c r="J59" i="34"/>
  <c r="C36" i="36"/>
  <c r="C37" i="36"/>
  <c r="B2" i="36" s="1"/>
  <c r="B3" i="36" s="1"/>
  <c r="E52" i="66"/>
  <c r="F52" i="66" s="1"/>
  <c r="E53" i="66"/>
  <c r="F53" i="66" s="1"/>
  <c r="I53" i="66"/>
  <c r="J53" i="66" s="1"/>
  <c r="I111" i="9"/>
  <c r="D38" i="50"/>
  <c r="B62" i="60" s="1"/>
  <c r="C6" i="11"/>
  <c r="C26" i="43"/>
  <c r="B2" i="43" s="1"/>
  <c r="B3" i="43" s="1"/>
  <c r="D53" i="9"/>
  <c r="D48" i="9" s="1"/>
  <c r="M52" i="9" s="1"/>
  <c r="C93" i="9"/>
  <c r="C86" i="9" s="1"/>
  <c r="C78" i="9"/>
  <c r="C73" i="9" s="1"/>
  <c r="C85" i="9"/>
  <c r="D59" i="9"/>
  <c r="M55" i="9" s="1"/>
  <c r="C64" i="9"/>
  <c r="C63" i="9" s="1"/>
  <c r="C67" i="9" s="1"/>
  <c r="C68" i="9" s="1"/>
  <c r="D54" i="9" s="1"/>
  <c r="C72" i="9"/>
  <c r="D55" i="9"/>
  <c r="M53" i="9" s="1"/>
  <c r="D52" i="9"/>
  <c r="D44" i="50"/>
  <c r="I115" i="9"/>
  <c r="D23" i="50" s="1"/>
  <c r="B34" i="60" s="1"/>
  <c r="C27" i="43"/>
  <c r="D8" i="50"/>
  <c r="B22" i="60" s="1"/>
  <c r="B19" i="60"/>
  <c r="D125" i="9"/>
  <c r="D36" i="50"/>
  <c r="D37" i="50" s="1"/>
  <c r="D15" i="50"/>
  <c r="J16" i="15" l="1"/>
  <c r="J25" i="15" s="1"/>
  <c r="C65" i="15"/>
  <c r="C59" i="15" s="1"/>
  <c r="C68" i="15" s="1"/>
  <c r="C69" i="15" s="1"/>
  <c r="C72" i="15" s="1"/>
  <c r="Q68" i="15"/>
  <c r="J34" i="15"/>
  <c r="C37" i="15"/>
  <c r="C30" i="15" s="1"/>
  <c r="C39" i="15" s="1"/>
  <c r="C40" i="15" s="1"/>
  <c r="C43" i="15" s="1"/>
  <c r="J68" i="39"/>
  <c r="I70" i="39"/>
  <c r="I65" i="40"/>
  <c r="J63" i="40"/>
  <c r="C79" i="9"/>
  <c r="C80" i="9" s="1"/>
  <c r="E80" i="9" s="1"/>
  <c r="E81" i="9" s="1"/>
  <c r="C80" i="57"/>
  <c r="C82" i="57" s="1"/>
  <c r="U7" i="37"/>
  <c r="AB7" i="37"/>
  <c r="T42" i="37" s="1"/>
  <c r="G42" i="37" s="1"/>
  <c r="B3" i="66"/>
  <c r="B2" i="66"/>
  <c r="C3" i="65" s="1"/>
  <c r="AC7" i="37"/>
  <c r="V42" i="37" s="1"/>
  <c r="I42" i="37" s="1"/>
  <c r="W7" i="37"/>
  <c r="F7" i="37"/>
  <c r="K59" i="34"/>
  <c r="C6" i="59"/>
  <c r="D7" i="59"/>
  <c r="C96" i="57"/>
  <c r="C81" i="57"/>
  <c r="E81" i="57" s="1"/>
  <c r="E82" i="57" s="1"/>
  <c r="D8" i="52"/>
  <c r="G14" i="62"/>
  <c r="B6" i="62" s="1"/>
  <c r="C95" i="9"/>
  <c r="C97" i="9" s="1"/>
  <c r="D58" i="9" s="1"/>
  <c r="D56" i="9" s="1"/>
  <c r="M54" i="9" s="1"/>
  <c r="N57" i="9" s="1"/>
  <c r="C7" i="11"/>
  <c r="C5" i="11" s="1"/>
  <c r="D126" i="9"/>
  <c r="D9" i="52" s="1"/>
  <c r="D17" i="50"/>
  <c r="B29" i="60"/>
  <c r="D16" i="50"/>
  <c r="B30" i="60" s="1"/>
  <c r="Q54" i="15" l="1"/>
  <c r="C47" i="15"/>
  <c r="J38" i="15"/>
  <c r="J39" i="15" s="1"/>
  <c r="L52" i="15"/>
  <c r="L58" i="15" s="1"/>
  <c r="L61" i="15" s="1"/>
  <c r="J41" i="15"/>
  <c r="D35" i="9" s="1"/>
  <c r="Q63" i="15"/>
  <c r="Q45" i="15"/>
  <c r="Q51" i="15" s="1"/>
  <c r="Q67" i="15"/>
  <c r="Q66" i="15" s="1"/>
  <c r="C81" i="9"/>
  <c r="K63" i="40"/>
  <c r="J65" i="40"/>
  <c r="K68" i="39"/>
  <c r="J70" i="39"/>
  <c r="C96" i="9"/>
  <c r="E96" i="9" s="1"/>
  <c r="E97" i="9" s="1"/>
  <c r="I46" i="37"/>
  <c r="J46" i="37" s="1"/>
  <c r="L59" i="34"/>
  <c r="G47" i="37"/>
  <c r="H47" i="37" s="1"/>
  <c r="G46" i="37"/>
  <c r="H46" i="37" s="1"/>
  <c r="C98" i="57"/>
  <c r="D59" i="57" s="1"/>
  <c r="D57" i="57" s="1"/>
  <c r="M55" i="57" s="1"/>
  <c r="N58" i="57" s="1"/>
  <c r="C97" i="57"/>
  <c r="E97" i="57" s="1"/>
  <c r="E98" i="57" s="1"/>
  <c r="D6" i="59"/>
  <c r="C5" i="59"/>
  <c r="S7" i="37"/>
  <c r="AA7" i="37"/>
  <c r="R42" i="37" s="1"/>
  <c r="C6" i="62"/>
  <c r="D6" i="62"/>
  <c r="N58" i="9"/>
  <c r="P57" i="9"/>
  <c r="N59" i="9"/>
  <c r="C20" i="11"/>
  <c r="C25" i="11" s="1"/>
  <c r="C23" i="11"/>
  <c r="J42" i="15" l="1"/>
  <c r="Q65" i="15"/>
  <c r="K70" i="39"/>
  <c r="L68" i="39"/>
  <c r="L63" i="40"/>
  <c r="K65" i="40"/>
  <c r="C28" i="11"/>
  <c r="C27" i="11" s="1"/>
  <c r="D5" i="59"/>
  <c r="M20" i="43"/>
  <c r="M59" i="34"/>
  <c r="R43" i="37"/>
  <c r="E42" i="37"/>
  <c r="P58" i="57"/>
  <c r="N59" i="57"/>
  <c r="N60" i="57"/>
  <c r="C22" i="11"/>
  <c r="N61" i="9"/>
  <c r="N60" i="9"/>
  <c r="L47" i="15"/>
  <c r="Q64" i="15"/>
  <c r="Q73" i="15" s="1"/>
  <c r="Q55" i="15"/>
  <c r="Q60" i="15" s="1"/>
  <c r="D34" i="9"/>
  <c r="C35" i="9"/>
  <c r="L70" i="39" l="1"/>
  <c r="M68" i="39"/>
  <c r="L65" i="40"/>
  <c r="M63" i="40"/>
  <c r="C31" i="11"/>
  <c r="C52" i="11" s="1"/>
  <c r="B3" i="11" s="1"/>
  <c r="E47" i="37"/>
  <c r="F47" i="37" s="1"/>
  <c r="E46" i="37"/>
  <c r="F46" i="37" s="1"/>
  <c r="I47" i="37"/>
  <c r="J47" i="37" s="1"/>
  <c r="C43" i="37"/>
  <c r="B2" i="37" s="1"/>
  <c r="B3" i="37" s="1"/>
  <c r="C42" i="37"/>
  <c r="N61" i="57"/>
  <c r="N62" i="57"/>
  <c r="N59" i="34"/>
  <c r="O59" i="34" s="1"/>
  <c r="J7" i="34"/>
  <c r="G121" i="9"/>
  <c r="C34" i="9"/>
  <c r="E121" i="9" s="1"/>
  <c r="B2" i="15"/>
  <c r="B3" i="15"/>
  <c r="M65" i="40" l="1"/>
  <c r="N63" i="40"/>
  <c r="M70" i="39"/>
  <c r="N68" i="39"/>
  <c r="C56" i="11"/>
  <c r="C57" i="11" s="1"/>
  <c r="B2" i="11"/>
  <c r="C4" i="65" s="1"/>
  <c r="C29" i="65" s="1"/>
  <c r="C30" i="65" s="1"/>
  <c r="D36" i="65" s="1"/>
  <c r="W7" i="34"/>
  <c r="AC7" i="34"/>
  <c r="V49" i="34" s="1"/>
  <c r="I49" i="34" s="1"/>
  <c r="H7" i="34"/>
  <c r="F7" i="34"/>
  <c r="F121" i="9"/>
  <c r="G4" i="52"/>
  <c r="B41" i="60" s="1"/>
  <c r="D121" i="9"/>
  <c r="E4" i="52"/>
  <c r="B38" i="60" s="1"/>
  <c r="O68" i="39" l="1"/>
  <c r="O70" i="39" s="1"/>
  <c r="N70" i="39"/>
  <c r="N65" i="40"/>
  <c r="O63" i="40"/>
  <c r="O65" i="40" s="1"/>
  <c r="J7" i="40" s="1"/>
  <c r="U7" i="34"/>
  <c r="AB7" i="34"/>
  <c r="T49" i="34" s="1"/>
  <c r="G49" i="34" s="1"/>
  <c r="I53" i="34"/>
  <c r="J53" i="34" s="1"/>
  <c r="AA7" i="34"/>
  <c r="R49" i="34" s="1"/>
  <c r="S7" i="34"/>
  <c r="J9" i="65"/>
  <c r="G35" i="65"/>
  <c r="D37" i="65"/>
  <c r="D4" i="52"/>
  <c r="B37" i="60" s="1"/>
  <c r="D122" i="9"/>
  <c r="D5" i="52" s="1"/>
  <c r="B39" i="60" s="1"/>
  <c r="F4" i="52"/>
  <c r="B40" i="60" s="1"/>
  <c r="F122" i="9"/>
  <c r="F5" i="52" s="1"/>
  <c r="B42" i="60" s="1"/>
  <c r="W7" i="40" l="1"/>
  <c r="AC7" i="40"/>
  <c r="V42" i="40" s="1"/>
  <c r="I42" i="40" s="1"/>
  <c r="F7" i="40"/>
  <c r="H7" i="40"/>
  <c r="J7" i="39"/>
  <c r="F7" i="39"/>
  <c r="H7" i="39"/>
  <c r="F14" i="62"/>
  <c r="E14" i="62"/>
  <c r="G53" i="34"/>
  <c r="H53" i="34" s="1"/>
  <c r="G54" i="34"/>
  <c r="H54" i="34" s="1"/>
  <c r="R50" i="34"/>
  <c r="E49" i="34"/>
  <c r="D5" i="62"/>
  <c r="C5" i="62"/>
  <c r="C38" i="65"/>
  <c r="C39" i="65" s="1"/>
  <c r="E38" i="65"/>
  <c r="E39" i="65" s="1"/>
  <c r="J10" i="65"/>
  <c r="AB7" i="40" l="1"/>
  <c r="T42" i="40" s="1"/>
  <c r="G42" i="40" s="1"/>
  <c r="U7" i="40"/>
  <c r="AB7" i="39"/>
  <c r="T47" i="39" s="1"/>
  <c r="G47" i="39" s="1"/>
  <c r="U7" i="39"/>
  <c r="S7" i="40"/>
  <c r="AA7" i="40"/>
  <c r="R42" i="40" s="1"/>
  <c r="S7" i="39"/>
  <c r="AA7" i="39"/>
  <c r="R47" i="39" s="1"/>
  <c r="I46" i="40"/>
  <c r="J46" i="40" s="1"/>
  <c r="AC7" i="39"/>
  <c r="V47" i="39" s="1"/>
  <c r="I47" i="39" s="1"/>
  <c r="W7" i="39"/>
  <c r="C50" i="34"/>
  <c r="B2" i="34" s="1"/>
  <c r="B3" i="34" s="1"/>
  <c r="C49" i="34"/>
  <c r="E53" i="34"/>
  <c r="F53" i="34" s="1"/>
  <c r="E54" i="34"/>
  <c r="F54" i="34" s="1"/>
  <c r="I54" i="34"/>
  <c r="J54" i="34" s="1"/>
  <c r="E47" i="39" l="1"/>
  <c r="R48" i="39"/>
  <c r="I52" i="39"/>
  <c r="J52" i="39" s="1"/>
  <c r="I51" i="39"/>
  <c r="J51" i="39" s="1"/>
  <c r="G51" i="39"/>
  <c r="H51" i="39" s="1"/>
  <c r="G52" i="39"/>
  <c r="H52" i="39" s="1"/>
  <c r="E42" i="40"/>
  <c r="R43" i="40"/>
  <c r="G47" i="40"/>
  <c r="H47" i="40" s="1"/>
  <c r="G46" i="40"/>
  <c r="H46" i="40" s="1"/>
  <c r="C42" i="40" l="1"/>
  <c r="C43" i="40"/>
  <c r="E46" i="40"/>
  <c r="F46" i="40" s="1"/>
  <c r="E47" i="40"/>
  <c r="F47" i="40" s="1"/>
  <c r="I47" i="40"/>
  <c r="J47" i="40" s="1"/>
  <c r="C47" i="39"/>
  <c r="C48" i="39"/>
  <c r="E52" i="39"/>
  <c r="F52" i="39" s="1"/>
  <c r="E51" i="39"/>
  <c r="F51" i="39" s="1"/>
  <c r="B63" i="39" l="1"/>
  <c r="F63" i="39" s="1"/>
  <c r="B56" i="39"/>
  <c r="F56" i="39" s="1"/>
  <c r="F66" i="39" s="1"/>
  <c r="B2" i="39" s="1"/>
  <c r="B3" i="39" s="1"/>
  <c r="B59" i="39"/>
  <c r="F59" i="39" s="1"/>
  <c r="B58" i="39"/>
  <c r="F58" i="39" s="1"/>
  <c r="B60" i="39"/>
  <c r="F60" i="39" s="1"/>
  <c r="B61" i="39"/>
  <c r="F61" i="39" s="1"/>
  <c r="B62" i="39"/>
  <c r="F62" i="39" s="1"/>
  <c r="B65" i="39"/>
  <c r="F65" i="39" s="1"/>
  <c r="B64" i="39"/>
  <c r="F64" i="39" s="1"/>
  <c r="B57" i="39"/>
  <c r="F57" i="39" s="1"/>
  <c r="B57" i="40"/>
  <c r="F57" i="40" s="1"/>
  <c r="B51" i="40"/>
  <c r="F51" i="40" s="1"/>
  <c r="F61" i="40" s="1"/>
  <c r="B2" i="40" s="1"/>
  <c r="B3" i="40" s="1"/>
  <c r="B56" i="40"/>
  <c r="F56" i="40" s="1"/>
  <c r="B54" i="40"/>
  <c r="F54" i="40" s="1"/>
  <c r="B60" i="40"/>
  <c r="F60" i="40" s="1"/>
  <c r="B59" i="40"/>
  <c r="F59" i="40" s="1"/>
  <c r="B58" i="40"/>
  <c r="F58" i="40" s="1"/>
  <c r="B53" i="40"/>
  <c r="F53" i="40" s="1"/>
  <c r="B55" i="40"/>
  <c r="F55" i="40" s="1"/>
  <c r="B52" i="40"/>
  <c r="F52" i="4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作者</author>
  </authors>
  <commentList>
    <comment ref="B11" authorId="0">
      <text>
        <r>
          <rPr>
            <sz val="9"/>
            <color indexed="81"/>
            <rFont val="宋体"/>
            <family val="3"/>
            <charset val="134"/>
          </rPr>
          <t xml:space="preserve">所在区域的性质（商服区、住宅区还是工业区）、距各类商服中心的距离、商务设施的种类规模与集聚程度、商服氛围、经营类别、客流的数量与质量
</t>
        </r>
      </text>
    </comment>
    <comment ref="B12" authorId="0">
      <text>
        <r>
          <rPr>
            <b/>
            <sz val="9"/>
            <color indexed="81"/>
            <rFont val="宋体"/>
            <family val="3"/>
            <charset val="134"/>
          </rPr>
          <t>侧重公共交通通达、停车便捷程度</t>
        </r>
        <r>
          <rPr>
            <sz val="9"/>
            <color indexed="81"/>
            <rFont val="宋体"/>
            <family val="3"/>
            <charset val="134"/>
          </rPr>
          <t xml:space="preserve">
</t>
        </r>
      </text>
    </comment>
    <comment ref="B14" authorId="0">
      <text>
        <r>
          <rPr>
            <sz val="9"/>
            <color indexed="81"/>
            <rFont val="宋体"/>
            <family val="3"/>
            <charset val="134"/>
          </rPr>
          <t xml:space="preserve">主要为人文环境和自然环境。人文环境包括学校数目和类型；文体休闲设施状况；居民素质；自然环境包括：景观、绿化环境、卫生条件、噪音、空气和水体污染及危险设施或污染源的临近程度
</t>
        </r>
      </text>
    </comment>
    <comment ref="B15" authorId="0">
      <text>
        <r>
          <rPr>
            <b/>
            <sz val="9"/>
            <color indexed="81"/>
            <rFont val="宋体"/>
            <family val="3"/>
            <charset val="134"/>
          </rPr>
          <t xml:space="preserve">不临街、单面临街、两面临街、多面临街
</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<sst xmlns="http://schemas.openxmlformats.org/spreadsheetml/2006/main" count="7661" uniqueCount="3173">
  <si>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</si>
  <si>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</si>
  <si>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</si>
  <si>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</si>
  <si>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</si>
  <si>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</si>
  <si>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</si>
  <si>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</si>
  <si>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</si>
  <si>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</si>
  <si>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</si>
  <si>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</si>
  <si>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</si>
  <si>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</si>
  <si>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</si>
  <si>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</si>
  <si>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</si>
  <si>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</si>
  <si>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</si>
  <si>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</si>
  <si>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</si>
  <si>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</si>
  <si>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</si>
  <si>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</si>
  <si>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</si>
  <si>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</si>
  <si>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</si>
  <si>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</si>
  <si>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</si>
  <si>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</si>
  <si>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</si>
  <si>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</si>
  <si>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</si>
  <si>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</si>
  <si>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</si>
  <si>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</si>
  <si>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</si>
  <si>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</si>
  <si>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</si>
  <si>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</si>
  <si>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</si>
  <si>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</si>
  <si>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</si>
  <si>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</si>
  <si>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</si>
  <si>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</si>
  <si>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</si>
  <si>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</si>
  <si>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</si>
  <si>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</si>
  <si>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</si>
  <si>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</si>
  <si>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</si>
  <si>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</si>
  <si>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</si>
  <si>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</si>
  <si>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</si>
  <si>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</si>
  <si>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</si>
  <si>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</si>
  <si>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</si>
  <si>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</si>
  <si>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</si>
  <si>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</si>
  <si>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</si>
  <si>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</si>
  <si>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</si>
  <si>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</si>
  <si>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</si>
  <si>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</si>
  <si>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</si>
  <si>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</si>
  <si>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</si>
  <si>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</si>
  <si>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</si>
  <si>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</si>
  <si>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</si>
  <si>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</si>
  <si>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</si>
  <si>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</si>
  <si>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</si>
  <si>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</si>
  <si>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</si>
  <si>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</si>
  <si>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</si>
  <si>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</si>
  <si>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</si>
  <si>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</si>
  <si>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</si>
  <si>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</si>
  <si>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</si>
  <si>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</si>
  <si>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</si>
  <si>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</si>
  <si>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</si>
  <si>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</si>
  <si>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</si>
  <si>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</si>
  <si>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</si>
  <si>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</si>
  <si>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</si>
  <si>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</si>
  <si>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</si>
  <si>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</si>
  <si>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</si>
  <si>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</si>
  <si>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</si>
  <si>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</si>
  <si>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</si>
  <si>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</si>
  <si>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</si>
  <si>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</si>
  <si>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</si>
  <si>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</si>
  <si>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</si>
  <si>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</si>
  <si>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</si>
  <si>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</si>
  <si>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</si>
  <si>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</si>
  <si>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</si>
  <si>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</si>
  <si>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</si>
  <si>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</si>
  <si>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</si>
  <si>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</si>
  <si>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</si>
  <si>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</si>
  <si>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</si>
  <si>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</si>
  <si>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</si>
  <si>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</si>
  <si>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</si>
  <si>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</si>
  <si>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</si>
  <si>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</si>
  <si>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</si>
  <si>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</si>
  <si>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</si>
  <si>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</si>
  <si>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</si>
  <si>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</si>
  <si>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</si>
  <si>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</si>
  <si>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</si>
  <si>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</si>
  <si>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</si>
  <si>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</si>
  <si>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</si>
  <si>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</si>
  <si>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</si>
  <si>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</si>
  <si>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</si>
  <si>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</si>
  <si>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</si>
  <si>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</si>
  <si>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</si>
  <si>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</si>
  <si>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</si>
  <si>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</si>
  <si>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</si>
  <si>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</si>
  <si>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</si>
  <si>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</si>
  <si>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</si>
  <si>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</si>
  <si>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</si>
  <si>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</si>
  <si>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</si>
  <si>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</si>
  <si>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</si>
  <si>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</si>
  <si>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</si>
  <si>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</si>
  <si>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</si>
  <si>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</si>
  <si>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</si>
  <si>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</si>
  <si>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</si>
  <si>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</si>
  <si>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</si>
  <si>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</si>
  <si>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</si>
  <si>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</si>
  <si>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</si>
  <si>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</si>
  <si>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</si>
  <si>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</si>
  <si>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</si>
  <si>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</si>
  <si>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</si>
  <si>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</si>
  <si>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</si>
  <si>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</si>
  <si>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</si>
  <si>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</si>
  <si>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</si>
  <si>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</si>
  <si>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</si>
  <si>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</si>
  <si>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</si>
  <si>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</si>
  <si>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</si>
  <si>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</si>
  <si>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</si>
  <si>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</si>
  <si>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</si>
  <si>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</si>
  <si>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</si>
  <si>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</si>
  <si>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</si>
  <si>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</si>
  <si>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</si>
  <si>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</si>
  <si>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</si>
  <si>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</si>
  <si>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</si>
  <si>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</si>
  <si>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</si>
  <si>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</si>
  <si>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</si>
  <si>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</si>
  <si>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</si>
  <si>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</si>
  <si>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</si>
  <si>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</si>
  <si>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</si>
  <si>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</si>
  <si>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</si>
  <si>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</si>
  <si>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</si>
  <si>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</si>
  <si>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</si>
  <si>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</si>
  <si>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</si>
  <si>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</si>
  <si>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</si>
  <si>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</si>
  <si>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</si>
  <si>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</si>
  <si>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</si>
  <si>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</si>
  <si>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</si>
  <si>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</si>
  <si>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</si>
  <si>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</si>
  <si>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</si>
  <si>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</si>
  <si>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</si>
  <si>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</si>
  <si>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</si>
  <si>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</si>
  <si>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</si>
  <si>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</si>
  <si>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</si>
  <si>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</si>
  <si>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</si>
  <si>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</si>
  <si>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</si>
  <si>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</si>
  <si>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</si>
  <si>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</si>
  <si>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</si>
  <si>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</si>
  <si>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</si>
  <si>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</si>
  <si>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</si>
  <si>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</si>
  <si>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</si>
  <si>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</si>
  <si>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</si>
  <si>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</si>
  <si>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</si>
  <si>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</si>
  <si>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</si>
  <si>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</si>
  <si>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</si>
  <si>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</si>
  <si>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</si>
  <si>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</si>
  <si>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</si>
  <si>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</si>
  <si>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</si>
  <si>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</si>
  <si>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</si>
  <si>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</si>
  <si>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</si>
  <si>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</si>
  <si>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</si>
  <si>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</si>
  <si>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</si>
  <si>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</si>
  <si>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</si>
  <si>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</si>
  <si>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</si>
  <si>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</si>
  <si>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</si>
  <si>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</si>
  <si>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</si>
  <si>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</si>
  <si>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</si>
  <si>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</si>
  <si>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</si>
  <si>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</si>
  <si>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</si>
  <si>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</si>
  <si>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</si>
  <si>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</si>
  <si>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</si>
  <si>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</si>
  <si>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</si>
  <si>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</si>
  <si>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</si>
  <si>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</si>
  <si>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</si>
  <si>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</si>
  <si>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</si>
  <si>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</si>
  <si>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</si>
  <si>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</si>
  <si>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</si>
  <si>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</si>
  <si>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</si>
  <si>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</si>
  <si>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</si>
  <si>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</si>
  <si>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</si>
  <si>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</si>
  <si>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</si>
  <si>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</si>
  <si>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</si>
  <si>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</si>
  <si>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</si>
  <si>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</si>
  <si>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</si>
  <si>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</si>
  <si>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</si>
  <si>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</si>
  <si>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</si>
  <si>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</si>
  <si>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</si>
  <si>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</si>
  <si>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</si>
  <si>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</si>
  <si>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</si>
  <si>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</si>
  <si>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</si>
  <si>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</si>
  <si>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</si>
  <si>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</si>
  <si>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</si>
  <si>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</si>
  <si>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</si>
  <si>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</si>
  <si>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</si>
  <si>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</si>
  <si>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</si>
  <si>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</si>
  <si>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</si>
  <si>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</si>
  <si>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</si>
  <si>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</si>
  <si>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</si>
  <si>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</si>
  <si>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</si>
  <si>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</si>
  <si>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</si>
  <si>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</si>
  <si>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</si>
  <si>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</si>
  <si>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</si>
  <si>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</si>
  <si>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</si>
  <si>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</si>
  <si>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</si>
  <si>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</si>
  <si>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</si>
  <si>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</si>
  <si>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</si>
  <si>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</si>
  <si>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</si>
  <si>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</si>
  <si>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</si>
  <si>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</si>
  <si>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</si>
  <si>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</si>
  <si>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</si>
  <si>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</si>
  <si>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</si>
  <si>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</si>
  <si>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</si>
  <si>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</si>
  <si>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</si>
  <si>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</si>
  <si>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</si>
  <si>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</si>
  <si>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</si>
  <si>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</si>
  <si>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</si>
  <si>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</si>
  <si>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</si>
  <si>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</si>
  <si>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</si>
  <si>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</si>
  <si>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</si>
  <si>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</si>
  <si>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</si>
  <si>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</si>
  <si>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</si>
  <si>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</si>
  <si>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</si>
  <si>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</si>
  <si>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</si>
  <si>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</si>
  <si>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</si>
  <si>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</si>
  <si>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</si>
  <si>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</si>
  <si>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</si>
  <si>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</si>
  <si>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</si>
  <si>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</si>
  <si>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</si>
  <si>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</si>
  <si>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</si>
  <si>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</si>
  <si>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</si>
  <si>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</si>
  <si>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</si>
  <si>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</si>
  <si>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</si>
  <si>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</si>
  <si>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</si>
  <si>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</si>
  <si>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</si>
  <si>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</si>
  <si>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</si>
  <si>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</si>
  <si>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</si>
  <si>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</si>
  <si>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</si>
  <si>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</si>
  <si>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</si>
  <si>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</si>
  <si>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</si>
  <si>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</si>
  <si>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</si>
  <si>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</si>
  <si>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</si>
  <si>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</si>
  <si>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</si>
  <si>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</si>
  <si>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</si>
  <si>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</si>
  <si>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</si>
  <si>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</si>
  <si>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</si>
  <si>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</si>
  <si>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</si>
  <si>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</si>
  <si>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</si>
  <si>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</si>
  <si>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</si>
  <si>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</si>
  <si>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</si>
  <si>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</si>
  <si>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</si>
  <si>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</si>
  <si>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</si>
  <si>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</si>
  <si>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</si>
  <si>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</si>
  <si>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</si>
  <si>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</si>
  <si>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</si>
  <si>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</si>
  <si>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</si>
  <si>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</si>
  <si>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</si>
  <si>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</si>
  <si>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</si>
  <si>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</si>
  <si>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</si>
  <si>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</si>
  <si>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</si>
  <si>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</si>
  <si>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</si>
  <si>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</si>
  <si>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</si>
  <si>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</si>
  <si>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</si>
  <si>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</si>
  <si>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</si>
  <si>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</si>
  <si>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</si>
  <si>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</si>
  <si>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</si>
  <si>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</si>
  <si>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</si>
  <si>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</si>
  <si>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</si>
  <si>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</si>
  <si>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</si>
  <si>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</si>
  <si>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</si>
  <si>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</si>
  <si>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</si>
  <si>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</si>
  <si>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</si>
  <si>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</si>
  <si>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</si>
  <si>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</si>
  <si>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</si>
  <si>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</si>
  <si>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</si>
  <si>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</si>
  <si>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</si>
  <si>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</si>
  <si>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</si>
  <si>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</si>
  <si>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</si>
  <si>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</si>
  <si>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</si>
  <si>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</si>
  <si>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</si>
  <si>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</si>
  <si>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</si>
  <si>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</si>
  <si>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</si>
  <si>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</si>
  <si>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</si>
  <si>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</si>
  <si>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</si>
  <si>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</si>
  <si>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</si>
  <si>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</si>
  <si>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</si>
  <si>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</si>
  <si>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</si>
  <si>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</si>
  <si>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</si>
  <si>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</si>
  <si>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</si>
  <si>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</si>
  <si>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</si>
  <si>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</si>
  <si>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</si>
  <si>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</si>
  <si>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</si>
  <si>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</si>
  <si>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</si>
  <si>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</si>
  <si>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</si>
  <si>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</si>
  <si>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</si>
  <si>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</si>
  <si>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</si>
  <si>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</si>
  <si>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</si>
  <si>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</si>
  <si>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</si>
  <si>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</si>
  <si>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</si>
  <si>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</si>
  <si>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</si>
  <si>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</si>
  <si>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</si>
  <si>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</si>
  <si>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</si>
  <si>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</si>
  <si>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</si>
  <si>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</si>
  <si>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</si>
  <si>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</si>
  <si>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</si>
  <si>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</si>
  <si>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</si>
  <si>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</si>
  <si>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</si>
  <si>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</si>
  <si>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</si>
  <si>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</si>
  <si>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</si>
  <si>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</si>
  <si>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</si>
  <si>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</si>
  <si>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</si>
  <si>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</si>
  <si>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</si>
  <si>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</si>
  <si>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</si>
  <si>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</si>
  <si>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</si>
  <si>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</si>
  <si>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</si>
  <si>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</si>
  <si>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</si>
  <si>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</si>
  <si>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</si>
  <si>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</si>
  <si>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</si>
  <si>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</si>
  <si>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</si>
  <si>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</si>
  <si>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</si>
  <si>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</si>
  <si>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</si>
  <si>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</si>
  <si>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</si>
  <si>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</si>
  <si>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</si>
  <si>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</si>
  <si>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</si>
  <si>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</si>
  <si>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</si>
  <si>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</si>
  <si>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</si>
  <si>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</si>
  <si>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</si>
  <si>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</si>
  <si>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</si>
  <si>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</si>
  <si>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</si>
  <si>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</si>
  <si>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</si>
  <si>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</si>
  <si>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</si>
  <si>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</si>
  <si>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</si>
  <si>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</si>
  <si>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</si>
  <si>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</si>
  <si>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</si>
  <si>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</si>
  <si>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</si>
  <si>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</si>
  <si>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</si>
  <si>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</si>
  <si>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</si>
  <si>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</si>
  <si>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</si>
  <si>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</si>
  <si>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</si>
  <si>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</si>
  <si>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</si>
  <si>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</si>
  <si>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</si>
  <si>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</si>
  <si>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</si>
  <si>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</si>
  <si>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</si>
  <si>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</si>
  <si>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</si>
  <si>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</si>
  <si>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</si>
  <si>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</si>
  <si>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</si>
  <si>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</si>
  <si>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</si>
  <si>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</si>
  <si>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</si>
  <si>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</si>
  <si>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</si>
  <si>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</si>
  <si>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</si>
  <si>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</si>
  <si>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</si>
  <si>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</si>
  <si>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</si>
  <si>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</si>
  <si>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</si>
  <si>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</si>
  <si>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</si>
  <si>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</si>
  <si>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</si>
  <si>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</si>
  <si>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</si>
  <si>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</si>
  <si>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</si>
  <si>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</si>
  <si>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</si>
  <si>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</si>
  <si>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</si>
  <si>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</si>
  <si>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</si>
  <si>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</si>
  <si>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</si>
  <si>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</si>
  <si>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</si>
  <si>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</si>
  <si>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</si>
  <si>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</si>
  <si>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</si>
  <si>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</si>
  <si>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</si>
  <si>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</si>
  <si>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</si>
  <si>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</si>
  <si>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</si>
  <si>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</si>
  <si>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</si>
  <si>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</si>
  <si>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</si>
  <si>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</si>
  <si>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</si>
  <si>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</si>
  <si>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</si>
  <si>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</si>
  <si>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</si>
  <si>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</si>
  <si>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</si>
  <si>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</si>
  <si>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</si>
  <si>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</si>
  <si>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</si>
  <si>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</si>
  <si>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</si>
  <si>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</si>
  <si>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</si>
  <si>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</si>
  <si>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</si>
  <si>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</si>
  <si>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</si>
  <si>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</si>
  <si>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</si>
  <si>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</si>
  <si>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</si>
  <si>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</si>
  <si>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</si>
  <si>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</si>
  <si>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</si>
  <si>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</si>
  <si>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</si>
  <si>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</si>
  <si>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</si>
  <si>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</si>
  <si>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</si>
  <si>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</si>
  <si>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</si>
  <si>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</si>
  <si>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</si>
  <si>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</si>
  <si>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</si>
  <si>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</si>
  <si>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</si>
  <si>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</si>
  <si>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</si>
  <si>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</si>
  <si>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</si>
  <si>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</si>
  <si>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</si>
  <si>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</si>
  <si>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</si>
  <si>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</si>
  <si>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</si>
  <si>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</si>
  <si>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</si>
  <si>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</si>
  <si>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</si>
  <si>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</si>
  <si>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</si>
  <si>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</si>
  <si>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</si>
  <si>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</si>
  <si>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</si>
  <si>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</si>
  <si>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</si>
  <si>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</si>
  <si>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</si>
  <si>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</si>
  <si>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</si>
  <si>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</si>
  <si>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</si>
  <si>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</si>
  <si>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</si>
  <si>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</si>
  <si>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</si>
  <si>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</si>
  <si>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</si>
  <si>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</si>
  <si>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</si>
  <si>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</si>
  <si>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</si>
  <si>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</si>
  <si>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</si>
  <si>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</si>
  <si>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</si>
  <si>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</si>
  <si>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</si>
  <si>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</si>
  <si>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</si>
  <si>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</si>
  <si>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</si>
  <si>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</si>
  <si>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</si>
  <si>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</si>
  <si>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</si>
  <si>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</si>
  <si>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</si>
  <si>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</si>
  <si>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</si>
  <si>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</si>
  <si>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</si>
  <si>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</si>
  <si>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</si>
  <si>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</si>
  <si>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</si>
  <si>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</si>
  <si>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</si>
  <si>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</si>
  <si>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</si>
  <si>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</si>
  <si>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</si>
  <si>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</si>
  <si>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</si>
  <si>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</si>
  <si>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</si>
  <si>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</si>
  <si>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</si>
  <si>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</si>
  <si>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</si>
  <si>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</si>
  <si>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</si>
  <si>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</si>
  <si>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</si>
  <si>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</si>
  <si>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</si>
  <si>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</si>
  <si>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</si>
  <si>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</si>
  <si>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</si>
  <si>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</si>
  <si>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</si>
  <si>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</si>
  <si>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</si>
  <si>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</si>
  <si>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</si>
  <si>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</si>
  <si>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</si>
  <si>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</si>
  <si>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</si>
  <si>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</si>
  <si>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</si>
  <si>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</si>
  <si>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</si>
  <si>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</si>
  <si>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</si>
  <si>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</si>
  <si>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</si>
  <si>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</si>
  <si>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</si>
  <si>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</si>
  <si>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</si>
  <si>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</si>
  <si>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</si>
  <si>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</si>
  <si>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</si>
  <si>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</si>
  <si>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</si>
  <si>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</si>
  <si>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</si>
  <si>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</si>
  <si>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</si>
  <si>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</si>
  <si>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</si>
  <si>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</si>
  <si>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</si>
  <si>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</si>
  <si>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</si>
  <si>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</si>
  <si>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</si>
  <si>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</si>
  <si>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</si>
  <si>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</si>
  <si>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</si>
  <si>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</si>
  <si>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</si>
  <si>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</si>
  <si>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</si>
  <si>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</si>
  <si>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</si>
  <si>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</si>
  <si>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</si>
  <si>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</si>
  <si>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</si>
  <si>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</si>
  <si>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</si>
  <si>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</si>
  <si>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</si>
  <si>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</si>
  <si>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</si>
  <si>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</si>
  <si>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</si>
  <si>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</si>
  <si>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</si>
  <si>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</si>
  <si>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</si>
  <si>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</si>
  <si>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</si>
  <si>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</si>
  <si>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</si>
  <si>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</si>
  <si>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</si>
  <si>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</si>
  <si>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</si>
  <si>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</si>
  <si>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</si>
  <si>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</si>
  <si>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</si>
  <si>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</si>
  <si>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</si>
  <si>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</si>
  <si>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</si>
  <si>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</si>
  <si>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</si>
  <si>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</si>
  <si>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</si>
  <si>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</si>
  <si>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</si>
  <si>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</si>
  <si>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</si>
  <si>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</si>
  <si>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</si>
  <si>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</si>
  <si>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</si>
  <si>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</si>
  <si>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</si>
  <si>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</si>
  <si>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</si>
  <si>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</si>
  <si>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</si>
  <si>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</si>
  <si>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</si>
  <si>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</si>
  <si>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</si>
  <si>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</si>
  <si>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</si>
  <si>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</si>
  <si>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</si>
  <si>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</si>
  <si>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</si>
  <si>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</si>
  <si>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</si>
  <si>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</si>
  <si>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</si>
  <si>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</si>
  <si>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</si>
  <si>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</si>
  <si>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</si>
  <si>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</si>
  <si>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</si>
  <si>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</si>
  <si>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</si>
  <si>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</si>
  <si>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</si>
  <si>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</si>
  <si>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</si>
  <si>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</si>
  <si>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</si>
  <si>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</si>
  <si>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</si>
  <si>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</si>
  <si>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</si>
  <si>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</si>
  <si>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</si>
  <si>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</si>
  <si>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</si>
  <si>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</si>
  <si>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</si>
  <si>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</si>
  <si>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</si>
  <si>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</si>
  <si>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</si>
  <si>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</si>
  <si>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</si>
  <si>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</si>
  <si>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</si>
  <si>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</si>
  <si>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</si>
  <si>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</si>
  <si>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</si>
  <si>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</si>
  <si>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</si>
  <si>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</si>
  <si>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</si>
  <si>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</si>
  <si>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</si>
  <si>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</si>
  <si>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</si>
  <si>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</si>
  <si>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</si>
  <si>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</si>
  <si>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</si>
  <si>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</si>
  <si>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</si>
  <si>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</si>
  <si>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</si>
  <si>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</si>
  <si>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</si>
  <si>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</si>
  <si>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</si>
  <si>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</si>
  <si>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</si>
  <si>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</si>
  <si>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</si>
  <si>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</si>
  <si>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</si>
  <si>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</si>
  <si>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</si>
  <si>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</si>
  <si>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</si>
  <si>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</si>
  <si>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</si>
  <si>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</si>
  <si>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</si>
  <si>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</si>
  <si>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</si>
  <si>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</si>
  <si>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</si>
  <si>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</si>
  <si>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</si>
  <si>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</si>
  <si>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</si>
  <si>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</si>
  <si>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</si>
  <si>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</si>
  <si>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</si>
  <si>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</si>
  <si>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</si>
  <si>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</si>
  <si>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</si>
  <si>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</si>
  <si>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</si>
  <si>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</si>
  <si>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</si>
  <si>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</si>
  <si>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</si>
  <si>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</si>
  <si>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</si>
  <si>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</si>
  <si>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</si>
  <si>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</si>
  <si>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</si>
  <si>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</si>
  <si>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</si>
  <si>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</si>
  <si>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</si>
  <si>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</si>
  <si>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</si>
  <si>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</si>
  <si>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</si>
  <si>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</si>
  <si>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</si>
  <si>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</si>
  <si>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</si>
  <si>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</si>
  <si>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</si>
  <si>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</si>
  <si>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</si>
  <si>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</si>
  <si>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</si>
  <si>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</si>
  <si>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</si>
  <si>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</si>
  <si>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</si>
  <si>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</si>
  <si>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</si>
  <si>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</si>
  <si>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</si>
  <si>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</si>
  <si>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</si>
  <si>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</si>
  <si>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</si>
  <si>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</si>
  <si>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</si>
  <si>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</si>
  <si>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</si>
  <si>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</si>
  <si>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</si>
  <si>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</si>
  <si>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</si>
  <si>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</si>
  <si>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</si>
  <si>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</si>
  <si>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</si>
  <si>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</si>
  <si>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</si>
  <si>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</si>
  <si>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</si>
  <si>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</si>
  <si>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</si>
  <si>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</si>
  <si>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</si>
  <si>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</si>
  <si>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</si>
  <si>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</si>
  <si>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</si>
  <si>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</si>
  <si>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</si>
  <si>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</si>
  <si>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</si>
  <si>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</si>
  <si>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</si>
  <si>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</si>
  <si>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</si>
  <si>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</si>
  <si>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</si>
  <si>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</si>
  <si>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</si>
  <si>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</si>
  <si>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</si>
  <si>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</si>
  <si>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</si>
  <si>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</si>
  <si>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</si>
  <si>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</si>
  <si>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</si>
  <si>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</si>
  <si>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</si>
  <si>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</si>
  <si>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</si>
  <si>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</si>
  <si>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</si>
  <si>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</si>
  <si>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</si>
  <si>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</si>
  <si>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</si>
  <si>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</si>
  <si>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</si>
  <si>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</si>
  <si>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</si>
  <si>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</si>
  <si>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</si>
  <si>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</si>
  <si>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</si>
  <si>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</si>
  <si>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</si>
  <si>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</si>
  <si>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</si>
  <si>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</si>
  <si>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</si>
  <si>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</si>
  <si>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</si>
  <si>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</si>
  <si>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</si>
  <si>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</si>
  <si>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</si>
  <si>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</si>
  <si>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</si>
  <si>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</si>
  <si>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</si>
  <si>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</si>
  <si>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</si>
  <si>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</si>
  <si>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</si>
  <si>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</si>
  <si>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</si>
  <si>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</si>
  <si>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</si>
  <si>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</si>
  <si>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</si>
  <si>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</si>
  <si>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</si>
  <si>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</si>
  <si>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</si>
  <si>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</si>
  <si>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</si>
  <si>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</si>
  <si>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</si>
  <si>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</si>
  <si>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</si>
  <si>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</si>
  <si>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</si>
  <si>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</si>
  <si>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</si>
  <si>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</si>
  <si>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</si>
  <si>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</si>
  <si>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</si>
  <si>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</si>
  <si>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</si>
  <si>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</si>
  <si>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</si>
  <si>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</si>
  <si>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</si>
  <si>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</si>
  <si>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</si>
  <si>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</si>
  <si>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</si>
  <si>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</si>
  <si>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</si>
  <si>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</si>
  <si>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</si>
  <si>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</si>
  <si>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</si>
  <si>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</si>
  <si>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</si>
  <si>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</si>
  <si>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</si>
  <si>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</si>
  <si>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</si>
  <si>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</si>
  <si>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</si>
  <si>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</si>
  <si>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</si>
  <si>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</si>
  <si>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</si>
  <si>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</si>
  <si>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</si>
  <si>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</si>
  <si>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</si>
  <si>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</si>
  <si>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</si>
  <si>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</si>
  <si>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</si>
  <si>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</si>
  <si>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</si>
  <si>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</si>
  <si>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</si>
  <si>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</si>
  <si>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</si>
  <si>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</si>
  <si>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</si>
  <si>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</si>
  <si>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</si>
  <si>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</si>
  <si>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</si>
  <si>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</si>
  <si>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</si>
  <si>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</si>
  <si>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</si>
  <si>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</si>
  <si>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</si>
  <si>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</si>
  <si>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</si>
  <si>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</si>
  <si>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</si>
  <si>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</si>
  <si>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</si>
  <si>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</si>
  <si>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</si>
  <si>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</si>
  <si>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</si>
  <si>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</si>
  <si>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</si>
  <si>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</si>
  <si>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</si>
  <si>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</si>
  <si>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</si>
  <si>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</si>
  <si>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</si>
  <si>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</si>
  <si>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</si>
  <si>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</si>
  <si>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</si>
  <si>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</si>
  <si>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</si>
  <si>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</si>
  <si>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</si>
  <si>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</si>
  <si>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</si>
  <si>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</si>
  <si>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</si>
  <si>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</si>
  <si>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</si>
  <si>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</si>
  <si>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</si>
  <si>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</si>
  <si>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</si>
  <si>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</si>
  <si>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</si>
  <si>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</si>
  <si>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</si>
  <si>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</si>
  <si>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</si>
  <si>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</si>
  <si>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</si>
  <si>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</si>
  <si>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</si>
  <si>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</si>
  <si>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</si>
  <si>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</si>
  <si>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</si>
  <si>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</si>
  <si>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</si>
  <si>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</si>
  <si>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</si>
  <si>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</si>
  <si>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</si>
  <si>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</si>
  <si>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</si>
  <si>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</si>
  <si>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</si>
  <si>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</si>
  <si>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</si>
  <si>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</si>
  <si>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</si>
  <si>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</si>
  <si>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</si>
  <si>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</si>
  <si>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</si>
  <si>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</si>
  <si>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</si>
  <si>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</si>
  <si>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</si>
  <si>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</si>
  <si>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</si>
  <si>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</si>
  <si>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</si>
  <si>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</si>
  <si>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</si>
  <si>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</si>
  <si>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</si>
  <si>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</si>
  <si>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</si>
  <si>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</si>
  <si>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</si>
  <si>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</si>
  <si>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</si>
  <si>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</si>
  <si>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</si>
  <si>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</si>
  <si>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</si>
  <si>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</si>
  <si>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</si>
  <si>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</si>
  <si>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</si>
  <si>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</si>
  <si>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</si>
  <si>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</si>
  <si>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</si>
  <si>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</si>
  <si>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</si>
  <si>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</si>
  <si>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</si>
  <si>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</si>
  <si>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</si>
  <si>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</si>
  <si>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</si>
  <si>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</si>
  <si>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</si>
  <si>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</si>
  <si>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</si>
  <si>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</si>
  <si>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</si>
  <si>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</si>
  <si>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</si>
  <si>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</si>
  <si>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</si>
  <si>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</si>
  <si>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</si>
  <si>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</si>
  <si>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</si>
  <si>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</si>
  <si>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</si>
  <si>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</si>
  <si>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</si>
  <si>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</si>
  <si>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</si>
  <si>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</si>
  <si>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</si>
  <si>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</si>
  <si>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</si>
  <si>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</si>
  <si>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</si>
  <si>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</si>
  <si>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</si>
  <si>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</si>
  <si>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</si>
  <si>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</si>
  <si>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</si>
  <si>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</si>
  <si>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</si>
  <si>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</si>
  <si>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</si>
  <si>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</si>
  <si>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</si>
  <si>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</si>
  <si>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</si>
  <si>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</si>
  <si>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</si>
  <si>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</si>
  <si>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</si>
  <si>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</si>
  <si>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</si>
  <si>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</si>
  <si>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</si>
  <si>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</si>
  <si>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</si>
  <si>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</si>
  <si>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</si>
  <si>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</si>
  <si>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</si>
  <si>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</si>
  <si>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</si>
  <si>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</si>
  <si>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</si>
  <si>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</si>
  <si>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</si>
  <si>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</si>
  <si>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</si>
  <si>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</si>
  <si>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</si>
  <si>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</si>
  <si>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</si>
  <si>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</si>
  <si>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</si>
  <si>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</si>
  <si>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</si>
  <si>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</si>
  <si>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</si>
  <si>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</si>
  <si>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</si>
  <si>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</si>
  <si>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</si>
  <si>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</si>
  <si>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</si>
  <si>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</si>
  <si>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</si>
  <si>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</si>
  <si>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</si>
  <si>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</si>
  <si>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</si>
  <si>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</si>
  <si>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</si>
  <si>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</si>
  <si>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</si>
  <si>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</si>
  <si>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</si>
  <si>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</si>
  <si>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</si>
  <si>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</si>
  <si>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</si>
  <si>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</si>
  <si>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</si>
  <si>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</si>
  <si>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</si>
  <si>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</si>
  <si>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</si>
  <si>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</si>
  <si>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</si>
  <si>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</si>
  <si>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</si>
  <si>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</si>
  <si>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</si>
  <si>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</si>
  <si>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</si>
  <si>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</si>
  <si>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</si>
  <si>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</si>
  <si>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</si>
  <si>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</si>
  <si>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</si>
  <si>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</si>
  <si>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</si>
  <si>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</si>
  <si>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</si>
  <si>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</si>
  <si>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</si>
  <si>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</si>
  <si>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</si>
  <si>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</si>
  <si>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</si>
  <si>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</si>
  <si>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</si>
  <si>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</si>
  <si>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</si>
  <si>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</si>
  <si>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</si>
  <si>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</si>
  <si>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</si>
  <si>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</si>
  <si>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</si>
  <si>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</si>
  <si>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</si>
  <si>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</si>
  <si>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</si>
  <si>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</si>
  <si>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</si>
  <si>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</si>
  <si>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</si>
  <si>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</si>
  <si>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</si>
  <si>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</si>
  <si>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</si>
  <si>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</si>
  <si>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</si>
  <si>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</si>
  <si>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</si>
  <si>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</si>
  <si>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</si>
  <si>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</si>
  <si>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</si>
  <si>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</si>
  <si>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</si>
  <si>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</si>
  <si>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</si>
  <si>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</si>
  <si>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</si>
  <si>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</si>
  <si>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</si>
  <si>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</si>
  <si>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</si>
  <si>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</si>
  <si>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</si>
  <si>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</si>
  <si>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</si>
  <si>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</si>
  <si>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</si>
  <si>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</si>
  <si>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</si>
  <si>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</si>
  <si>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</si>
  <si>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</si>
  <si>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</si>
  <si>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</si>
  <si>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</si>
  <si>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</si>
  <si>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</si>
  <si>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</si>
  <si>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</si>
  <si>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</si>
  <si>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</si>
  <si>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</si>
  <si>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</si>
  <si>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</si>
  <si>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</si>
  <si>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</si>
  <si>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</si>
  <si>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</si>
  <si>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</si>
  <si>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</si>
  <si>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</si>
  <si>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</si>
  <si>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</si>
  <si>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</si>
  <si>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</si>
  <si>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</si>
  <si>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</si>
  <si>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</si>
  <si>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</si>
  <si>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</si>
  <si>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</si>
  <si>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</si>
  <si>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</si>
  <si>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</si>
  <si>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</si>
  <si>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</si>
  <si>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</si>
  <si>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</si>
  <si>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</si>
  <si>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</si>
  <si>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</si>
  <si>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</si>
  <si>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</si>
  <si>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</si>
  <si>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</si>
  <si>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</si>
  <si>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</si>
  <si>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</si>
  <si>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</si>
  <si>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</si>
  <si>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</si>
  <si>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</si>
  <si>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</si>
  <si>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</si>
  <si>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</si>
  <si>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</si>
  <si>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</si>
  <si>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</si>
  <si>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</si>
  <si>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</si>
  <si>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</si>
  <si>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</si>
  <si>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</si>
  <si>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</si>
  <si>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</si>
  <si>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</si>
  <si>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</si>
  <si>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</si>
  <si>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</si>
  <si>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</si>
  <si>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</si>
  <si>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</si>
  <si>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</si>
  <si>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</si>
  <si>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</si>
  <si>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</si>
  <si>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</si>
  <si>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</si>
  <si>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</si>
  <si>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</si>
  <si>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</si>
  <si>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</si>
  <si>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</si>
  <si>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</si>
  <si>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</si>
  <si>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</si>
  <si>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</si>
  <si>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</si>
  <si>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</si>
  <si>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</si>
  <si>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</si>
  <si>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</si>
  <si>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</si>
  <si>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</si>
  <si>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</si>
  <si>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</si>
  <si>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</si>
  <si>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</si>
  <si>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</si>
  <si>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</si>
  <si>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</si>
  <si>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</si>
  <si>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</si>
  <si>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</si>
  <si>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</si>
  <si>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</si>
  <si>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</si>
  <si>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</si>
  <si>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</si>
  <si>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</si>
  <si>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</si>
  <si>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</si>
  <si>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</si>
  <si>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</si>
  <si>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</si>
  <si>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</si>
  <si>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</si>
  <si>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</si>
  <si>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</si>
  <si>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</si>
  <si>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</si>
  <si>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</si>
  <si>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</si>
  <si>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</si>
  <si>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</si>
  <si>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</si>
  <si>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</si>
  <si>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</si>
  <si>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</si>
  <si>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</si>
  <si>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</si>
  <si>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</si>
  <si>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</si>
  <si>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</si>
  <si>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</si>
  <si>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</si>
  <si>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</si>
  <si>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</si>
  <si>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</si>
  <si>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</si>
  <si>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</si>
  <si>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</si>
  <si>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</si>
  <si>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</si>
  <si>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</si>
  <si>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</si>
  <si>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</si>
  <si>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</si>
  <si>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</si>
  <si>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</si>
  <si>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</si>
  <si>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</si>
  <si>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</si>
  <si>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</si>
  <si>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</si>
  <si>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</si>
  <si>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</si>
  <si>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</si>
  <si>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</si>
  <si>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</si>
  <si>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</si>
  <si>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</si>
  <si>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</si>
  <si>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</si>
  <si>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</si>
  <si>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</si>
  <si>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</si>
  <si>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</si>
  <si>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</si>
  <si>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</si>
  <si>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</si>
  <si>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</si>
  <si>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</si>
  <si>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</si>
  <si>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</si>
  <si>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</si>
  <si>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</si>
  <si>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</si>
  <si>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</si>
  <si>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</si>
  <si>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</si>
  <si>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</si>
  <si>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</si>
  <si>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</si>
  <si>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</si>
  <si>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</si>
  <si>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</si>
  <si>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</si>
  <si>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</si>
  <si>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</si>
  <si>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</si>
  <si>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</si>
  <si>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</si>
  <si>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</si>
  <si>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</si>
  <si>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</si>
  <si>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</si>
  <si>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</si>
  <si>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</si>
  <si>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</si>
  <si>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</si>
  <si>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</si>
  <si>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</si>
  <si>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</si>
  <si>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</si>
  <si>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</si>
  <si>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</si>
  <si>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</si>
  <si>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</si>
  <si>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</si>
  <si>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</si>
  <si>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</si>
  <si>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</si>
  <si>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</si>
  <si>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</si>
  <si>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</si>
  <si>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</si>
  <si>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</si>
  <si>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</si>
  <si>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</si>
  <si>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</si>
  <si>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</si>
  <si>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</si>
  <si>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</si>
  <si>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</si>
  <si>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</si>
  <si>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</si>
  <si>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</si>
  <si>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</si>
  <si>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</si>
  <si>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</si>
  <si>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</si>
  <si>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</si>
  <si>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</si>
  <si>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</si>
  <si>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</si>
  <si>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</si>
  <si>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</si>
  <si>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</si>
  <si>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</si>
  <si>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</si>
  <si>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</si>
  <si>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</si>
  <si>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</si>
  <si>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</si>
  <si>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</si>
  <si>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</si>
  <si>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</si>
  <si>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</si>
  <si>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</si>
  <si>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</si>
  <si>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</si>
  <si>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</si>
  <si>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</si>
  <si>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</si>
  <si>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</si>
  <si>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</si>
  <si>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</si>
  <si>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</si>
  <si>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</si>
  <si>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</si>
  <si>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</si>
  <si>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</si>
  <si>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</si>
  <si>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</si>
  <si>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</si>
  <si>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</si>
  <si>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</si>
  <si>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</si>
  <si>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</si>
  <si>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</si>
  <si>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</si>
  <si>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</si>
  <si>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</si>
  <si>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</si>
  <si>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</si>
  <si>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</si>
  <si>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</si>
  <si>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</si>
  <si>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</si>
  <si>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</si>
  <si>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</si>
  <si>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</si>
  <si>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</si>
  <si>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</si>
  <si>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</si>
  <si>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</si>
  <si>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</si>
  <si>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</si>
  <si>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</si>
  <si>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</si>
  <si>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</si>
  <si>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</si>
  <si>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</si>
  <si>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</si>
  <si>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</si>
  <si>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</si>
  <si>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</si>
  <si>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</si>
  <si>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</si>
  <si>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</si>
  <si>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</si>
  <si>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</si>
  <si>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</si>
  <si>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</si>
  <si>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</si>
  <si>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</si>
  <si>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</si>
  <si>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</si>
  <si>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</si>
  <si>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</si>
  <si>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</si>
  <si>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</si>
  <si>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</si>
  <si>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</si>
  <si>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</si>
  <si>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</si>
  <si>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</si>
  <si>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</si>
  <si>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</si>
  <si>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</si>
  <si>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</si>
  <si>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</si>
  <si>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</si>
  <si>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</si>
  <si>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</si>
  <si>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</si>
  <si>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</si>
  <si>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</si>
  <si>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</si>
  <si>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</si>
  <si>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</si>
  <si>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</si>
  <si>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</si>
  <si>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</si>
  <si>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</si>
  <si>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</si>
  <si>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</si>
  <si>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</si>
  <si>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</si>
  <si>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</si>
  <si>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</si>
  <si>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</si>
  <si>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</si>
  <si>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</si>
  <si>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</si>
  <si>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</si>
  <si>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</si>
  <si>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</si>
  <si>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</si>
  <si>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</si>
  <si>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</si>
  <si>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</si>
  <si>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</si>
  <si>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</si>
  <si>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</si>
  <si>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</si>
  <si>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</si>
  <si>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</si>
  <si>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</si>
  <si>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</si>
  <si>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</si>
  <si>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</si>
  <si>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</si>
  <si>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</si>
  <si>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</si>
  <si>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</si>
  <si>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</si>
  <si>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</si>
  <si>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</si>
  <si>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</si>
  <si>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</si>
  <si>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</si>
  <si>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</si>
  <si>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</si>
  <si>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</si>
  <si>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</si>
  <si>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</si>
  <si>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</si>
  <si>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</si>
  <si>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</si>
  <si>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</si>
  <si>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</si>
  <si>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</si>
  <si>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</si>
  <si>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</si>
  <si>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</si>
  <si>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</si>
  <si>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</si>
  <si>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</si>
  <si>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</si>
  <si>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</si>
  <si>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</si>
  <si>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</si>
  <si>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</si>
  <si>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</si>
  <si>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</si>
  <si>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</si>
  <si>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</si>
  <si>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</si>
  <si>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</si>
  <si>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</si>
  <si>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</si>
  <si>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</si>
  <si>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</si>
  <si>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</si>
  <si>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</si>
  <si>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</si>
  <si>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</si>
  <si>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</si>
  <si>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</si>
  <si>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</si>
  <si>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</si>
  <si>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</si>
  <si>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</si>
  <si>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</si>
  <si>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</si>
  <si>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</si>
  <si>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</si>
  <si>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</si>
  <si>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</si>
  <si>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</si>
  <si>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</si>
  <si>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</si>
  <si>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</si>
  <si>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</si>
  <si>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</si>
  <si>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</si>
  <si>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</si>
  <si>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</si>
  <si>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</si>
  <si>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</si>
  <si>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</si>
  <si>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</si>
  <si>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</si>
  <si>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</si>
  <si>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</si>
  <si>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</si>
  <si>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</si>
  <si>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</si>
  <si>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</si>
  <si>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</si>
  <si>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</si>
  <si>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</si>
  <si>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</si>
  <si>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</si>
  <si>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</si>
  <si>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</si>
  <si>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</si>
  <si>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</si>
  <si>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</si>
  <si>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</si>
  <si>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</si>
  <si>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</si>
  <si>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</si>
  <si>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</si>
  <si>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</si>
  <si>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</si>
  <si>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</si>
  <si>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</si>
  <si>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</si>
  <si>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</si>
  <si>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</si>
  <si>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</si>
  <si>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</si>
  <si>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</si>
  <si>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</si>
  <si>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</si>
  <si>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</si>
  <si>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</si>
  <si>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</si>
  <si>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</si>
  <si>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</si>
  <si>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</si>
  <si>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</si>
  <si>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</si>
  <si>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</si>
  <si>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</si>
  <si>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</si>
  <si>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</si>
  <si>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</si>
  <si>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</si>
  <si>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</si>
  <si>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</si>
  <si>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</si>
  <si>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</si>
  <si>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</si>
  <si>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</si>
  <si>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</si>
  <si>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</si>
  <si>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</si>
  <si>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</si>
  <si>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</si>
  <si>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</si>
  <si>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</si>
  <si>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</si>
  <si>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</si>
  <si>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</si>
  <si>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</si>
  <si>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</si>
  <si>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</si>
  <si>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</si>
  <si>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</si>
  <si>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</si>
  <si>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</si>
  <si>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</si>
  <si>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</si>
  <si>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</si>
  <si>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</si>
  <si>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</si>
  <si>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</si>
  <si>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</si>
  <si>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</si>
  <si>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</si>
  <si>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</si>
  <si>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</si>
  <si>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</si>
  <si>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</si>
  <si>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</si>
  <si>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</si>
  <si>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</si>
  <si>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</si>
  <si>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</si>
  <si>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</si>
  <si>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</si>
  <si>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</si>
  <si>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</si>
  <si>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</si>
  <si>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</si>
  <si>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</si>
  <si>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</si>
  <si>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</si>
  <si>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</si>
  <si>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</si>
  <si>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</si>
  <si>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</si>
  <si>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</si>
  <si>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</si>
  <si>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</si>
  <si>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</si>
  <si>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</si>
  <si>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</si>
  <si>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</si>
  <si>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</si>
  <si>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</si>
  <si>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</si>
  <si>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</si>
  <si>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</si>
  <si>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</si>
  <si>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</si>
  <si>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</si>
  <si>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</si>
  <si>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</si>
  <si>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</si>
  <si>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</si>
  <si>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</si>
  <si>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</si>
  <si>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</si>
  <si>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</si>
  <si>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</si>
  <si>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</si>
  <si>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</si>
  <si>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</si>
  <si>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</si>
  <si>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</si>
  <si>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</si>
  <si>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</si>
  <si>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</si>
  <si>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</si>
  <si>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</si>
  <si>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</si>
  <si>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</si>
  <si>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</si>
  <si>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</si>
  <si>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</si>
  <si>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</si>
  <si>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</si>
  <si>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</si>
  <si>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</si>
  <si>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</si>
  <si>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</si>
  <si>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</si>
  <si>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</si>
  <si>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</si>
  <si>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</si>
  <si>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</si>
  <si>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</si>
  <si>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</si>
  <si>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</si>
  <si>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</si>
  <si>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</si>
  <si>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</si>
  <si>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</si>
  <si>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</si>
  <si>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</si>
  <si>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</si>
  <si>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</si>
  <si>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</si>
  <si>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</si>
  <si>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</si>
  <si>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</si>
  <si>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</si>
  <si>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</si>
  <si>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</si>
  <si>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</si>
  <si>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</si>
  <si>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</si>
  <si>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</si>
  <si>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</si>
  <si>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</si>
  <si>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</si>
  <si>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</si>
  <si>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</si>
  <si>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</si>
  <si>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</si>
  <si>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</si>
  <si>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</si>
  <si>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</si>
  <si>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</si>
  <si>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</si>
  <si>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</si>
  <si>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</si>
  <si>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</si>
  <si>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</si>
  <si>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</si>
  <si>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</si>
  <si>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</si>
  <si>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</si>
  <si>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</si>
  <si>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</si>
  <si>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</si>
  <si>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</si>
  <si>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</si>
  <si>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</si>
  <si>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</si>
  <si>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</si>
  <si>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</si>
  <si>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</si>
  <si>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</si>
  <si>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</si>
  <si>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</si>
  <si>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</si>
  <si>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</si>
  <si>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</si>
  <si>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</si>
  <si>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</si>
  <si>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</si>
  <si>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</si>
  <si>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</si>
  <si>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</si>
  <si>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</si>
  <si>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</si>
  <si>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</si>
  <si>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</si>
  <si>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</si>
  <si>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</si>
  <si>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</si>
  <si>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</si>
  <si>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</si>
  <si>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</si>
  <si>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</si>
  <si>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</si>
  <si>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</si>
  <si>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</si>
  <si>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</si>
  <si>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</si>
  <si>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</si>
  <si>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</si>
  <si>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</si>
  <si>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</si>
  <si>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</si>
  <si>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</si>
  <si>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</si>
  <si>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</si>
  <si>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</si>
  <si>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</si>
  <si>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</si>
  <si>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</si>
  <si>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</si>
  <si>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</si>
  <si>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</si>
  <si>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</si>
  <si>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</si>
  <si>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</si>
  <si>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</si>
  <si>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</si>
  <si>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</si>
  <si>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</si>
  <si>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</si>
  <si>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</si>
  <si>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</si>
  <si>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</si>
  <si>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</si>
  <si>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</si>
  <si>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</si>
  <si>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</si>
  <si>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</si>
  <si>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</si>
  <si>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</si>
  <si>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</si>
  <si>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</si>
  <si>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</si>
  <si>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</si>
  <si>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</si>
  <si>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</si>
  <si>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</si>
  <si>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</si>
  <si>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</si>
  <si>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</si>
  <si>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</si>
  <si>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</si>
  <si>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</si>
  <si>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</si>
  <si>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</si>
  <si>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</si>
  <si>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</si>
  <si>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</si>
  <si>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</si>
  <si>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</si>
  <si>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</si>
  <si>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</si>
  <si>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</si>
  <si>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</si>
  <si>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</si>
  <si>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</si>
  <si>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</si>
  <si>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</si>
  <si>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</si>
  <si>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</si>
  <si>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</si>
  <si>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</si>
  <si>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</si>
  <si>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</si>
  <si>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</si>
  <si>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</si>
  <si>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</si>
  <si>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</si>
  <si>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</si>
  <si>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</si>
  <si>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</si>
  <si>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</si>
  <si>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</si>
  <si>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</si>
  <si>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</si>
  <si>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</si>
  <si>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</si>
  <si>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</si>
  <si>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</si>
  <si>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</si>
  <si>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</si>
  <si>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</si>
  <si>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</si>
  <si>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</si>
  <si>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</si>
  <si>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</si>
  <si>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</si>
  <si>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</si>
  <si>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</si>
  <si>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</si>
  <si>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</si>
  <si>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</si>
  <si>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</si>
  <si>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</si>
  <si>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</si>
  <si>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</si>
  <si>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</si>
  <si>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</si>
  <si>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</si>
  <si>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</si>
  <si>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</si>
  <si>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</si>
  <si>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</si>
  <si>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</si>
  <si>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</si>
  <si>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</si>
  <si>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</si>
  <si>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</si>
  <si>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</si>
  <si>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</si>
  <si>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</si>
  <si>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</si>
  <si>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</si>
  <si>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</si>
  <si>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</si>
  <si>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</si>
  <si>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</si>
  <si>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</si>
  <si>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</si>
  <si>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</si>
  <si>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</si>
  <si>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</si>
  <si>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</si>
  <si>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</si>
  <si>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</si>
  <si>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</si>
  <si>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</si>
  <si>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</si>
  <si>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</si>
  <si>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</si>
  <si>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</si>
  <si>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</si>
  <si>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</si>
  <si>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</si>
  <si>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</si>
  <si>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</si>
  <si>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</si>
  <si>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</si>
  <si>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</si>
  <si>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</si>
  <si>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</si>
  <si>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</si>
  <si>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</si>
  <si>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</si>
  <si>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</si>
  <si>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</si>
  <si>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</si>
  <si>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</si>
  <si>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</si>
  <si>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</si>
  <si>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</si>
  <si>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</si>
  <si>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</si>
  <si>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</si>
  <si>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</si>
  <si>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</si>
  <si>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</si>
  <si>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</si>
  <si>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</si>
  <si>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</si>
  <si>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</si>
  <si>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</si>
  <si>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</si>
  <si>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</si>
  <si>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</si>
  <si>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</si>
  <si>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</si>
  <si>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</si>
  <si>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</si>
  <si>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</si>
  <si>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</si>
  <si>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</si>
  <si>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</si>
  <si>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</si>
  <si>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</si>
  <si>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</si>
  <si>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</si>
  <si>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</si>
  <si>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</si>
  <si>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</si>
  <si>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</si>
  <si>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</si>
  <si>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</si>
  <si>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</si>
  <si>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</si>
  <si>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</si>
  <si>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</si>
  <si>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</si>
  <si>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</si>
  <si>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</si>
  <si>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</si>
  <si>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</si>
  <si>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</si>
  <si>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</si>
  <si>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</si>
  <si>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</si>
  <si>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</si>
  <si>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</si>
  <si>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</si>
  <si>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</si>
  <si>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</si>
  <si>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</si>
  <si>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</si>
  <si>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</si>
  <si>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</si>
  <si>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</si>
  <si>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</si>
  <si>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</si>
  <si>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</si>
  <si>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</si>
  <si>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</si>
  <si>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</si>
  <si>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</si>
  <si>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</si>
  <si>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</si>
  <si>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</si>
  <si>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</si>
  <si>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</si>
  <si>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</si>
  <si>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</si>
  <si>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</si>
  <si>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</si>
  <si>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</si>
  <si>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</si>
  <si>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</si>
  <si>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</si>
  <si>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</si>
  <si>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</si>
  <si>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</si>
  <si>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</si>
  <si>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</si>
  <si>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</si>
  <si>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</si>
  <si>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</si>
  <si>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</si>
  <si>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</si>
  <si>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</si>
  <si>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</si>
  <si>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</si>
  <si>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</si>
  <si>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</si>
  <si>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</si>
  <si>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</si>
  <si>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</si>
  <si>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</si>
  <si>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</si>
  <si>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</si>
  <si>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</si>
  <si>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</si>
  <si>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</si>
  <si>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</si>
  <si>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</si>
  <si>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</si>
  <si>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</si>
  <si>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</si>
  <si>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</si>
  <si>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</si>
  <si>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</si>
  <si>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</si>
  <si>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</si>
  <si>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</si>
  <si>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</si>
  <si>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</si>
  <si>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</si>
  <si>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</si>
  <si>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</si>
  <si>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</si>
  <si>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</si>
  <si>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</si>
  <si>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</si>
  <si>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</si>
  <si>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</si>
  <si>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</si>
  <si>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</si>
  <si>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</si>
  <si>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</si>
  <si>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</si>
  <si>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</si>
  <si>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</si>
  <si>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</si>
  <si>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</si>
  <si>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</si>
  <si>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</si>
  <si>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</si>
  <si>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</si>
  <si>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</si>
  <si>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</si>
  <si>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</si>
  <si>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</si>
  <si>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</si>
  <si>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</si>
  <si>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</si>
  <si>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</si>
  <si>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</si>
  <si>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</si>
  <si>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</si>
  <si>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</si>
  <si>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</si>
  <si>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</si>
  <si>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</si>
  <si>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</si>
  <si>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</si>
  <si>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</si>
  <si>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</si>
  <si>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</si>
  <si>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</si>
  <si>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</si>
  <si>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</si>
  <si>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</si>
  <si>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</si>
  <si>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</si>
  <si>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</si>
  <si>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</si>
  <si>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</si>
  <si>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</si>
  <si>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</si>
  <si>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</si>
  <si>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</si>
  <si>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</si>
  <si>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</si>
  <si>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</si>
  <si>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</si>
  <si>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</si>
  <si>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</si>
  <si>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</si>
  <si>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</si>
  <si>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</si>
  <si>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</si>
  <si>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</si>
  <si>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</si>
  <si>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</si>
  <si>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</si>
  <si>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</si>
  <si>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</si>
  <si>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</si>
  <si>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</si>
  <si>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</si>
  <si>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</si>
  <si>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</si>
  <si>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</si>
  <si>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</si>
  <si>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</si>
  <si>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</si>
  <si>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</si>
  <si>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</si>
  <si>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</si>
  <si>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</si>
  <si>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</si>
  <si>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</si>
  <si>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</si>
  <si>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</si>
  <si>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</si>
  <si>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</si>
  <si>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</si>
  <si>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</si>
  <si>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</si>
  <si>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</si>
  <si>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</si>
  <si>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</si>
  <si>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</si>
  <si>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</si>
  <si>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</si>
  <si>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</si>
  <si>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</si>
  <si>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</si>
  <si>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</si>
  <si>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</si>
  <si>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</si>
  <si>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</si>
  <si>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</si>
  <si>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</si>
  <si>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</si>
  <si>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</si>
  <si>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</si>
  <si>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</si>
  <si>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</si>
  <si>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</si>
  <si>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</si>
  <si>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</si>
  <si>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</si>
  <si>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</si>
  <si>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</si>
  <si>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</si>
  <si>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</si>
  <si>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</si>
  <si>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</si>
  <si>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</si>
  <si>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</si>
  <si>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</si>
  <si>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</si>
  <si>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</si>
  <si>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</si>
  <si>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</si>
  <si>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</si>
  <si>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</si>
  <si>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</si>
  <si>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</si>
  <si>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</si>
  <si>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</si>
  <si>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</si>
  <si>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</si>
  <si>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</si>
  <si>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</si>
  <si>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</si>
  <si>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</si>
  <si>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</si>
  <si>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</si>
  <si>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</si>
  <si>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</si>
  <si>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</si>
  <si>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</si>
  <si>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</si>
  <si>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</si>
  <si>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</si>
  <si>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</si>
  <si>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</si>
  <si>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</si>
  <si>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</si>
  <si>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</si>
  <si>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</si>
  <si>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</si>
  <si>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</si>
  <si>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</si>
  <si>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</si>
  <si>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</si>
  <si>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</si>
  <si>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</si>
  <si>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</si>
  <si>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</si>
  <si>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</si>
  <si>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</si>
  <si>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</si>
  <si>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</si>
  <si>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</si>
  <si>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</si>
  <si>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</si>
  <si>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</si>
  <si>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</si>
  <si>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</si>
  <si>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</si>
  <si>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</si>
  <si>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</si>
  <si>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</si>
  <si>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</si>
  <si>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</si>
  <si>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</si>
  <si>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</si>
  <si>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</si>
  <si>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</si>
  <si>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</si>
  <si>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</si>
  <si>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</si>
  <si>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</si>
  <si>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</si>
  <si>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</si>
  <si>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</si>
  <si>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</si>
  <si>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</si>
  <si>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</si>
  <si>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</si>
  <si>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</si>
  <si>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</si>
  <si>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</si>
  <si>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</si>
  <si>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</si>
  <si>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</si>
  <si>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</si>
  <si>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</si>
  <si>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</si>
  <si>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</si>
  <si>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</si>
  <si>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</si>
  <si>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</si>
  <si>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</si>
  <si>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</si>
  <si>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</si>
  <si>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</si>
  <si>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</si>
  <si>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</si>
  <si>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</si>
  <si>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</si>
  <si>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</si>
  <si>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</si>
  <si>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</si>
  <si>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</si>
  <si>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</si>
  <si>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</si>
  <si>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</si>
  <si>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</si>
  <si>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</si>
  <si>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</si>
  <si>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</si>
  <si>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</si>
  <si>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</si>
  <si>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</si>
  <si>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</si>
  <si>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</si>
  <si>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</si>
  <si>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</si>
  <si>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</si>
  <si>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</si>
  <si>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</si>
  <si>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</si>
  <si>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</si>
  <si>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</si>
  <si>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</si>
  <si>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</si>
  <si>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</si>
  <si>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</si>
  <si>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</si>
  <si>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</si>
  <si>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</si>
  <si>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</si>
  <si>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</si>
  <si>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</si>
  <si>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</si>
  <si>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</si>
  <si>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</si>
  <si>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</si>
  <si>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</si>
  <si>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</si>
  <si>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</si>
  <si>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</si>
  <si>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</si>
  <si>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</si>
  <si>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</si>
  <si>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</si>
  <si>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</si>
  <si>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</si>
  <si>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</si>
  <si>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</si>
  <si>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</si>
  <si>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</si>
  <si>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</si>
  <si>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</si>
  <si>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</si>
  <si>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</si>
  <si>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</si>
  <si>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</si>
  <si>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</si>
  <si>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</si>
  <si>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</si>
  <si>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</si>
  <si>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</si>
  <si>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</si>
  <si>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</si>
  <si>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</si>
  <si>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</si>
  <si>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</si>
  <si>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</si>
  <si>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</si>
  <si>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</si>
  <si>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</si>
  <si>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</si>
  <si>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</si>
  <si>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</si>
  <si>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</si>
  <si>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</si>
  <si>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</si>
  <si>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</si>
  <si>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</si>
  <si>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</si>
  <si>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</si>
  <si>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</si>
  <si>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</si>
  <si>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</si>
  <si>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</si>
  <si>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</si>
  <si>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</si>
  <si>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</si>
  <si>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</si>
  <si>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</si>
  <si>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</si>
  <si>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</si>
  <si>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</si>
  <si>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</si>
  <si>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</si>
  <si>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</si>
  <si>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</si>
  <si>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</si>
  <si>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</si>
  <si>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</si>
  <si>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</si>
  <si>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</si>
  <si>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</si>
  <si>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</si>
  <si>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</si>
  <si>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</si>
  <si>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</si>
  <si>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</si>
  <si>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</si>
  <si>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</si>
  <si>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</si>
  <si>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</si>
  <si>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</si>
  <si>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</si>
  <si>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</si>
  <si>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</si>
  <si>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</si>
  <si>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</si>
  <si>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</si>
  <si>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</si>
  <si>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</si>
  <si>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</si>
  <si>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</si>
  <si>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</si>
  <si>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</si>
  <si>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</si>
  <si>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</si>
  <si>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</si>
  <si>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</si>
  <si>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</si>
  <si>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</si>
  <si>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</si>
  <si>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</si>
  <si>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</si>
  <si>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</si>
  <si>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</si>
  <si>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</si>
  <si>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</si>
  <si>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</si>
  <si>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</si>
  <si>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</si>
  <si>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</si>
  <si>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</si>
  <si>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</si>
  <si>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</si>
  <si>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</si>
  <si>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</si>
  <si>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</si>
  <si>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</si>
  <si>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</si>
  <si>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</si>
  <si>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</si>
  <si>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</si>
  <si>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</si>
  <si>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</si>
  <si>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</si>
  <si>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</si>
  <si>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</si>
  <si>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</si>
  <si>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</si>
  <si>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</si>
  <si>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</si>
  <si>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</si>
  <si>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r>
      <t>比较法</t>
    </r>
    <r>
      <rPr>
        <b/>
        <sz val="16"/>
        <color indexed="10"/>
        <rFont val="楷体_GB2312"/>
        <family val="3"/>
        <charset val="134"/>
      </rPr>
      <t/>
    </r>
    <phoneticPr fontId="4" type="noConversion"/>
  </si>
  <si>
    <t>表1：比较因素条件说明及指数表</t>
    <phoneticPr fontId="4" type="noConversion"/>
  </si>
  <si>
    <t>系数</t>
    <phoneticPr fontId="4" type="noConversion"/>
  </si>
  <si>
    <t>可比实例
比较因素</t>
    <phoneticPr fontId="4" type="noConversion"/>
  </si>
  <si>
    <t>系数</t>
    <phoneticPr fontId="4" type="noConversion"/>
  </si>
  <si>
    <t>100/</t>
    <phoneticPr fontId="4" type="noConversion"/>
  </si>
  <si>
    <t>交易情况</t>
    <phoneticPr fontId="4" type="noConversion"/>
  </si>
  <si>
    <t>权益状况</t>
    <phoneticPr fontId="4" type="noConversion"/>
  </si>
  <si>
    <t>商业</t>
    <phoneticPr fontId="4" type="noConversion"/>
  </si>
  <si>
    <t>权益状况</t>
    <phoneticPr fontId="4" type="noConversion"/>
  </si>
  <si>
    <t>土地使用年限</t>
    <phoneticPr fontId="4" type="noConversion"/>
  </si>
  <si>
    <t>其他权益状况修正</t>
    <phoneticPr fontId="4" type="noConversion"/>
  </si>
  <si>
    <t>区位状况</t>
    <phoneticPr fontId="4" type="noConversion"/>
  </si>
  <si>
    <t>交通便捷度</t>
    <phoneticPr fontId="4" type="noConversion"/>
  </si>
  <si>
    <t>公用服务设施完善度</t>
    <phoneticPr fontId="4" type="noConversion"/>
  </si>
  <si>
    <t>自然及人文环境</t>
    <phoneticPr fontId="4" type="noConversion"/>
  </si>
  <si>
    <t>临街道路级别</t>
    <phoneticPr fontId="4" type="noConversion"/>
  </si>
  <si>
    <t>人流量</t>
    <phoneticPr fontId="4" type="noConversion"/>
  </si>
  <si>
    <t>楼层</t>
    <phoneticPr fontId="4" type="noConversion"/>
  </si>
  <si>
    <t>特殊因素（需详细注明）</t>
    <phoneticPr fontId="4" type="noConversion"/>
  </si>
  <si>
    <t>实物状况</t>
    <phoneticPr fontId="4" type="noConversion"/>
  </si>
  <si>
    <t>物业类型</t>
    <phoneticPr fontId="4" type="noConversion"/>
  </si>
  <si>
    <t>房地产档次</t>
    <phoneticPr fontId="4" type="noConversion"/>
  </si>
  <si>
    <t>结构</t>
    <phoneticPr fontId="4" type="noConversion"/>
  </si>
  <si>
    <t>钢混</t>
  </si>
  <si>
    <t>精装修</t>
  </si>
  <si>
    <t>室内装修</t>
    <phoneticPr fontId="4" type="noConversion"/>
  </si>
  <si>
    <t>临街宽度</t>
    <phoneticPr fontId="4" type="noConversion"/>
  </si>
  <si>
    <t>100/</t>
    <phoneticPr fontId="4" type="noConversion"/>
  </si>
  <si>
    <t>100/</t>
    <phoneticPr fontId="4" type="noConversion"/>
  </si>
  <si>
    <t>100/</t>
    <phoneticPr fontId="4" type="noConversion"/>
  </si>
  <si>
    <t>表2：因素比较修正系数表</t>
    <phoneticPr fontId="4" type="noConversion"/>
  </si>
  <si>
    <t>估价对象及可比实例
比较因素</t>
    <phoneticPr fontId="4" type="noConversion"/>
  </si>
  <si>
    <t>估价对象</t>
    <phoneticPr fontId="4" type="noConversion"/>
  </si>
  <si>
    <t>交易时间</t>
    <phoneticPr fontId="4" type="noConversion"/>
  </si>
  <si>
    <r>
      <t>1</t>
    </r>
    <r>
      <rPr>
        <sz val="10"/>
        <rFont val="宋体"/>
        <family val="3"/>
        <charset val="134"/>
      </rPr>
      <t>00</t>
    </r>
    <phoneticPr fontId="4" type="noConversion"/>
  </si>
  <si>
    <t>交易时间</t>
    <phoneticPr fontId="4" type="noConversion"/>
  </si>
  <si>
    <t>100/</t>
    <phoneticPr fontId="4" type="noConversion"/>
  </si>
  <si>
    <t>交易时间</t>
    <phoneticPr fontId="4" type="noConversion"/>
  </si>
  <si>
    <t>正常</t>
    <phoneticPr fontId="4" type="noConversion"/>
  </si>
  <si>
    <t>20-30年</t>
    <phoneticPr fontId="4" type="noConversion"/>
  </si>
  <si>
    <t>10-20年</t>
    <phoneticPr fontId="4" type="noConversion"/>
  </si>
  <si>
    <t>地上容积率</t>
    <phoneticPr fontId="4" type="noConversion"/>
  </si>
  <si>
    <t>商业繁华度</t>
    <phoneticPr fontId="4" type="noConversion"/>
  </si>
  <si>
    <t>好</t>
    <phoneticPr fontId="4" type="noConversion"/>
  </si>
  <si>
    <t>较好</t>
    <phoneticPr fontId="4" type="noConversion"/>
  </si>
  <si>
    <t>临街状况</t>
    <phoneticPr fontId="4" type="noConversion"/>
  </si>
  <si>
    <t>城市次干道——西顶路</t>
    <phoneticPr fontId="4" type="noConversion"/>
  </si>
  <si>
    <t>城市次干道——泉宗路</t>
    <phoneticPr fontId="4" type="noConversion"/>
  </si>
  <si>
    <t>城市次干道——万泉庄路</t>
    <phoneticPr fontId="4" type="noConversion"/>
  </si>
  <si>
    <t>城市次干道——万柳东路</t>
    <phoneticPr fontId="4" type="noConversion"/>
  </si>
  <si>
    <t>较密集</t>
    <phoneticPr fontId="4" type="noConversion"/>
  </si>
  <si>
    <t>1</t>
    <phoneticPr fontId="4" type="noConversion"/>
  </si>
  <si>
    <t>楼宇经营业态</t>
    <phoneticPr fontId="4" type="noConversion"/>
  </si>
  <si>
    <t>钢混</t>
    <phoneticPr fontId="4" type="noConversion"/>
  </si>
  <si>
    <t>公共部分装修</t>
    <phoneticPr fontId="4" type="noConversion"/>
  </si>
  <si>
    <t>普通装修</t>
  </si>
  <si>
    <t>内部装修维护情况</t>
    <phoneticPr fontId="4" type="noConversion"/>
  </si>
  <si>
    <t>100</t>
    <phoneticPr fontId="4" type="noConversion"/>
  </si>
  <si>
    <t>基础设施</t>
    <phoneticPr fontId="4" type="noConversion"/>
  </si>
  <si>
    <t>六通</t>
    <phoneticPr fontId="4" type="noConversion"/>
  </si>
  <si>
    <t>七通</t>
    <phoneticPr fontId="4" type="noConversion"/>
  </si>
  <si>
    <t>物业管理</t>
    <phoneticPr fontId="4" type="noConversion"/>
  </si>
  <si>
    <t>普通物业公司</t>
    <phoneticPr fontId="4" type="noConversion"/>
  </si>
  <si>
    <t>普通物业公司</t>
  </si>
  <si>
    <t>100/</t>
    <phoneticPr fontId="4" type="noConversion"/>
  </si>
  <si>
    <t>赠送车位</t>
    <phoneticPr fontId="4" type="noConversion"/>
  </si>
  <si>
    <t>2个</t>
    <phoneticPr fontId="4" type="noConversion"/>
  </si>
  <si>
    <t>无</t>
    <phoneticPr fontId="4" type="noConversion"/>
  </si>
  <si>
    <t>成交单价（元/㎡）</t>
    <phoneticPr fontId="4" type="noConversion"/>
  </si>
  <si>
    <t>使用率</t>
    <phoneticPr fontId="4" type="noConversion"/>
  </si>
  <si>
    <t>比较价值（元/㎡）</t>
    <phoneticPr fontId="4" type="noConversion"/>
  </si>
  <si>
    <t>估价对象及案例位置图：</t>
    <phoneticPr fontId="4" type="noConversion"/>
  </si>
  <si>
    <t>楼面价格（元/㎡）</t>
    <phoneticPr fontId="4" type="noConversion"/>
  </si>
  <si>
    <t>房地产总价</t>
    <phoneticPr fontId="4" type="noConversion"/>
  </si>
  <si>
    <t>总修正幅度不超过30%</t>
    <phoneticPr fontId="4" type="noConversion"/>
  </si>
  <si>
    <t>各修正结果之间不超过20%</t>
    <phoneticPr fontId="4" type="noConversion"/>
  </si>
  <si>
    <t xml:space="preserve">  </t>
    <phoneticPr fontId="4" type="noConversion"/>
  </si>
  <si>
    <t>各案例间不超过30%</t>
    <phoneticPr fontId="4" type="noConversion"/>
  </si>
  <si>
    <t>收益法</t>
    <phoneticPr fontId="4" type="noConversion"/>
  </si>
  <si>
    <t>直线法成新度</t>
    <phoneticPr fontId="4" type="noConversion"/>
  </si>
  <si>
    <t>结构残值率（%）</t>
    <phoneticPr fontId="4" type="noConversion"/>
  </si>
  <si>
    <t>序号</t>
    <phoneticPr fontId="4" type="noConversion"/>
  </si>
  <si>
    <t>项目</t>
    <phoneticPr fontId="4" type="noConversion"/>
  </si>
  <si>
    <t>数额（元）</t>
    <phoneticPr fontId="4" type="noConversion"/>
  </si>
  <si>
    <t>计算公式</t>
    <phoneticPr fontId="4" type="noConversion"/>
  </si>
  <si>
    <t>收费标准</t>
    <phoneticPr fontId="4" type="noConversion"/>
  </si>
  <si>
    <t>已经使用年限（年）</t>
    <phoneticPr fontId="4" type="noConversion"/>
  </si>
  <si>
    <r>
      <t>1</t>
    </r>
    <r>
      <rPr>
        <sz val="10"/>
        <rFont val="宋体"/>
        <family val="3"/>
        <charset val="134"/>
      </rPr>
      <t>5</t>
    </r>
    <phoneticPr fontId="4" type="noConversion"/>
  </si>
  <si>
    <t>一</t>
    <phoneticPr fontId="4" type="noConversion"/>
  </si>
  <si>
    <t>房地产价值</t>
    <phoneticPr fontId="4" type="noConversion"/>
  </si>
  <si>
    <t>依据市场比较法得出</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</si>
  <si>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</si>
  <si>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</si>
  <si>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</si>
  <si>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</si>
  <si>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</si>
  <si>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</si>
  <si>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折扣率</t>
    <phoneticPr fontId="4" type="noConversion"/>
  </si>
  <si>
    <t>收益年期(n)</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</si>
  <si>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</si>
  <si>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</si>
  <si>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</si>
  <si>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</si>
  <si>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</si>
  <si>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</si>
  <si>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</si>
  <si>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</si>
  <si>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</si>
  <si>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</si>
  <si>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</si>
  <si>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</si>
  <si>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</si>
  <si>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</si>
  <si>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</si>
  <si>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</si>
  <si>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</si>
  <si>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</si>
  <si>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</si>
  <si>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完好</t>
    <phoneticPr fontId="4" type="noConversion"/>
  </si>
  <si>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</si>
  <si>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</si>
  <si>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</si>
  <si>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</si>
  <si>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</si>
  <si>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</si>
  <si>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权重</t>
    <phoneticPr fontId="4" type="noConversion"/>
  </si>
  <si>
    <t>折扣率</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</si>
  <si>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</si>
  <si>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</si>
  <si>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</si>
  <si>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</si>
  <si>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</si>
  <si>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</si>
  <si>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</si>
  <si>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</si>
  <si>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</si>
  <si>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</si>
  <si>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</si>
  <si>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</si>
  <si>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</si>
  <si>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3</t>
    <phoneticPr fontId="4" type="noConversion"/>
  </si>
  <si>
    <t>销售费用</t>
    <phoneticPr fontId="4" type="noConversion"/>
  </si>
  <si>
    <t>V×费率</t>
    <phoneticPr fontId="4" type="noConversion"/>
  </si>
  <si>
    <t>4</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</si>
  <si>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</si>
  <si>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</si>
  <si>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</si>
  <si>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</si>
  <si>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</si>
  <si>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</si>
  <si>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</si>
  <si>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</si>
  <si>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</si>
  <si>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</si>
  <si>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</si>
  <si>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</si>
  <si>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</si>
  <si>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</si>
  <si>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5</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</si>
  <si>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</si>
  <si>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</si>
  <si>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</si>
  <si>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</si>
  <si>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</si>
  <si>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</si>
  <si>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</si>
  <si>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</si>
  <si>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</si>
  <si>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6</t>
    <phoneticPr fontId="4" type="noConversion"/>
  </si>
  <si>
    <t>销售税费</t>
    <phoneticPr fontId="4" type="noConversion"/>
  </si>
  <si>
    <t>V</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</si>
  <si>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</si>
  <si>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</si>
  <si>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</si>
  <si>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</si>
  <si>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</si>
  <si>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</si>
  <si>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</si>
  <si>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</si>
  <si>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1</t>
    <phoneticPr fontId="4" type="noConversion"/>
  </si>
  <si>
    <t>税  费</t>
  </si>
  <si>
    <t>X×</t>
    <phoneticPr fontId="4" type="noConversion"/>
  </si>
  <si>
    <t>年总收益×税率</t>
    <phoneticPr fontId="4" type="noConversion"/>
  </si>
  <si>
    <t>维修费</t>
    <phoneticPr fontId="4" type="noConversion"/>
  </si>
  <si>
    <t>V×维修费率</t>
    <phoneticPr fontId="4" type="noConversion"/>
  </si>
  <si>
    <t>保险费</t>
  </si>
  <si>
    <t>建筑物现值×保险费率</t>
    <phoneticPr fontId="4" type="noConversion"/>
  </si>
  <si>
    <t>管理费用</t>
  </si>
  <si>
    <t>X×</t>
    <phoneticPr fontId="4" type="noConversion"/>
  </si>
  <si>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</si>
  <si>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</si>
  <si>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</si>
  <si>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</si>
  <si>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</si>
  <si>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</si>
  <si>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r>
      <t>市场租金（元/</t>
    </r>
    <r>
      <rPr>
        <sz val="10"/>
        <color indexed="10"/>
        <rFont val="仿宋_GB2312"/>
        <family val="3"/>
        <charset val="134"/>
      </rPr>
      <t>建筑</t>
    </r>
    <r>
      <rPr>
        <sz val="10"/>
        <color indexed="8"/>
        <rFont val="仿宋_GB2312"/>
        <family val="3"/>
        <charset val="134"/>
      </rPr>
      <t>㎡·天）</t>
    </r>
    <phoneticPr fontId="4" type="noConversion"/>
  </si>
  <si>
    <t>未来第一年年总收益租金÷天数÷面积指标÷出租率</t>
    <phoneticPr fontId="4" type="noConversion"/>
  </si>
  <si>
    <t>天数（天）</t>
    <phoneticPr fontId="4" type="noConversion"/>
  </si>
  <si>
    <t>出租率（%）</t>
    <phoneticPr fontId="4" type="noConversion"/>
  </si>
  <si>
    <t>估价方法</t>
  </si>
  <si>
    <t>租金（元/㎡·天）</t>
    <phoneticPr fontId="4" type="noConversion"/>
  </si>
  <si>
    <t>比较法</t>
    <phoneticPr fontId="4" type="noConversion"/>
  </si>
  <si>
    <t>收益法</t>
  </si>
  <si>
    <t>权重单价</t>
    <phoneticPr fontId="4" type="noConversion"/>
  </si>
  <si>
    <t>市场租金水平</t>
    <phoneticPr fontId="4" type="noConversion"/>
  </si>
  <si>
    <t>~</t>
    <phoneticPr fontId="4" type="noConversion"/>
  </si>
  <si>
    <t>拟签净租金</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</si>
  <si>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</si>
  <si>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</si>
  <si>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</si>
  <si>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</si>
  <si>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</si>
  <si>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估价对象</t>
  </si>
  <si>
    <t>建筑面积（㎡）</t>
    <phoneticPr fontId="4" type="noConversion"/>
  </si>
  <si>
    <t>北京市</t>
  </si>
  <si>
    <t>叶凌</t>
  </si>
  <si>
    <t>陈颖</t>
  </si>
  <si>
    <t>房地产市场价值</t>
  </si>
  <si>
    <t>核定资产</t>
  </si>
  <si>
    <t>企业</t>
  </si>
  <si>
    <t>与房产证证载一致</t>
  </si>
  <si>
    <t>商业</t>
  </si>
  <si>
    <t>元</t>
  </si>
  <si>
    <t>楼面单价</t>
  </si>
  <si>
    <t>商业</t>
    <phoneticPr fontId="25" type="noConversion"/>
  </si>
  <si>
    <t>20-30（含）</t>
  </si>
  <si>
    <t>估价对象所在区域公共配套设施齐备</t>
    <phoneticPr fontId="35" type="noConversion"/>
  </si>
  <si>
    <t>七通</t>
  </si>
  <si>
    <t>单面临街</t>
  </si>
  <si>
    <t>单面临街</t>
    <phoneticPr fontId="25" type="noConversion"/>
  </si>
  <si>
    <t>多面临街</t>
    <phoneticPr fontId="25" type="noConversion"/>
  </si>
  <si>
    <t>较好</t>
    <phoneticPr fontId="25" type="noConversion"/>
  </si>
  <si>
    <t>好</t>
    <phoneticPr fontId="25" type="noConversion"/>
  </si>
  <si>
    <t>一般</t>
    <phoneticPr fontId="25" type="noConversion"/>
  </si>
  <si>
    <r>
      <t>1</t>
    </r>
    <r>
      <rPr>
        <sz val="11"/>
        <color indexed="8"/>
        <rFont val="宋体"/>
        <family val="3"/>
        <charset val="134"/>
      </rPr>
      <t>层</t>
    </r>
    <phoneticPr fontId="25" type="noConversion"/>
  </si>
  <si>
    <t>购物中心</t>
  </si>
  <si>
    <t>购物中心</t>
    <phoneticPr fontId="25" type="noConversion"/>
  </si>
  <si>
    <t>钢混</t>
    <phoneticPr fontId="25" type="noConversion"/>
  </si>
  <si>
    <t>精装修</t>
    <phoneticPr fontId="25" type="noConversion"/>
  </si>
  <si>
    <t>普通装修</t>
    <phoneticPr fontId="25" type="noConversion"/>
  </si>
  <si>
    <t>正常层高</t>
  </si>
  <si>
    <t>楼层</t>
  </si>
  <si>
    <t>所在楼层</t>
    <phoneticPr fontId="25" type="noConversion"/>
  </si>
  <si>
    <t>是否可做餐饮</t>
    <phoneticPr fontId="25" type="noConversion"/>
  </si>
  <si>
    <t>已经使用年限（年）</t>
    <phoneticPr fontId="4" type="noConversion"/>
  </si>
  <si>
    <t>经济耐用年限（年）</t>
    <phoneticPr fontId="4" type="noConversion"/>
  </si>
  <si>
    <t>60</t>
    <phoneticPr fontId="4" type="noConversion"/>
  </si>
  <si>
    <t>综合观察法成新度</t>
    <phoneticPr fontId="4" type="noConversion"/>
  </si>
  <si>
    <t>项目名称</t>
  </si>
  <si>
    <t>标准分</t>
    <phoneticPr fontId="4" type="noConversion"/>
  </si>
  <si>
    <t>基本情况</t>
    <phoneticPr fontId="4" type="noConversion"/>
  </si>
  <si>
    <t>基本完好</t>
    <phoneticPr fontId="4" type="noConversion"/>
  </si>
  <si>
    <t>设备及装饰</t>
    <phoneticPr fontId="4" type="noConversion"/>
  </si>
  <si>
    <t>权重</t>
    <phoneticPr fontId="4" type="noConversion"/>
  </si>
  <si>
    <t>商务金融用地（商业类）</t>
  </si>
  <si>
    <t>无</t>
  </si>
  <si>
    <t>与级别开发程度一致</t>
  </si>
  <si>
    <t>楼层修正</t>
  </si>
  <si>
    <t>正常</t>
  </si>
  <si>
    <r>
      <t>1</t>
    </r>
    <r>
      <rPr>
        <sz val="11"/>
        <rFont val="宋体"/>
        <family val="3"/>
        <charset val="134"/>
      </rPr>
      <t>层</t>
    </r>
    <phoneticPr fontId="25" type="noConversion"/>
  </si>
  <si>
    <t>多面临街</t>
    <phoneticPr fontId="25" type="noConversion"/>
  </si>
  <si>
    <t>单面临街</t>
    <phoneticPr fontId="25" type="noConversion"/>
  </si>
  <si>
    <r>
      <t>1</t>
    </r>
    <r>
      <rPr>
        <sz val="11"/>
        <rFont val="宋体"/>
        <family val="3"/>
        <charset val="134"/>
      </rPr>
      <t>层</t>
    </r>
    <phoneticPr fontId="146" type="noConversion"/>
  </si>
  <si>
    <t>写字楼配套</t>
  </si>
  <si>
    <r>
      <t>7m</t>
    </r>
    <r>
      <rPr>
        <sz val="11"/>
        <color indexed="8"/>
        <rFont val="宋体"/>
        <family val="3"/>
        <charset val="134"/>
      </rPr>
      <t>（可分割</t>
    </r>
    <r>
      <rPr>
        <sz val="11"/>
        <color indexed="8"/>
        <rFont val="Arial"/>
        <family val="2"/>
      </rPr>
      <t>2</t>
    </r>
    <r>
      <rPr>
        <sz val="11"/>
        <color indexed="8"/>
        <rFont val="宋体"/>
        <family val="3"/>
        <charset val="134"/>
      </rPr>
      <t>层）</t>
    </r>
    <phoneticPr fontId="146" type="noConversion"/>
  </si>
  <si>
    <t>建国门外大街1号</t>
    <phoneticPr fontId="4" type="noConversion"/>
  </si>
  <si>
    <t>30-40（含）</t>
  </si>
  <si>
    <t>7m（可分割2层）</t>
  </si>
  <si>
    <r>
      <rPr>
        <b/>
        <sz val="11"/>
        <rFont val="宋体"/>
        <family val="3"/>
        <charset val="134"/>
      </rPr>
      <t>估价对象</t>
    </r>
    <r>
      <rPr>
        <b/>
        <sz val="11"/>
        <color indexed="10"/>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</si>
  <si>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商业街名称</t>
  </si>
  <si>
    <t>未包含在土地购买价格中</t>
  </si>
  <si>
    <t>已包含在土地取得成本中</t>
  </si>
  <si>
    <t>正常层高</t>
    <phoneticPr fontId="25" type="noConversion"/>
  </si>
  <si>
    <t>10-20（含）</t>
  </si>
  <si>
    <t>购物中心</t>
    <phoneticPr fontId="25" type="noConversion"/>
  </si>
  <si>
    <t>实例A</t>
    <phoneticPr fontId="4" type="noConversion"/>
  </si>
  <si>
    <t>实例B</t>
    <phoneticPr fontId="4" type="noConversion"/>
  </si>
  <si>
    <t>实例C</t>
    <phoneticPr fontId="4" type="noConversion"/>
  </si>
  <si>
    <t>实际用途</t>
    <phoneticPr fontId="4" type="noConversion"/>
  </si>
  <si>
    <t>单面临街</t>
    <phoneticPr fontId="146" type="noConversion"/>
  </si>
  <si>
    <t>成新度</t>
    <phoneticPr fontId="4" type="noConversion"/>
  </si>
  <si>
    <t>420</t>
    <phoneticPr fontId="4" type="noConversion"/>
  </si>
  <si>
    <t>1层</t>
  </si>
  <si>
    <t>1层</t>
    <phoneticPr fontId="4" type="noConversion"/>
  </si>
  <si>
    <t>基础设施水平</t>
    <phoneticPr fontId="4" type="noConversion"/>
  </si>
  <si>
    <t>七通</t>
    <phoneticPr fontId="146" type="noConversion"/>
  </si>
  <si>
    <t>层高</t>
    <phoneticPr fontId="4" type="noConversion"/>
  </si>
  <si>
    <t>估价对象1（结果表）</t>
  </si>
  <si>
    <t>北京市朝阳区常惠路6号</t>
  </si>
  <si>
    <t>有租约不采用</t>
  </si>
  <si>
    <t>估价对象位于定福庄商圈，周边商业氛围成熟，人流量大，商业繁华度好</t>
    <phoneticPr fontId="20" type="noConversion"/>
  </si>
  <si>
    <t>估价对象周边公共交通包括：488路、499路、517路等公交线路，1公里以内有地铁6号线常营地铁站。综合评价交通便捷度好</t>
  </si>
  <si>
    <t>区域自然环境：常营公园、五里桥公园；人文环境：北京科技大学（管庄校区）、北京政法职业学院；综合评价环境状况好</t>
  </si>
  <si>
    <t>城市主干道—常通路</t>
  </si>
  <si>
    <t>案例A</t>
    <phoneticPr fontId="146" type="noConversion"/>
  </si>
  <si>
    <t>福第V中心</t>
  </si>
  <si>
    <t>道路级别</t>
    <phoneticPr fontId="25" type="noConversion"/>
  </si>
  <si>
    <r>
      <rPr>
        <sz val="11"/>
        <color indexed="8"/>
        <rFont val="宋体"/>
        <family val="3"/>
        <charset val="134"/>
      </rPr>
      <t>城市主干道</t>
    </r>
    <r>
      <rPr>
        <sz val="11"/>
        <color indexed="8"/>
        <rFont val="Arial"/>
        <family val="2"/>
      </rPr>
      <t>—</t>
    </r>
    <r>
      <rPr>
        <sz val="11"/>
        <color indexed="8"/>
        <rFont val="宋体"/>
        <family val="3"/>
        <charset val="134"/>
      </rPr>
      <t>朝阳北路</t>
    </r>
  </si>
  <si>
    <r>
      <t>1-2</t>
    </r>
    <r>
      <rPr>
        <sz val="11"/>
        <rFont val="宋体"/>
        <family val="3"/>
        <charset val="134"/>
      </rPr>
      <t>层</t>
    </r>
    <phoneticPr fontId="25" type="noConversion"/>
  </si>
  <si>
    <r>
      <t>1</t>
    </r>
    <r>
      <rPr>
        <sz val="11"/>
        <color indexed="8"/>
        <rFont val="Arial"/>
        <family val="2"/>
      </rPr>
      <t>-2</t>
    </r>
    <r>
      <rPr>
        <sz val="11"/>
        <color indexed="8"/>
        <rFont val="宋体"/>
        <family val="3"/>
        <charset val="134"/>
      </rPr>
      <t>层</t>
    </r>
  </si>
  <si>
    <r>
      <t>1</t>
    </r>
    <r>
      <rPr>
        <sz val="11"/>
        <color indexed="8"/>
        <rFont val="宋体"/>
        <family val="3"/>
        <charset val="134"/>
      </rPr>
      <t>层</t>
    </r>
  </si>
  <si>
    <t>社区底商</t>
  </si>
  <si>
    <t>五通</t>
  </si>
  <si>
    <t>五通</t>
    <phoneticPr fontId="25" type="noConversion"/>
  </si>
  <si>
    <t>普通装修</t>
    <phoneticPr fontId="25" type="noConversion"/>
  </si>
  <si>
    <t>建成年代</t>
    <phoneticPr fontId="25" type="noConversion"/>
  </si>
  <si>
    <t>否</t>
    <phoneticPr fontId="25" type="noConversion"/>
  </si>
  <si>
    <t>是</t>
    <phoneticPr fontId="25" type="noConversion"/>
  </si>
  <si>
    <t>展示面宽</t>
    <phoneticPr fontId="25" type="noConversion"/>
  </si>
  <si>
    <r>
      <t>1</t>
    </r>
    <r>
      <rPr>
        <sz val="11"/>
        <color indexed="8"/>
        <rFont val="宋体"/>
        <family val="3"/>
        <charset val="134"/>
      </rPr>
      <t>0米以上</t>
    </r>
  </si>
  <si>
    <r>
      <rPr>
        <sz val="11"/>
        <color indexed="8"/>
        <rFont val="Arial"/>
        <family val="2"/>
      </rPr>
      <t>1</t>
    </r>
    <r>
      <rPr>
        <sz val="11"/>
        <color indexed="8"/>
        <rFont val="Arial"/>
        <family val="2"/>
      </rPr>
      <t>0</t>
    </r>
    <r>
      <rPr>
        <sz val="11"/>
        <color indexed="8"/>
        <rFont val="宋体"/>
        <family val="3"/>
        <charset val="134"/>
      </rPr>
      <t>米及以下</t>
    </r>
  </si>
  <si>
    <t>售价</t>
  </si>
  <si>
    <t>比较法-商业</t>
  </si>
  <si>
    <t>案例B</t>
    <phoneticPr fontId="146" type="noConversion"/>
  </si>
  <si>
    <t>案例C</t>
    <phoneticPr fontId="146" type="noConversion"/>
  </si>
  <si>
    <t>龙湖长楹天街</t>
    <phoneticPr fontId="4" type="noConversion"/>
  </si>
  <si>
    <t>富力阳光美园</t>
    <phoneticPr fontId="4" type="noConversion"/>
  </si>
  <si>
    <t>城市主干道—朝阳北路</t>
    <phoneticPr fontId="146" type="noConversion"/>
  </si>
  <si>
    <t>城市主干道—高安屯路</t>
    <phoneticPr fontId="146" type="noConversion"/>
  </si>
  <si>
    <r>
      <t>1-2</t>
    </r>
    <r>
      <rPr>
        <sz val="11"/>
        <rFont val="宋体"/>
        <family val="3"/>
        <charset val="134"/>
      </rPr>
      <t>层</t>
    </r>
    <phoneticPr fontId="146" type="noConversion"/>
  </si>
  <si>
    <r>
      <t>1-2</t>
    </r>
    <r>
      <rPr>
        <sz val="11"/>
        <color indexed="8"/>
        <rFont val="宋体"/>
        <family val="3"/>
        <charset val="134"/>
      </rPr>
      <t>层</t>
    </r>
    <phoneticPr fontId="146" type="noConversion"/>
  </si>
  <si>
    <r>
      <t>1</t>
    </r>
    <r>
      <rPr>
        <sz val="11"/>
        <color indexed="8"/>
        <rFont val="宋体"/>
        <family val="3"/>
        <charset val="134"/>
      </rPr>
      <t>层</t>
    </r>
    <phoneticPr fontId="146" type="noConversion"/>
  </si>
  <si>
    <t>七通</t>
    <phoneticPr fontId="25" type="noConversion"/>
  </si>
  <si>
    <t>五通</t>
    <phoneticPr fontId="146" type="noConversion"/>
  </si>
  <si>
    <t>正常层高</t>
    <phoneticPr fontId="146" type="noConversion"/>
  </si>
  <si>
    <t>是</t>
    <phoneticPr fontId="146" type="noConversion"/>
  </si>
  <si>
    <t>否</t>
    <phoneticPr fontId="146" type="noConversion"/>
  </si>
  <si>
    <t>建成年代</t>
    <phoneticPr fontId="146" type="noConversion"/>
  </si>
  <si>
    <t>10米及以下</t>
    <phoneticPr fontId="146" type="noConversion"/>
  </si>
  <si>
    <t>北京市朝阳区常惠路6号楼110及208号</t>
    <phoneticPr fontId="7" type="noConversion"/>
  </si>
  <si>
    <t>商业</t>
    <phoneticPr fontId="7" type="noConversion"/>
  </si>
  <si>
    <t>案例B</t>
    <phoneticPr fontId="146" type="noConversion"/>
  </si>
  <si>
    <t>案例C</t>
    <phoneticPr fontId="146" type="noConversion"/>
  </si>
  <si>
    <t>陆港城</t>
    <phoneticPr fontId="25" type="noConversion"/>
  </si>
  <si>
    <t>陆港城</t>
    <phoneticPr fontId="25" type="noConversion"/>
  </si>
  <si>
    <t>龙湖长楹天街</t>
    <phoneticPr fontId="25" type="noConversion"/>
  </si>
  <si>
    <t>多面临街</t>
  </si>
  <si>
    <r>
      <rPr>
        <sz val="11"/>
        <color indexed="8"/>
        <rFont val="宋体"/>
        <family val="3"/>
        <charset val="134"/>
      </rPr>
      <t>城市主干道</t>
    </r>
    <r>
      <rPr>
        <sz val="11"/>
        <color indexed="8"/>
        <rFont val="Arial"/>
        <family val="2"/>
      </rPr>
      <t>—</t>
    </r>
    <r>
      <rPr>
        <sz val="11"/>
        <color indexed="8"/>
        <rFont val="宋体"/>
        <family val="3"/>
        <charset val="134"/>
      </rPr>
      <t>朝阳北路</t>
    </r>
    <phoneticPr fontId="25" type="noConversion"/>
  </si>
  <si>
    <t>城市主干道—朝阳北路</t>
    <phoneticPr fontId="25" type="noConversion"/>
  </si>
  <si>
    <t>办公商业综合体</t>
  </si>
  <si>
    <t>办公商业综合体</t>
    <phoneticPr fontId="25" type="noConversion"/>
  </si>
  <si>
    <t>办公商业综合体</t>
    <phoneticPr fontId="25" type="noConversion"/>
  </si>
  <si>
    <t>社区底商</t>
    <phoneticPr fontId="146" type="noConversion"/>
  </si>
  <si>
    <t>普通装修</t>
    <phoneticPr fontId="146" type="noConversion"/>
  </si>
  <si>
    <t>6</t>
    <phoneticPr fontId="4" type="noConversion"/>
  </si>
  <si>
    <r>
      <t>估价对象</t>
    </r>
    <r>
      <rPr>
        <b/>
        <sz val="9"/>
        <rFont val="宋体"/>
        <family val="3"/>
        <charset val="134"/>
      </rPr>
      <t>结果一览表</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</si>
</sst>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14"/>
      <name val="宋体"/>
      <family val="3"/>
      <charset val="134"/>
      <scheme val="minor"/>
    </font>
    <font>
      <b/>
      <sz val="16"/>
      <color indexed="10"/>
      <name val="楷体_GB2312"/>
      <family val="3"/>
      <charset val="134"/>
    </font>
    <font>
      <b/>
      <sz val="10"/>
      <name val="宋体"/>
      <family val="3"/>
      <charset val="134"/>
      <scheme val="minor"/>
    </font>
    <font>
      <sz val="10"/>
      <name val="宋体"/>
      <family val="3"/>
      <charset val="134"/>
      <scheme val="minor"/>
    </font>
    <font>
      <sz val="10"/>
      <color theme="9" tint="-0.249977111117893"/>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name val="宋体"/>
      <family val="3"/>
      <charset val="134"/>
    </font>
    <font>
      <sz val="9"/>
      <color rgb="FFFF0000"/>
      <name val="宋体"/>
      <family val="3"/>
      <charset val="134"/>
      <scheme val="minor"/>
    </font>
    <font>
      <sz val="10"/>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5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48">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3" fillId="0" borderId="0"/>
  </cellStyleXfs>
  <cellXfs count="333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45" fillId="0" borderId="51" xfId="8" applyFont="1" applyFill="1" applyBorder="1" applyAlignment="1">
      <alignment horizontal="center" vertical="center" wrapText="1"/>
    </xf>
    <xf numFmtId="0" fontId="245" fillId="0" borderId="0" xfId="8" applyFont="1" applyFill="1" applyBorder="1" applyAlignment="1">
      <alignment horizontal="center" vertical="center" wrapText="1"/>
    </xf>
    <xf numFmtId="0" fontId="246" fillId="0" borderId="0" xfId="8" applyFont="1" applyFill="1" applyAlignment="1">
      <alignment horizontal="center" vertical="center" wrapText="1"/>
    </xf>
    <xf numFmtId="0" fontId="245" fillId="0" borderId="65" xfId="8" applyFont="1" applyFill="1" applyBorder="1" applyAlignment="1">
      <alignment horizontal="center" vertical="center" wrapText="1"/>
    </xf>
    <xf numFmtId="0" fontId="246" fillId="0" borderId="1" xfId="8" applyNumberFormat="1" applyFont="1" applyFill="1" applyBorder="1" applyAlignment="1">
      <alignment horizontal="center" vertical="center" wrapText="1"/>
    </xf>
    <xf numFmtId="188" fontId="246" fillId="0" borderId="2" xfId="8" applyNumberFormat="1" applyFont="1" applyFill="1" applyBorder="1" applyAlignment="1">
      <alignment horizontal="right" vertical="center" wrapText="1"/>
    </xf>
    <xf numFmtId="49" fontId="246" fillId="0" borderId="3" xfId="8" applyNumberFormat="1" applyFont="1" applyFill="1" applyBorder="1" applyAlignment="1">
      <alignment horizontal="left" vertical="center" wrapText="1"/>
    </xf>
    <xf numFmtId="0" fontId="246" fillId="0" borderId="1" xfId="8" applyFont="1" applyFill="1" applyBorder="1" applyAlignment="1">
      <alignment horizontal="left" vertical="center" wrapText="1"/>
    </xf>
    <xf numFmtId="0" fontId="246" fillId="0" borderId="0" xfId="8" applyFont="1" applyFill="1" applyAlignment="1">
      <alignment horizontal="left" vertical="center" wrapText="1"/>
    </xf>
    <xf numFmtId="9" fontId="246" fillId="0" borderId="0" xfId="8" applyNumberFormat="1" applyFont="1" applyFill="1" applyAlignment="1">
      <alignment horizontal="center" vertical="center" wrapText="1"/>
    </xf>
    <xf numFmtId="0" fontId="138" fillId="0" borderId="0" xfId="8" applyFont="1" applyAlignment="1" applyProtection="1">
      <alignment horizontal="left" vertical="center" wrapText="1"/>
    </xf>
    <xf numFmtId="0" fontId="138" fillId="0" borderId="0" xfId="8" applyFont="1" applyAlignment="1" applyProtection="1">
      <alignment horizontal="center" vertical="center" wrapText="1"/>
    </xf>
    <xf numFmtId="0" fontId="246" fillId="0" borderId="0" xfId="8" applyFont="1" applyFill="1" applyAlignment="1">
      <alignment horizontal="right" vertical="center" wrapText="1"/>
    </xf>
    <xf numFmtId="0" fontId="245" fillId="0" borderId="0" xfId="8" applyFont="1" applyFill="1" applyAlignment="1">
      <alignment horizontal="left" vertical="center" wrapText="1"/>
    </xf>
    <xf numFmtId="0" fontId="93" fillId="0" borderId="0" xfId="8" applyFont="1" applyBorder="1" applyAlignment="1">
      <alignment vertical="center"/>
    </xf>
    <xf numFmtId="0" fontId="246" fillId="0" borderId="1" xfId="8" applyNumberFormat="1" applyFont="1" applyBorder="1" applyAlignment="1">
      <alignment horizontal="left" vertical="center" wrapText="1" shrinkToFit="1"/>
    </xf>
    <xf numFmtId="9" fontId="248" fillId="0" borderId="1" xfId="8" applyNumberFormat="1" applyFont="1" applyBorder="1" applyAlignment="1">
      <alignment horizontal="center" vertical="center" wrapText="1" shrinkToFit="1"/>
    </xf>
    <xf numFmtId="0" fontId="93" fillId="0" borderId="0" xfId="8" applyAlignment="1"/>
    <xf numFmtId="0" fontId="93" fillId="0" borderId="0" xfId="8" applyFont="1" applyAlignment="1">
      <alignment vertical="center" wrapText="1"/>
    </xf>
    <xf numFmtId="49" fontId="111" fillId="0" borderId="1" xfId="8" applyNumberFormat="1" applyFont="1" applyFill="1" applyBorder="1" applyAlignment="1">
      <alignment horizontal="center" vertical="center" wrapText="1" shrinkToFit="1"/>
    </xf>
    <xf numFmtId="0" fontId="111" fillId="0" borderId="1" xfId="8" applyFont="1" applyFill="1" applyBorder="1" applyAlignment="1">
      <alignment vertical="center" wrapText="1" shrinkToFit="1"/>
    </xf>
    <xf numFmtId="0" fontId="111" fillId="0" borderId="1" xfId="8" applyFont="1" applyFill="1" applyBorder="1" applyAlignment="1">
      <alignment horizontal="center" vertical="center" wrapText="1" shrinkToFit="1"/>
    </xf>
    <xf numFmtId="49" fontId="246" fillId="0" borderId="1" xfId="8" applyNumberFormat="1" applyFont="1" applyBorder="1" applyAlignment="1">
      <alignment horizontal="center" vertical="center" wrapText="1" shrinkToFit="1"/>
    </xf>
    <xf numFmtId="0" fontId="108" fillId="0" borderId="0" xfId="8" applyFont="1" applyAlignment="1">
      <alignment wrapTex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179" fontId="111" fillId="0" borderId="1" xfId="8" applyNumberFormat="1" applyFont="1" applyBorder="1" applyAlignment="1">
      <alignment horizontal="center" vertical="center" wrapText="1" shrinkToFit="1"/>
    </xf>
    <xf numFmtId="0" fontId="108" fillId="0" borderId="0" xfId="8" applyFont="1" applyFill="1" applyAlignment="1">
      <alignment wrapText="1"/>
    </xf>
    <xf numFmtId="9" fontId="111" fillId="0" borderId="1" xfId="8" applyNumberFormat="1" applyFont="1" applyFill="1" applyBorder="1" applyAlignment="1">
      <alignment horizontal="left" vertical="center" wrapText="1" shrinkToFit="1"/>
    </xf>
    <xf numFmtId="181" fontId="77" fillId="0" borderId="1" xfId="8" applyNumberFormat="1" applyFont="1" applyFill="1" applyBorder="1" applyAlignment="1">
      <alignment horizontal="center" vertical="center" wrapText="1" shrinkToFit="1"/>
    </xf>
    <xf numFmtId="9" fontId="251" fillId="0" borderId="1" xfId="8" applyNumberFormat="1" applyFont="1" applyFill="1" applyBorder="1" applyAlignment="1">
      <alignment horizontal="center" vertical="center" wrapText="1"/>
    </xf>
    <xf numFmtId="179" fontId="77" fillId="0" borderId="1" xfId="8" applyNumberFormat="1" applyFont="1" applyFill="1" applyBorder="1" applyAlignment="1">
      <alignment horizontal="center" vertical="center" wrapText="1" shrinkToFit="1"/>
    </xf>
    <xf numFmtId="0" fontId="111" fillId="0" borderId="0" xfId="8" applyFont="1" applyFill="1" applyBorder="1" applyAlignment="1">
      <alignment horizontal="center" vertical="center"/>
    </xf>
    <xf numFmtId="9" fontId="252" fillId="18" borderId="1" xfId="8" applyNumberFormat="1" applyFont="1" applyFill="1" applyBorder="1" applyAlignment="1">
      <alignment horizontal="center" vertical="center" wrapText="1"/>
    </xf>
    <xf numFmtId="0" fontId="93" fillId="0" borderId="0" xfId="8" applyFont="1" applyAlignment="1">
      <alignment vertical="center" wrapText="1" shrinkToFit="1"/>
    </xf>
    <xf numFmtId="179" fontId="111" fillId="0" borderId="0" xfId="8" applyNumberFormat="1" applyFont="1" applyBorder="1" applyAlignment="1">
      <alignment horizontal="center" vertical="center"/>
    </xf>
    <xf numFmtId="0" fontId="108" fillId="0" borderId="1" xfId="8" applyNumberFormat="1" applyFont="1" applyBorder="1" applyAlignment="1">
      <alignment vertical="center" wrapText="1"/>
    </xf>
    <xf numFmtId="0" fontId="108" fillId="0" borderId="1" xfId="8" applyNumberFormat="1" applyFont="1" applyBorder="1" applyAlignment="1">
      <alignment horizontal="center" vertical="center" wrapText="1"/>
    </xf>
    <xf numFmtId="9" fontId="246" fillId="0" borderId="1" xfId="8" applyNumberFormat="1" applyFont="1" applyFill="1" applyBorder="1" applyAlignment="1">
      <alignment horizontal="center" vertical="center" wrapText="1"/>
    </xf>
    <xf numFmtId="9" fontId="108" fillId="0" borderId="1" xfId="8" applyNumberFormat="1" applyFont="1" applyBorder="1" applyAlignment="1">
      <alignment horizontal="center" vertical="center" wrapText="1"/>
    </xf>
    <xf numFmtId="179" fontId="253" fillId="0" borderId="0" xfId="8" applyNumberFormat="1" applyFont="1" applyAlignment="1">
      <alignment vertical="center"/>
    </xf>
    <xf numFmtId="10" fontId="108" fillId="0" borderId="1" xfId="8" applyNumberFormat="1" applyFont="1" applyBorder="1" applyAlignment="1">
      <alignment horizontal="center" vertical="center" wrapText="1"/>
    </xf>
    <xf numFmtId="9" fontId="108" fillId="18" borderId="1" xfId="8" applyNumberFormat="1" applyFont="1" applyFill="1" applyBorder="1" applyAlignment="1">
      <alignment horizontal="center" vertical="center" wrapText="1"/>
    </xf>
    <xf numFmtId="10" fontId="116" fillId="0" borderId="1" xfId="8" applyNumberFormat="1" applyFont="1" applyBorder="1" applyAlignment="1">
      <alignment horizontal="center" vertical="center" wrapText="1"/>
    </xf>
    <xf numFmtId="0" fontId="108" fillId="0" borderId="1" xfId="8" applyFont="1" applyBorder="1" applyAlignment="1">
      <alignment wrapText="1"/>
    </xf>
    <xf numFmtId="0" fontId="93" fillId="0" borderId="0" xfId="8" applyFont="1" applyAlignment="1">
      <alignment vertical="center"/>
    </xf>
    <xf numFmtId="0" fontId="138" fillId="0" borderId="0" xfId="1" applyFont="1" applyBorder="1" applyAlignment="1" applyProtection="1">
      <alignment horizontal="left" vertical="center"/>
      <protection hidden="1"/>
    </xf>
    <xf numFmtId="179" fontId="253" fillId="0" borderId="0" xfId="8" applyNumberFormat="1" applyFont="1" applyAlignment="1">
      <alignment vertical="center" wrapText="1" shrinkToFit="1"/>
    </xf>
    <xf numFmtId="181" fontId="111" fillId="0" borderId="0" xfId="8" applyNumberFormat="1" applyFont="1" applyFill="1" applyBorder="1" applyAlignment="1">
      <alignment horizontal="center" vertical="center"/>
    </xf>
    <xf numFmtId="179" fontId="93" fillId="0" borderId="0" xfId="8" applyNumberFormat="1" applyFont="1" applyAlignment="1">
      <alignment vertical="center"/>
    </xf>
    <xf numFmtId="49" fontId="111" fillId="0" borderId="18" xfId="8" applyNumberFormat="1" applyFont="1" applyFill="1" applyBorder="1" applyAlignment="1">
      <alignment horizontal="center" vertical="center" wrapText="1" shrinkToFit="1"/>
    </xf>
    <xf numFmtId="0" fontId="111" fillId="0" borderId="18" xfId="8" applyFont="1" applyFill="1" applyBorder="1" applyAlignment="1">
      <alignment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180" fontId="111" fillId="0" borderId="51" xfId="8" applyNumberFormat="1" applyFont="1" applyFill="1" applyBorder="1" applyAlignment="1">
      <alignment horizontal="center" vertical="center" wrapText="1" shrinkToFit="1"/>
    </xf>
    <xf numFmtId="0" fontId="111" fillId="0" borderId="3" xfId="8" applyFont="1" applyFill="1" applyBorder="1" applyAlignment="1">
      <alignment horizontal="left" vertical="center" wrapText="1" shrinkToFit="1"/>
    </xf>
    <xf numFmtId="0" fontId="111" fillId="0" borderId="1" xfId="8" applyNumberFormat="1" applyFont="1" applyFill="1" applyBorder="1" applyAlignment="1">
      <alignment horizontal="center" vertical="center" wrapText="1" shrinkToFit="1"/>
    </xf>
    <xf numFmtId="10" fontId="111" fillId="0" borderId="1" xfId="8" applyNumberFormat="1" applyFont="1" applyFill="1" applyBorder="1" applyAlignment="1">
      <alignment horizontal="center" vertical="center" wrapText="1" shrinkToFit="1"/>
    </xf>
    <xf numFmtId="9" fontId="111" fillId="0" borderId="0" xfId="8" applyNumberFormat="1" applyFont="1" applyFill="1" applyBorder="1" applyAlignment="1">
      <alignment horizontal="center" vertical="center"/>
    </xf>
    <xf numFmtId="0" fontId="111" fillId="0" borderId="2" xfId="8" applyFont="1" applyFill="1" applyBorder="1" applyAlignment="1">
      <alignment horizontal="right" vertical="center" wrapText="1" shrinkToFit="1"/>
    </xf>
    <xf numFmtId="49" fontId="111" fillId="0" borderId="51" xfId="8" applyNumberFormat="1" applyFont="1" applyFill="1" applyBorder="1" applyAlignment="1">
      <alignment horizontal="center" vertical="center" wrapText="1" shrinkToFit="1"/>
    </xf>
    <xf numFmtId="10" fontId="112" fillId="0" borderId="0" xfId="8" applyNumberFormat="1" applyFont="1" applyFill="1" applyBorder="1" applyAlignment="1">
      <alignment horizontal="center" vertical="center"/>
    </xf>
    <xf numFmtId="0" fontId="254" fillId="0" borderId="0" xfId="8" applyFont="1" applyFill="1" applyAlignment="1">
      <alignment vertical="center"/>
    </xf>
    <xf numFmtId="183" fontId="111" fillId="0" borderId="0" xfId="8" applyNumberFormat="1" applyFont="1" applyFill="1" applyBorder="1" applyAlignment="1">
      <alignment horizontal="center" vertical="center"/>
    </xf>
    <xf numFmtId="9" fontId="111" fillId="0" borderId="1" xfId="8" applyNumberFormat="1" applyFont="1" applyFill="1" applyBorder="1" applyAlignment="1">
      <alignment horizontal="center" vertical="center" wrapText="1" shrinkToFit="1"/>
    </xf>
    <xf numFmtId="10" fontId="111" fillId="0" borderId="0" xfId="8" applyNumberFormat="1" applyFont="1" applyFill="1" applyBorder="1" applyAlignment="1">
      <alignment horizontal="center" vertical="center"/>
    </xf>
    <xf numFmtId="0" fontId="93" fillId="0" borderId="0" xfId="8" applyAlignment="1">
      <alignment horizontal="left" vertical="center" wrapText="1"/>
    </xf>
    <xf numFmtId="0" fontId="93" fillId="0" borderId="0" xfId="8" applyFill="1" applyAlignment="1">
      <alignment vertical="center" wrapText="1"/>
    </xf>
    <xf numFmtId="0" fontId="93" fillId="0" borderId="0" xfId="8" applyAlignment="1">
      <alignment horizontal="center" vertical="center" wrapText="1"/>
    </xf>
    <xf numFmtId="0" fontId="93" fillId="0" borderId="0" xfId="8" applyAlignment="1">
      <alignment vertical="center" wrapText="1"/>
    </xf>
    <xf numFmtId="0" fontId="111" fillId="0" borderId="0" xfId="8" applyFont="1" applyBorder="1" applyAlignment="1">
      <alignment horizontal="center" vertical="center"/>
    </xf>
    <xf numFmtId="0" fontId="253" fillId="0" borderId="0" xfId="8" applyFont="1" applyAlignment="1">
      <alignment horizontal="center" vertical="center" wrapText="1"/>
    </xf>
    <xf numFmtId="0" fontId="253" fillId="0" borderId="0" xfId="8" applyFont="1" applyAlignment="1">
      <alignment vertical="center" wrapText="1"/>
    </xf>
    <xf numFmtId="0" fontId="146" fillId="0" borderId="1" xfId="8" applyFont="1" applyBorder="1" applyAlignment="1">
      <alignment horizontal="center" vertical="center" wrapText="1"/>
    </xf>
    <xf numFmtId="0" fontId="146" fillId="0" borderId="1" xfId="8" applyFont="1" applyFill="1" applyBorder="1" applyAlignment="1">
      <alignment horizontal="center" vertical="center" wrapText="1"/>
    </xf>
    <xf numFmtId="9" fontId="146" fillId="0" borderId="1" xfId="8" applyNumberFormat="1" applyFont="1" applyFill="1" applyBorder="1" applyAlignment="1">
      <alignment horizontal="center" vertical="center" wrapText="1"/>
    </xf>
    <xf numFmtId="178" fontId="146" fillId="0" borderId="1" xfId="8" applyNumberFormat="1" applyFont="1" applyFill="1" applyBorder="1" applyAlignment="1">
      <alignment horizontal="center" vertical="center" wrapText="1"/>
    </xf>
    <xf numFmtId="0" fontId="258" fillId="0" borderId="0" xfId="8" applyFont="1" applyFill="1" applyAlignment="1">
      <alignment horizontal="center" vertical="center" wrapText="1"/>
    </xf>
    <xf numFmtId="0" fontId="253" fillId="0" borderId="1" xfId="8" applyFont="1" applyBorder="1" applyAlignment="1">
      <alignment horizontal="center" vertical="center" wrapText="1"/>
    </xf>
    <xf numFmtId="0" fontId="253" fillId="0" borderId="0" xfId="8" applyFont="1" applyAlignment="1">
      <alignment horizontal="left" vertical="center" wrapText="1"/>
    </xf>
    <xf numFmtId="179" fontId="253" fillId="0" borderId="0" xfId="8" applyNumberFormat="1" applyFont="1" applyFill="1" applyAlignment="1">
      <alignment vertical="center" wrapText="1"/>
    </xf>
    <xf numFmtId="0" fontId="253" fillId="0" borderId="0" xfId="8" applyFont="1" applyFill="1" applyAlignment="1">
      <alignment vertical="center" wrapText="1"/>
    </xf>
    <xf numFmtId="0" fontId="93" fillId="0" borderId="0" xfId="8" applyFont="1" applyAlignment="1">
      <alignment horizontal="left" vertical="center" wrapText="1"/>
    </xf>
    <xf numFmtId="0" fontId="93" fillId="0" borderId="0" xfId="8" applyFont="1" applyFill="1" applyAlignment="1">
      <alignment vertical="center" wrapText="1"/>
    </xf>
    <xf numFmtId="0" fontId="93" fillId="0" borderId="0" xfId="8" applyFont="1" applyAlignment="1">
      <alignment horizontal="center" vertical="center" wrapText="1"/>
    </xf>
    <xf numFmtId="0" fontId="77" fillId="0" borderId="1" xfId="8" applyFont="1" applyBorder="1" applyAlignment="1">
      <alignment horizontal="left" vertical="center" wrapText="1" shrinkToFit="1"/>
    </xf>
    <xf numFmtId="0" fontId="135" fillId="0" borderId="4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6" fillId="0" borderId="1" xfId="0" applyNumberFormat="1" applyFont="1" applyBorder="1" applyAlignment="1" applyProtection="1">
      <alignment horizontal="left" vertical="center" wrapText="1" shrinkToFit="1"/>
      <protection locked="0"/>
    </xf>
    <xf numFmtId="9" fontId="248"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51"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52"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46" fillId="8" borderId="1" xfId="8" applyFont="1" applyFill="1" applyBorder="1" applyAlignment="1" applyProtection="1">
      <alignment horizontal="center" vertical="center" wrapText="1"/>
    </xf>
    <xf numFmtId="14" fontId="246" fillId="8" borderId="1" xfId="8" applyNumberFormat="1" applyFont="1" applyFill="1" applyBorder="1" applyAlignment="1">
      <alignment horizontal="center" vertical="center" wrapText="1"/>
    </xf>
    <xf numFmtId="0" fontId="246" fillId="8" borderId="1" xfId="8" applyFont="1" applyFill="1" applyBorder="1" applyAlignment="1">
      <alignment horizontal="center" vertical="center" wrapText="1"/>
    </xf>
    <xf numFmtId="49" fontId="246" fillId="8" borderId="1" xfId="8" applyNumberFormat="1" applyFont="1" applyFill="1" applyBorder="1" applyAlignment="1">
      <alignment horizontal="center" vertical="center" wrapText="1"/>
    </xf>
    <xf numFmtId="49" fontId="246" fillId="8" borderId="3" xfId="8" applyNumberFormat="1" applyFont="1" applyFill="1" applyBorder="1" applyAlignment="1">
      <alignment horizontal="center" vertical="center" wrapText="1"/>
    </xf>
    <xf numFmtId="0" fontId="246" fillId="8" borderId="1" xfId="8" applyNumberFormat="1" applyFont="1" applyFill="1" applyBorder="1" applyAlignment="1">
      <alignment horizontal="center" vertical="center" wrapText="1"/>
    </xf>
    <xf numFmtId="0" fontId="246" fillId="8" borderId="1" xfId="8" applyFont="1" applyFill="1" applyBorder="1" applyAlignment="1" applyProtection="1">
      <alignment horizontal="left" vertical="center" wrapText="1"/>
    </xf>
    <xf numFmtId="0" fontId="246" fillId="8" borderId="1" xfId="8" applyFont="1" applyFill="1" applyBorder="1" applyAlignment="1">
      <alignment horizontal="left" vertical="center" wrapText="1"/>
    </xf>
    <xf numFmtId="0" fontId="16" fillId="8" borderId="1" xfId="8" applyFont="1" applyFill="1" applyBorder="1" applyAlignment="1" applyProtection="1">
      <alignment horizontal="left" vertical="center" wrapText="1"/>
    </xf>
    <xf numFmtId="9" fontId="246" fillId="8" borderId="3" xfId="8" applyNumberFormat="1" applyFont="1" applyFill="1" applyBorder="1" applyAlignment="1">
      <alignment horizontal="center" vertical="center" wrapText="1"/>
    </xf>
    <xf numFmtId="9" fontId="246" fillId="8" borderId="1" xfId="8" applyNumberFormat="1" applyFont="1" applyFill="1" applyBorder="1" applyAlignment="1">
      <alignment horizontal="center" vertical="center" wrapText="1"/>
    </xf>
    <xf numFmtId="0" fontId="75" fillId="0" borderId="3" xfId="0" applyFont="1" applyFill="1" applyBorder="1" applyAlignment="1" applyProtection="1">
      <alignment horizontal="left" vertical="center" wrapText="1"/>
      <protection locked="0"/>
    </xf>
    <xf numFmtId="0" fontId="222" fillId="0" borderId="43" xfId="0" applyFont="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9" fontId="39" fillId="0" borderId="32" xfId="0" applyNumberFormat="1" applyFont="1" applyFill="1" applyBorder="1" applyAlignment="1" applyProtection="1">
      <alignment horizontal="center" vertical="center" wrapText="1"/>
      <protection locked="0"/>
    </xf>
    <xf numFmtId="9" fontId="46" fillId="0" borderId="19" xfId="0" applyNumberFormat="1" applyFont="1" applyFill="1" applyBorder="1" applyAlignment="1" applyProtection="1">
      <alignment horizontal="center" vertical="center" wrapText="1"/>
      <protection locked="0"/>
    </xf>
    <xf numFmtId="0" fontId="75" fillId="0" borderId="1" xfId="0" applyFont="1" applyBorder="1" applyAlignment="1" applyProtection="1">
      <alignmen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59"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52" fillId="0" borderId="2" xfId="0" applyNumberFormat="1" applyFont="1" applyFill="1" applyBorder="1" applyAlignment="1" applyProtection="1">
      <alignment horizontal="center" vertical="center" wrapText="1"/>
      <protection locked="0"/>
    </xf>
    <xf numFmtId="49" fontId="252" fillId="0" borderId="51" xfId="0" applyNumberFormat="1" applyFont="1" applyFill="1" applyBorder="1" applyAlignment="1" applyProtection="1">
      <alignment horizontal="center" vertical="center" wrapText="1"/>
      <protection locked="0"/>
    </xf>
    <xf numFmtId="49" fontId="252"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4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245" fillId="20" borderId="1" xfId="8" applyFont="1" applyFill="1" applyBorder="1" applyAlignment="1">
      <alignment horizontal="center" vertical="center" wrapText="1"/>
    </xf>
    <xf numFmtId="181" fontId="246" fillId="0" borderId="1" xfId="8" applyNumberFormat="1" applyFont="1" applyFill="1" applyBorder="1" applyAlignment="1">
      <alignment horizontal="center" vertical="center" wrapText="1"/>
    </xf>
    <xf numFmtId="49" fontId="168" fillId="6" borderId="0" xfId="8" applyNumberFormat="1" applyFont="1" applyFill="1" applyAlignment="1" applyProtection="1">
      <alignment horizontal="center" vertical="center" wrapText="1"/>
    </xf>
    <xf numFmtId="0" fontId="136" fillId="0" borderId="1" xfId="8" applyFont="1" applyFill="1" applyBorder="1" applyAlignment="1" applyProtection="1">
      <alignment horizontal="center" vertical="center" wrapText="1"/>
    </xf>
    <xf numFmtId="186" fontId="245" fillId="0" borderId="1" xfId="8" applyNumberFormat="1" applyFont="1" applyFill="1" applyBorder="1" applyAlignment="1">
      <alignment horizontal="center" vertical="center" wrapText="1"/>
    </xf>
    <xf numFmtId="0" fontId="136" fillId="0" borderId="2" xfId="8" applyFont="1" applyFill="1" applyBorder="1" applyAlignment="1" applyProtection="1">
      <alignment horizontal="center" vertical="center" wrapText="1"/>
    </xf>
    <xf numFmtId="0" fontId="136" fillId="0" borderId="3" xfId="8" applyFont="1" applyFill="1" applyBorder="1" applyAlignment="1" applyProtection="1">
      <alignment horizontal="center" vertical="center" wrapText="1"/>
    </xf>
    <xf numFmtId="186" fontId="245" fillId="0" borderId="2" xfId="8" applyNumberFormat="1" applyFont="1" applyFill="1" applyBorder="1" applyAlignment="1">
      <alignment horizontal="center" vertical="center" wrapText="1"/>
    </xf>
    <xf numFmtId="186" fontId="245" fillId="0" borderId="51" xfId="8" applyNumberFormat="1" applyFont="1" applyFill="1" applyBorder="1" applyAlignment="1">
      <alignment horizontal="center" vertical="center" wrapText="1"/>
    </xf>
    <xf numFmtId="186" fontId="245" fillId="0" borderId="3" xfId="8" applyNumberFormat="1" applyFont="1" applyFill="1" applyBorder="1" applyAlignment="1">
      <alignment horizontal="center" vertical="center" wrapText="1"/>
    </xf>
    <xf numFmtId="0" fontId="246" fillId="0" borderId="1" xfId="8" applyFont="1" applyFill="1" applyBorder="1" applyAlignment="1">
      <alignment horizontal="center" vertical="center" wrapText="1"/>
    </xf>
    <xf numFmtId="0" fontId="16" fillId="0" borderId="2" xfId="8" applyFont="1" applyFill="1" applyBorder="1" applyAlignment="1" applyProtection="1">
      <alignment horizontal="center" vertical="center" wrapText="1"/>
    </xf>
    <xf numFmtId="0" fontId="16" fillId="0" borderId="3" xfId="8" applyFont="1" applyFill="1" applyBorder="1" applyAlignment="1" applyProtection="1">
      <alignment horizontal="center" vertical="center" wrapText="1"/>
    </xf>
    <xf numFmtId="186" fontId="246" fillId="0" borderId="1" xfId="8" applyNumberFormat="1" applyFont="1" applyFill="1" applyBorder="1" applyAlignment="1">
      <alignment horizontal="center" vertical="center" wrapText="1"/>
    </xf>
    <xf numFmtId="0" fontId="247" fillId="19" borderId="1" xfId="8" applyFont="1" applyFill="1" applyBorder="1" applyAlignment="1">
      <alignment horizontal="center" vertical="center" wrapText="1"/>
    </xf>
    <xf numFmtId="0" fontId="16" fillId="0" borderId="64" xfId="8" applyFont="1" applyFill="1" applyBorder="1" applyAlignment="1" applyProtection="1">
      <alignment horizontal="center" vertical="center" wrapText="1"/>
    </xf>
    <xf numFmtId="0" fontId="16" fillId="0" borderId="24" xfId="8" applyFont="1" applyFill="1" applyBorder="1" applyAlignment="1" applyProtection="1">
      <alignment horizontal="center" vertical="center" wrapText="1"/>
    </xf>
    <xf numFmtId="0" fontId="246" fillId="8" borderId="27" xfId="8" applyFont="1" applyFill="1" applyBorder="1" applyAlignment="1">
      <alignment horizontal="center" vertical="center" wrapText="1"/>
    </xf>
    <xf numFmtId="0" fontId="246" fillId="8" borderId="25" xfId="8" applyFont="1" applyFill="1" applyBorder="1" applyAlignment="1">
      <alignment horizontal="center" vertical="center" wrapText="1"/>
    </xf>
    <xf numFmtId="0" fontId="246" fillId="8" borderId="24" xfId="8" applyFont="1" applyFill="1" applyBorder="1" applyAlignment="1">
      <alignment horizontal="center" vertical="center" wrapText="1"/>
    </xf>
    <xf numFmtId="0" fontId="246" fillId="0" borderId="27" xfId="8" applyFont="1" applyFill="1" applyBorder="1" applyAlignment="1">
      <alignment horizontal="center" vertical="center" wrapText="1"/>
    </xf>
    <xf numFmtId="0" fontId="246" fillId="0" borderId="25" xfId="8" applyFont="1" applyFill="1" applyBorder="1" applyAlignment="1">
      <alignment horizontal="center" vertical="center" wrapText="1"/>
    </xf>
    <xf numFmtId="0" fontId="246" fillId="0" borderId="24" xfId="8" applyFont="1" applyFill="1" applyBorder="1" applyAlignment="1">
      <alignment horizontal="center" vertical="center" wrapText="1"/>
    </xf>
    <xf numFmtId="0" fontId="246" fillId="8" borderId="1" xfId="8" applyFont="1" applyFill="1" applyBorder="1" applyAlignment="1">
      <alignment horizontal="center" vertical="center" wrapText="1"/>
    </xf>
    <xf numFmtId="0" fontId="246" fillId="0" borderId="49" xfId="8" applyFont="1" applyFill="1" applyBorder="1" applyAlignment="1">
      <alignment horizontal="center" vertical="center" wrapText="1"/>
    </xf>
    <xf numFmtId="0" fontId="246" fillId="0" borderId="17" xfId="8" applyFont="1" applyFill="1" applyBorder="1" applyAlignment="1">
      <alignment horizontal="center" vertical="center" wrapText="1"/>
    </xf>
    <xf numFmtId="0" fontId="246" fillId="0" borderId="2" xfId="8" applyFont="1" applyFill="1" applyBorder="1" applyAlignment="1">
      <alignment horizontal="center" vertical="center" wrapText="1"/>
    </xf>
    <xf numFmtId="0" fontId="246" fillId="0" borderId="51" xfId="8" applyFont="1" applyFill="1" applyBorder="1" applyAlignment="1">
      <alignment horizontal="center" vertical="center" wrapText="1"/>
    </xf>
    <xf numFmtId="0" fontId="246" fillId="0" borderId="35" xfId="8" applyFont="1" applyFill="1" applyBorder="1" applyAlignment="1">
      <alignment horizontal="center" vertical="center" wrapText="1"/>
    </xf>
    <xf numFmtId="0" fontId="246" fillId="0" borderId="60" xfId="8" applyFont="1" applyFill="1" applyBorder="1" applyAlignment="1">
      <alignment horizontal="center" vertical="center" wrapText="1"/>
    </xf>
    <xf numFmtId="0" fontId="243" fillId="0" borderId="2" xfId="8" applyFont="1" applyFill="1" applyBorder="1" applyAlignment="1">
      <alignment horizontal="center" vertical="center" wrapText="1"/>
    </xf>
    <xf numFmtId="0" fontId="243" fillId="0" borderId="51" xfId="8" applyFont="1" applyFill="1" applyBorder="1" applyAlignment="1">
      <alignment horizontal="center" vertical="center" wrapText="1"/>
    </xf>
    <xf numFmtId="0" fontId="136" fillId="0" borderId="1" xfId="8" applyFont="1" applyBorder="1" applyAlignment="1" applyProtection="1">
      <alignment horizontal="center" vertical="center" wrapText="1"/>
    </xf>
    <xf numFmtId="0" fontId="245" fillId="18" borderId="27" xfId="8" applyFont="1" applyFill="1" applyBorder="1" applyAlignment="1">
      <alignment horizontal="center" vertical="center" wrapText="1"/>
    </xf>
    <xf numFmtId="0" fontId="245" fillId="18" borderId="25" xfId="8" applyFont="1" applyFill="1" applyBorder="1" applyAlignment="1">
      <alignment horizontal="center" vertical="center" wrapText="1"/>
    </xf>
    <xf numFmtId="0" fontId="245" fillId="18" borderId="35" xfId="8" applyFont="1" applyFill="1" applyBorder="1" applyAlignment="1">
      <alignment horizontal="center" vertical="center" wrapText="1"/>
    </xf>
    <xf numFmtId="0" fontId="245" fillId="18" borderId="60" xfId="8" applyFont="1" applyFill="1" applyBorder="1" applyAlignment="1">
      <alignment horizontal="center" vertical="center" wrapText="1"/>
    </xf>
    <xf numFmtId="0" fontId="246" fillId="8" borderId="1" xfId="8" applyFont="1" applyFill="1" applyBorder="1" applyAlignment="1" applyProtection="1">
      <alignment horizontal="center" vertical="center" wrapText="1"/>
    </xf>
    <xf numFmtId="0" fontId="108" fillId="8" borderId="1" xfId="8" applyFont="1" applyFill="1" applyBorder="1" applyAlignment="1">
      <alignment horizontal="center" vertical="center" wrapText="1"/>
    </xf>
    <xf numFmtId="0" fontId="246" fillId="0" borderId="3" xfId="8" applyFont="1" applyFill="1" applyBorder="1" applyAlignment="1">
      <alignment horizontal="center" vertical="center" wrapText="1"/>
    </xf>
    <xf numFmtId="0" fontId="108" fillId="8" borderId="1" xfId="8" applyFont="1" applyFill="1" applyBorder="1" applyAlignment="1" applyProtection="1">
      <alignment horizontal="center" vertical="center" wrapText="1"/>
    </xf>
    <xf numFmtId="0" fontId="246" fillId="0" borderId="1" xfId="8" applyFont="1" applyFill="1" applyBorder="1" applyAlignment="1" applyProtection="1">
      <alignment horizontal="center" vertical="center" wrapText="1"/>
    </xf>
    <xf numFmtId="0" fontId="222" fillId="0" borderId="16"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10" fontId="111" fillId="0" borderId="1" xfId="8" applyNumberFormat="1" applyFont="1" applyFill="1" applyBorder="1" applyAlignment="1">
      <alignment horizontal="center"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0" fontId="111" fillId="0" borderId="3" xfId="8" applyFont="1" applyFill="1" applyBorder="1" applyAlignment="1">
      <alignment horizontal="center" vertical="center" wrapText="1" shrinkToFit="1"/>
    </xf>
    <xf numFmtId="0" fontId="111" fillId="0" borderId="1" xfId="8" applyFont="1" applyBorder="1" applyAlignment="1">
      <alignment horizontal="center" vertical="center" wrapText="1" shrinkToFit="1"/>
    </xf>
    <xf numFmtId="178" fontId="146" fillId="0" borderId="1" xfId="8" applyNumberFormat="1" applyFont="1" applyFill="1" applyBorder="1" applyAlignment="1">
      <alignment horizontal="center" vertical="center" wrapText="1"/>
    </xf>
    <xf numFmtId="0" fontId="256" fillId="21" borderId="0" xfId="8" applyFont="1" applyFill="1" applyBorder="1" applyAlignment="1">
      <alignment horizontal="center" vertical="center" wrapText="1"/>
    </xf>
    <xf numFmtId="0" fontId="146" fillId="0" borderId="1" xfId="8" applyFont="1" applyFill="1" applyBorder="1" applyAlignment="1">
      <alignment horizontal="center" vertical="center" wrapText="1"/>
    </xf>
    <xf numFmtId="179" fontId="146" fillId="0" borderId="1" xfId="8" applyNumberFormat="1" applyFont="1" applyFill="1" applyBorder="1" applyAlignment="1">
      <alignment horizontal="center" vertical="center" wrapText="1"/>
    </xf>
    <xf numFmtId="0" fontId="146" fillId="0" borderId="1" xfId="8" applyFont="1" applyBorder="1" applyAlignment="1">
      <alignment horizontal="center" vertical="center" wrapText="1"/>
    </xf>
    <xf numFmtId="0" fontId="111" fillId="0" borderId="1" xfId="8" applyFont="1" applyFill="1" applyBorder="1" applyAlignment="1">
      <alignment horizontal="left" vertical="center" wrapText="1" shrinkToFit="1"/>
    </xf>
    <xf numFmtId="179" fontId="111" fillId="0" borderId="35" xfId="8" applyNumberFormat="1" applyFont="1" applyFill="1" applyBorder="1" applyAlignment="1">
      <alignment horizontal="center" vertical="center" wrapText="1" shrinkToFit="1"/>
    </xf>
    <xf numFmtId="179" fontId="111" fillId="0" borderId="36" xfId="8" applyNumberFormat="1" applyFont="1" applyFill="1" applyBorder="1" applyAlignment="1">
      <alignment horizontal="center" vertical="center" wrapText="1" shrinkToFit="1"/>
    </xf>
    <xf numFmtId="179" fontId="111" fillId="0" borderId="27" xfId="8" applyNumberFormat="1" applyFont="1" applyFill="1" applyBorder="1" applyAlignment="1">
      <alignment horizontal="center" vertical="center" wrapText="1" shrinkToFit="1"/>
    </xf>
    <xf numFmtId="179" fontId="111" fillId="0" borderId="64" xfId="8" applyNumberFormat="1" applyFont="1" applyFill="1" applyBorder="1" applyAlignment="1">
      <alignment horizontal="center" vertical="center" wrapText="1" shrinkToFit="1"/>
    </xf>
    <xf numFmtId="179" fontId="111" fillId="0" borderId="65" xfId="8" applyNumberFormat="1" applyFont="1" applyFill="1" applyBorder="1" applyAlignment="1">
      <alignment horizontal="center" vertical="center" wrapText="1" shrinkToFit="1"/>
    </xf>
    <xf numFmtId="179" fontId="111" fillId="0" borderId="24" xfId="8" applyNumberFormat="1" applyFont="1" applyFill="1" applyBorder="1" applyAlignment="1">
      <alignment horizontal="center" vertical="center" wrapText="1" shrinkToFit="1"/>
    </xf>
    <xf numFmtId="0" fontId="111" fillId="0" borderId="1" xfId="8" applyFont="1" applyFill="1" applyBorder="1" applyAlignment="1">
      <alignment horizontal="center" vertical="center" wrapText="1" shrinkToFit="1"/>
    </xf>
    <xf numFmtId="0" fontId="111" fillId="0" borderId="2" xfId="8" applyFont="1" applyFill="1" applyBorder="1" applyAlignment="1">
      <alignment horizontal="right" vertical="center" wrapText="1" shrinkToFit="1"/>
    </xf>
    <xf numFmtId="0" fontId="111" fillId="0" borderId="51" xfId="8" applyFont="1" applyFill="1" applyBorder="1" applyAlignment="1">
      <alignment horizontal="right" vertical="center" wrapText="1" shrinkToFit="1"/>
    </xf>
    <xf numFmtId="10" fontId="111" fillId="0" borderId="51" xfId="8" applyNumberFormat="1" applyFont="1" applyFill="1" applyBorder="1" applyAlignment="1">
      <alignment horizontal="left" vertical="center" wrapText="1" shrinkToFit="1"/>
    </xf>
    <xf numFmtId="10" fontId="111" fillId="0" borderId="3" xfId="8" applyNumberFormat="1" applyFont="1" applyFill="1" applyBorder="1" applyAlignment="1">
      <alignment horizontal="left" vertical="center" wrapText="1" shrinkToFit="1"/>
    </xf>
    <xf numFmtId="183" fontId="111" fillId="0" borderId="1" xfId="8" applyNumberFormat="1" applyFont="1" applyFill="1" applyBorder="1" applyAlignment="1">
      <alignment horizontal="center" vertical="center" wrapText="1" shrinkToFit="1"/>
    </xf>
    <xf numFmtId="9" fontId="111" fillId="0" borderId="18" xfId="8" applyNumberFormat="1" applyFont="1" applyFill="1" applyBorder="1" applyAlignment="1">
      <alignment horizontal="left" vertical="center" wrapText="1" shrinkToFit="1"/>
    </xf>
    <xf numFmtId="9" fontId="111" fillId="0" borderId="17" xfId="8" applyNumberFormat="1" applyFont="1" applyFill="1" applyBorder="1" applyAlignment="1">
      <alignment horizontal="left" vertical="center" wrapText="1" shrinkToFit="1"/>
    </xf>
    <xf numFmtId="9" fontId="111" fillId="0" borderId="1" xfId="8" applyNumberFormat="1" applyFont="1" applyFill="1" applyBorder="1" applyAlignment="1">
      <alignment horizontal="center" vertical="center" wrapText="1" shrinkToFit="1"/>
    </xf>
    <xf numFmtId="0" fontId="111" fillId="0" borderId="2" xfId="8" applyNumberFormat="1" applyFont="1" applyFill="1" applyBorder="1" applyAlignment="1">
      <alignment horizontal="right" vertical="center" wrapText="1" shrinkToFit="1"/>
    </xf>
    <xf numFmtId="0" fontId="111" fillId="0" borderId="51" xfId="8" applyNumberFormat="1" applyFont="1" applyFill="1" applyBorder="1" applyAlignment="1">
      <alignment horizontal="right" vertical="center" wrapText="1" shrinkToFit="1"/>
    </xf>
    <xf numFmtId="0" fontId="111" fillId="0" borderId="51" xfId="8" applyFont="1" applyFill="1" applyBorder="1" applyAlignment="1">
      <alignment horizontal="left" vertical="center" wrapText="1" shrinkToFit="1"/>
    </xf>
    <xf numFmtId="0" fontId="111" fillId="0" borderId="3" xfId="8" applyFont="1" applyFill="1" applyBorder="1" applyAlignment="1">
      <alignment horizontal="left" vertical="center" wrapText="1" shrinkToFit="1"/>
    </xf>
    <xf numFmtId="181" fontId="111" fillId="0" borderId="1" xfId="8" applyNumberFormat="1" applyFont="1" applyFill="1" applyBorder="1" applyAlignment="1">
      <alignment horizontal="center" vertical="center" wrapText="1" shrinkToFit="1"/>
    </xf>
    <xf numFmtId="180" fontId="111" fillId="0" borderId="2" xfId="8" applyNumberFormat="1" applyFont="1" applyFill="1" applyBorder="1" applyAlignment="1">
      <alignment horizontal="right" vertical="center" wrapText="1" shrinkToFit="1"/>
    </xf>
    <xf numFmtId="180" fontId="111" fillId="0" borderId="51" xfId="8" applyNumberFormat="1" applyFont="1" applyFill="1" applyBorder="1" applyAlignment="1">
      <alignment horizontal="right" vertical="center" wrapText="1" shrinkToFit="1"/>
    </xf>
    <xf numFmtId="0" fontId="116" fillId="0" borderId="0" xfId="8" applyFont="1" applyFill="1" applyBorder="1" applyAlignment="1">
      <alignment horizontal="center" vertical="center" wrapText="1"/>
    </xf>
    <xf numFmtId="0" fontId="93" fillId="0" borderId="1" xfId="8" applyFont="1" applyBorder="1" applyAlignment="1">
      <alignment horizontal="center" vertical="center" wrapText="1"/>
    </xf>
    <xf numFmtId="0" fontId="111" fillId="0" borderId="35" xfId="8" applyFont="1" applyFill="1" applyBorder="1" applyAlignment="1">
      <alignment horizontal="center" vertical="center" wrapText="1" shrinkToFit="1"/>
    </xf>
    <xf numFmtId="0" fontId="111" fillId="0" borderId="36" xfId="8" applyFont="1" applyFill="1" applyBorder="1" applyAlignment="1">
      <alignment horizontal="center" vertical="center" wrapText="1" shrinkToFit="1"/>
    </xf>
    <xf numFmtId="0" fontId="111" fillId="0" borderId="27" xfId="8" applyFont="1" applyFill="1" applyBorder="1" applyAlignment="1">
      <alignment horizontal="center" vertical="center" wrapText="1" shrinkToFit="1"/>
    </xf>
    <xf numFmtId="0" fontId="111" fillId="0" borderId="60" xfId="8" applyFont="1" applyFill="1" applyBorder="1" applyAlignment="1">
      <alignment horizontal="center" vertical="center" wrapText="1" shrinkToFit="1"/>
    </xf>
    <xf numFmtId="0" fontId="111" fillId="0" borderId="0" xfId="8" applyFont="1" applyFill="1" applyBorder="1" applyAlignment="1">
      <alignment horizontal="center" vertical="center" wrapText="1" shrinkToFit="1"/>
    </xf>
    <xf numFmtId="0" fontId="111" fillId="0" borderId="25" xfId="8" applyFont="1" applyFill="1" applyBorder="1" applyAlignment="1">
      <alignment horizontal="center" vertical="center" wrapText="1" shrinkToFit="1"/>
    </xf>
    <xf numFmtId="0" fontId="111" fillId="0" borderId="64" xfId="8" applyFont="1" applyFill="1" applyBorder="1" applyAlignment="1">
      <alignment horizontal="center" vertical="center" wrapText="1" shrinkToFit="1"/>
    </xf>
    <xf numFmtId="0" fontId="111" fillId="0" borderId="65" xfId="8" applyFont="1" applyFill="1" applyBorder="1" applyAlignment="1">
      <alignment horizontal="center" vertical="center" wrapText="1" shrinkToFit="1"/>
    </xf>
    <xf numFmtId="0" fontId="111" fillId="0" borderId="24" xfId="8" applyFont="1" applyFill="1" applyBorder="1" applyAlignment="1">
      <alignment horizontal="center" vertical="center" wrapText="1" shrinkToFit="1"/>
    </xf>
    <xf numFmtId="0" fontId="93" fillId="0" borderId="1" xfId="8" applyFont="1" applyBorder="1" applyAlignment="1">
      <alignment horizontal="center" vertical="center" wrapText="1" shrinkToFit="1"/>
    </xf>
  </cellXfs>
  <cellStyles count="48">
    <cellStyle name="常规" xfId="0" builtinId="0"/>
    <cellStyle name="常规 11 2" xfId="14"/>
    <cellStyle name="常规 16" xfId="8"/>
    <cellStyle name="常规 2" xfId="1"/>
    <cellStyle name="常规 2 2" xfId="6"/>
    <cellStyle name="常规 3" xfId="2"/>
    <cellStyle name="常规 3 10" xfId="15"/>
    <cellStyle name="常规 3 11" xfId="16"/>
    <cellStyle name="常规 3 12" xfId="17"/>
    <cellStyle name="常规 3 2" xfId="3"/>
    <cellStyle name="常规 3 3" xfId="18"/>
    <cellStyle name="常规 3 4" xfId="19"/>
    <cellStyle name="常规 3 5" xfId="20"/>
    <cellStyle name="常规 3 6" xfId="21"/>
    <cellStyle name="常规 3 7" xfId="22"/>
    <cellStyle name="常规 3 8" xfId="23"/>
    <cellStyle name="常规 3 9" xfId="24"/>
    <cellStyle name="常规 4" xfId="4"/>
    <cellStyle name="常规 4 10" xfId="25"/>
    <cellStyle name="常规 4 11" xfId="26"/>
    <cellStyle name="常规 4 12" xfId="27"/>
    <cellStyle name="常规 4 2" xfId="28"/>
    <cellStyle name="常规 4 3" xfId="29"/>
    <cellStyle name="常规 4 4" xfId="30"/>
    <cellStyle name="常规 4 5" xfId="31"/>
    <cellStyle name="常规 4 6" xfId="32"/>
    <cellStyle name="常规 4 7" xfId="33"/>
    <cellStyle name="常规 4 8" xfId="34"/>
    <cellStyle name="常规 4 9" xfId="35"/>
    <cellStyle name="常规 5" xfId="5"/>
    <cellStyle name="常规 5 10" xfId="36"/>
    <cellStyle name="常规 5 11" xfId="37"/>
    <cellStyle name="常规 5 12" xfId="38"/>
    <cellStyle name="常规 5 2" xfId="39"/>
    <cellStyle name="常规 5 3" xfId="40"/>
    <cellStyle name="常规 5 4" xfId="41"/>
    <cellStyle name="常规 5 5" xfId="42"/>
    <cellStyle name="常规 5 6" xfId="43"/>
    <cellStyle name="常规 5 7" xfId="44"/>
    <cellStyle name="常规 5 8" xfId="45"/>
    <cellStyle name="常规 5 9" xfId="46"/>
    <cellStyle name="常规 6" xfId="9"/>
    <cellStyle name="常规 6 2" xfId="7"/>
    <cellStyle name="常规 6 2 2" xfId="11"/>
    <cellStyle name="常规 7" xfId="10"/>
    <cellStyle name="常规 8" xfId="12"/>
    <cellStyle name="常规 9" xfId="13"/>
    <cellStyle name="常规 9 2" xfId="47"/>
  </cellStyles>
  <dxfs count="24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6</xdr:col>
      <xdr:colOff>857250</xdr:colOff>
      <xdr:row>79</xdr:row>
      <xdr:rowOff>114300</xdr:rowOff>
    </xdr:to>
    <xdr:pic>
      <xdr:nvPicPr>
        <xdr:cNvPr id="2"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8829675"/>
          <a:ext cx="54197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6</xdr:col>
      <xdr:colOff>342900</xdr:colOff>
      <xdr:row>95</xdr:row>
      <xdr:rowOff>9525</xdr:rowOff>
    </xdr:to>
    <xdr:pic>
      <xdr:nvPicPr>
        <xdr:cNvPr id="3"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1115675"/>
          <a:ext cx="490537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4</xdr:col>
      <xdr:colOff>923925</xdr:colOff>
      <xdr:row>118</xdr:row>
      <xdr:rowOff>0</xdr:rowOff>
    </xdr:to>
    <xdr:pic>
      <xdr:nvPicPr>
        <xdr:cNvPr id="4"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13554075"/>
          <a:ext cx="391477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16</xdr:col>
      <xdr:colOff>19051</xdr:colOff>
      <xdr:row>29</xdr:row>
      <xdr:rowOff>139135</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71451"/>
          <a:ext cx="10991850" cy="4939734"/>
        </a:xfrm>
        <a:prstGeom prst="rect">
          <a:avLst/>
        </a:prstGeom>
      </xdr:spPr>
    </xdr:pic>
    <xdr:clientData/>
  </xdr:twoCellAnchor>
  <xdr:twoCellAnchor editAs="oneCell">
    <xdr:from>
      <xdr:col>0</xdr:col>
      <xdr:colOff>0</xdr:colOff>
      <xdr:row>30</xdr:row>
      <xdr:rowOff>0</xdr:rowOff>
    </xdr:from>
    <xdr:to>
      <xdr:col>11</xdr:col>
      <xdr:colOff>94296</xdr:colOff>
      <xdr:row>45</xdr:row>
      <xdr:rowOff>75869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143500"/>
          <a:ext cx="7638096" cy="2647619"/>
        </a:xfrm>
        <a:prstGeom prst="rect">
          <a:avLst/>
        </a:prstGeom>
      </xdr:spPr>
    </xdr:pic>
    <xdr:clientData/>
  </xdr:twoCellAnchor>
  <xdr:twoCellAnchor editAs="oneCell">
    <xdr:from>
      <xdr:col>0</xdr:col>
      <xdr:colOff>0</xdr:colOff>
      <xdr:row>48</xdr:row>
      <xdr:rowOff>0</xdr:rowOff>
    </xdr:from>
    <xdr:to>
      <xdr:col>13</xdr:col>
      <xdr:colOff>494124</xdr:colOff>
      <xdr:row>77</xdr:row>
      <xdr:rowOff>94617</xdr:rowOff>
    </xdr:to>
    <xdr:pic>
      <xdr:nvPicPr>
        <xdr:cNvPr id="5" name="图片 4"/>
        <xdr:cNvPicPr>
          <a:picLocks noChangeAspect="1"/>
        </xdr:cNvPicPr>
      </xdr:nvPicPr>
      <xdr:blipFill>
        <a:blip xmlns:r="http://schemas.openxmlformats.org/officeDocument/2006/relationships" r:embed="rId3"/>
        <a:stretch>
          <a:fillRect/>
        </a:stretch>
      </xdr:blipFill>
      <xdr:spPr>
        <a:xfrm>
          <a:off x="0" y="8229600"/>
          <a:ext cx="9409524" cy="5066667"/>
        </a:xfrm>
        <a:prstGeom prst="rect">
          <a:avLst/>
        </a:prstGeom>
      </xdr:spPr>
    </xdr:pic>
    <xdr:clientData/>
  </xdr:twoCellAnchor>
  <xdr:twoCellAnchor editAs="oneCell">
    <xdr:from>
      <xdr:col>0</xdr:col>
      <xdr:colOff>0</xdr:colOff>
      <xdr:row>78</xdr:row>
      <xdr:rowOff>0</xdr:rowOff>
    </xdr:from>
    <xdr:to>
      <xdr:col>12</xdr:col>
      <xdr:colOff>475163</xdr:colOff>
      <xdr:row>94</xdr:row>
      <xdr:rowOff>94895</xdr:rowOff>
    </xdr:to>
    <xdr:pic>
      <xdr:nvPicPr>
        <xdr:cNvPr id="6" name="图片 5"/>
        <xdr:cNvPicPr>
          <a:picLocks noChangeAspect="1"/>
        </xdr:cNvPicPr>
      </xdr:nvPicPr>
      <xdr:blipFill>
        <a:blip xmlns:r="http://schemas.openxmlformats.org/officeDocument/2006/relationships" r:embed="rId4"/>
        <a:stretch>
          <a:fillRect/>
        </a:stretch>
      </xdr:blipFill>
      <xdr:spPr>
        <a:xfrm>
          <a:off x="0" y="13373100"/>
          <a:ext cx="8704763" cy="2838095"/>
        </a:xfrm>
        <a:prstGeom prst="rect">
          <a:avLst/>
        </a:prstGeom>
      </xdr:spPr>
    </xdr:pic>
    <xdr:clientData/>
  </xdr:twoCellAnchor>
  <xdr:twoCellAnchor editAs="oneCell">
    <xdr:from>
      <xdr:col>0</xdr:col>
      <xdr:colOff>0</xdr:colOff>
      <xdr:row>97</xdr:row>
      <xdr:rowOff>0</xdr:rowOff>
    </xdr:from>
    <xdr:to>
      <xdr:col>15</xdr:col>
      <xdr:colOff>551096</xdr:colOff>
      <xdr:row>126</xdr:row>
      <xdr:rowOff>37474</xdr:rowOff>
    </xdr:to>
    <xdr:pic>
      <xdr:nvPicPr>
        <xdr:cNvPr id="8" name="图片 7"/>
        <xdr:cNvPicPr>
          <a:picLocks noChangeAspect="1"/>
        </xdr:cNvPicPr>
      </xdr:nvPicPr>
      <xdr:blipFill>
        <a:blip xmlns:r="http://schemas.openxmlformats.org/officeDocument/2006/relationships" r:embed="rId5"/>
        <a:stretch>
          <a:fillRect/>
        </a:stretch>
      </xdr:blipFill>
      <xdr:spPr>
        <a:xfrm>
          <a:off x="0" y="16630650"/>
          <a:ext cx="10838096" cy="5009524"/>
        </a:xfrm>
        <a:prstGeom prst="rect">
          <a:avLst/>
        </a:prstGeom>
      </xdr:spPr>
    </xdr:pic>
    <xdr:clientData/>
  </xdr:twoCellAnchor>
  <xdr:twoCellAnchor editAs="oneCell">
    <xdr:from>
      <xdr:col>0</xdr:col>
      <xdr:colOff>0</xdr:colOff>
      <xdr:row>127</xdr:row>
      <xdr:rowOff>0</xdr:rowOff>
    </xdr:from>
    <xdr:to>
      <xdr:col>12</xdr:col>
      <xdr:colOff>427543</xdr:colOff>
      <xdr:row>142</xdr:row>
      <xdr:rowOff>123488</xdr:rowOff>
    </xdr:to>
    <xdr:pic>
      <xdr:nvPicPr>
        <xdr:cNvPr id="9" name="图片 8"/>
        <xdr:cNvPicPr>
          <a:picLocks noChangeAspect="1"/>
        </xdr:cNvPicPr>
      </xdr:nvPicPr>
      <xdr:blipFill>
        <a:blip xmlns:r="http://schemas.openxmlformats.org/officeDocument/2006/relationships" r:embed="rId6"/>
        <a:stretch>
          <a:fillRect/>
        </a:stretch>
      </xdr:blipFill>
      <xdr:spPr>
        <a:xfrm>
          <a:off x="0" y="21774150"/>
          <a:ext cx="8657143" cy="2695238"/>
        </a:xfrm>
        <a:prstGeom prst="rect">
          <a:avLst/>
        </a:prstGeom>
      </xdr:spPr>
    </xdr:pic>
    <xdr:clientData/>
  </xdr:twoCellAnchor>
  <xdr:twoCellAnchor editAs="oneCell">
    <xdr:from>
      <xdr:col>5</xdr:col>
      <xdr:colOff>0</xdr:colOff>
      <xdr:row>143</xdr:row>
      <xdr:rowOff>0</xdr:rowOff>
    </xdr:from>
    <xdr:to>
      <xdr:col>12</xdr:col>
      <xdr:colOff>408924</xdr:colOff>
      <xdr:row>168</xdr:row>
      <xdr:rowOff>85179</xdr:rowOff>
    </xdr:to>
    <xdr:pic>
      <xdr:nvPicPr>
        <xdr:cNvPr id="11" name="图片 10"/>
        <xdr:cNvPicPr>
          <a:picLocks noChangeAspect="1"/>
        </xdr:cNvPicPr>
      </xdr:nvPicPr>
      <xdr:blipFill>
        <a:blip xmlns:r="http://schemas.openxmlformats.org/officeDocument/2006/relationships" r:embed="rId7"/>
        <a:stretch>
          <a:fillRect/>
        </a:stretch>
      </xdr:blipFill>
      <xdr:spPr>
        <a:xfrm>
          <a:off x="3429000" y="24517350"/>
          <a:ext cx="5209524" cy="43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627201</xdr:colOff>
      <xdr:row>32</xdr:row>
      <xdr:rowOff>151717</xdr:rowOff>
    </xdr:to>
    <xdr:pic>
      <xdr:nvPicPr>
        <xdr:cNvPr id="7" name="图片 6"/>
        <xdr:cNvPicPr>
          <a:picLocks noChangeAspect="1"/>
        </xdr:cNvPicPr>
      </xdr:nvPicPr>
      <xdr:blipFill>
        <a:blip xmlns:r="http://schemas.openxmlformats.org/officeDocument/2006/relationships" r:embed="rId1"/>
        <a:stretch>
          <a:fillRect/>
        </a:stretch>
      </xdr:blipFill>
      <xdr:spPr>
        <a:xfrm>
          <a:off x="0" y="171450"/>
          <a:ext cx="11600001" cy="5466667"/>
        </a:xfrm>
        <a:prstGeom prst="rect">
          <a:avLst/>
        </a:prstGeom>
      </xdr:spPr>
    </xdr:pic>
    <xdr:clientData/>
  </xdr:twoCellAnchor>
  <xdr:twoCellAnchor editAs="oneCell">
    <xdr:from>
      <xdr:col>0</xdr:col>
      <xdr:colOff>0</xdr:colOff>
      <xdr:row>33</xdr:row>
      <xdr:rowOff>0</xdr:rowOff>
    </xdr:from>
    <xdr:to>
      <xdr:col>12</xdr:col>
      <xdr:colOff>484686</xdr:colOff>
      <xdr:row>47</xdr:row>
      <xdr:rowOff>161605</xdr:rowOff>
    </xdr:to>
    <xdr:pic>
      <xdr:nvPicPr>
        <xdr:cNvPr id="8" name="图片 7"/>
        <xdr:cNvPicPr>
          <a:picLocks noChangeAspect="1"/>
        </xdr:cNvPicPr>
      </xdr:nvPicPr>
      <xdr:blipFill>
        <a:blip xmlns:r="http://schemas.openxmlformats.org/officeDocument/2006/relationships" r:embed="rId2"/>
        <a:stretch>
          <a:fillRect/>
        </a:stretch>
      </xdr:blipFill>
      <xdr:spPr>
        <a:xfrm>
          <a:off x="0" y="5657850"/>
          <a:ext cx="8714286" cy="2561905"/>
        </a:xfrm>
        <a:prstGeom prst="rect">
          <a:avLst/>
        </a:prstGeom>
      </xdr:spPr>
    </xdr:pic>
    <xdr:clientData/>
  </xdr:twoCellAnchor>
  <xdr:twoCellAnchor editAs="oneCell">
    <xdr:from>
      <xdr:col>13</xdr:col>
      <xdr:colOff>0</xdr:colOff>
      <xdr:row>33</xdr:row>
      <xdr:rowOff>0</xdr:rowOff>
    </xdr:from>
    <xdr:to>
      <xdr:col>26</xdr:col>
      <xdr:colOff>379839</xdr:colOff>
      <xdr:row>43</xdr:row>
      <xdr:rowOff>114072</xdr:rowOff>
    </xdr:to>
    <xdr:pic>
      <xdr:nvPicPr>
        <xdr:cNvPr id="9" name="图片 8"/>
        <xdr:cNvPicPr>
          <a:picLocks noChangeAspect="1"/>
        </xdr:cNvPicPr>
      </xdr:nvPicPr>
      <xdr:blipFill>
        <a:blip xmlns:r="http://schemas.openxmlformats.org/officeDocument/2006/relationships" r:embed="rId3"/>
        <a:stretch>
          <a:fillRect/>
        </a:stretch>
      </xdr:blipFill>
      <xdr:spPr>
        <a:xfrm>
          <a:off x="8915400" y="5657850"/>
          <a:ext cx="9295239" cy="1828572"/>
        </a:xfrm>
        <a:prstGeom prst="rect">
          <a:avLst/>
        </a:prstGeom>
      </xdr:spPr>
    </xdr:pic>
    <xdr:clientData/>
  </xdr:twoCellAnchor>
  <xdr:twoCellAnchor editAs="oneCell">
    <xdr:from>
      <xdr:col>0</xdr:col>
      <xdr:colOff>0</xdr:colOff>
      <xdr:row>50</xdr:row>
      <xdr:rowOff>0</xdr:rowOff>
    </xdr:from>
    <xdr:to>
      <xdr:col>17</xdr:col>
      <xdr:colOff>27115</xdr:colOff>
      <xdr:row>82</xdr:row>
      <xdr:rowOff>85029</xdr:rowOff>
    </xdr:to>
    <xdr:pic>
      <xdr:nvPicPr>
        <xdr:cNvPr id="10" name="图片 9"/>
        <xdr:cNvPicPr>
          <a:picLocks noChangeAspect="1"/>
        </xdr:cNvPicPr>
      </xdr:nvPicPr>
      <xdr:blipFill>
        <a:blip xmlns:r="http://schemas.openxmlformats.org/officeDocument/2006/relationships" r:embed="rId4"/>
        <a:stretch>
          <a:fillRect/>
        </a:stretch>
      </xdr:blipFill>
      <xdr:spPr>
        <a:xfrm>
          <a:off x="0" y="8572500"/>
          <a:ext cx="11685715" cy="5571429"/>
        </a:xfrm>
        <a:prstGeom prst="rect">
          <a:avLst/>
        </a:prstGeom>
      </xdr:spPr>
    </xdr:pic>
    <xdr:clientData/>
  </xdr:twoCellAnchor>
  <xdr:twoCellAnchor editAs="oneCell">
    <xdr:from>
      <xdr:col>0</xdr:col>
      <xdr:colOff>0</xdr:colOff>
      <xdr:row>83</xdr:row>
      <xdr:rowOff>0</xdr:rowOff>
    </xdr:from>
    <xdr:to>
      <xdr:col>12</xdr:col>
      <xdr:colOff>551353</xdr:colOff>
      <xdr:row>97</xdr:row>
      <xdr:rowOff>152081</xdr:rowOff>
    </xdr:to>
    <xdr:pic>
      <xdr:nvPicPr>
        <xdr:cNvPr id="11" name="图片 10"/>
        <xdr:cNvPicPr>
          <a:picLocks noChangeAspect="1"/>
        </xdr:cNvPicPr>
      </xdr:nvPicPr>
      <xdr:blipFill>
        <a:blip xmlns:r="http://schemas.openxmlformats.org/officeDocument/2006/relationships" r:embed="rId5"/>
        <a:stretch>
          <a:fillRect/>
        </a:stretch>
      </xdr:blipFill>
      <xdr:spPr>
        <a:xfrm>
          <a:off x="0" y="14230350"/>
          <a:ext cx="8780953" cy="2552381"/>
        </a:xfrm>
        <a:prstGeom prst="rect">
          <a:avLst/>
        </a:prstGeom>
      </xdr:spPr>
    </xdr:pic>
    <xdr:clientData/>
  </xdr:twoCellAnchor>
  <xdr:twoCellAnchor editAs="oneCell">
    <xdr:from>
      <xdr:col>13</xdr:col>
      <xdr:colOff>0</xdr:colOff>
      <xdr:row>83</xdr:row>
      <xdr:rowOff>0</xdr:rowOff>
    </xdr:from>
    <xdr:to>
      <xdr:col>26</xdr:col>
      <xdr:colOff>322696</xdr:colOff>
      <xdr:row>94</xdr:row>
      <xdr:rowOff>37860</xdr:rowOff>
    </xdr:to>
    <xdr:pic>
      <xdr:nvPicPr>
        <xdr:cNvPr id="12" name="图片 11"/>
        <xdr:cNvPicPr>
          <a:picLocks noChangeAspect="1"/>
        </xdr:cNvPicPr>
      </xdr:nvPicPr>
      <xdr:blipFill>
        <a:blip xmlns:r="http://schemas.openxmlformats.org/officeDocument/2006/relationships" r:embed="rId6"/>
        <a:stretch>
          <a:fillRect/>
        </a:stretch>
      </xdr:blipFill>
      <xdr:spPr>
        <a:xfrm>
          <a:off x="8915400" y="14230350"/>
          <a:ext cx="9238096" cy="1923810"/>
        </a:xfrm>
        <a:prstGeom prst="rect">
          <a:avLst/>
        </a:prstGeom>
      </xdr:spPr>
    </xdr:pic>
    <xdr:clientData/>
  </xdr:twoCellAnchor>
  <xdr:twoCellAnchor editAs="oneCell">
    <xdr:from>
      <xdr:col>0</xdr:col>
      <xdr:colOff>0</xdr:colOff>
      <xdr:row>100</xdr:row>
      <xdr:rowOff>0</xdr:rowOff>
    </xdr:from>
    <xdr:to>
      <xdr:col>17</xdr:col>
      <xdr:colOff>198544</xdr:colOff>
      <xdr:row>132</xdr:row>
      <xdr:rowOff>27886</xdr:rowOff>
    </xdr:to>
    <xdr:pic>
      <xdr:nvPicPr>
        <xdr:cNvPr id="13" name="图片 12"/>
        <xdr:cNvPicPr>
          <a:picLocks noChangeAspect="1"/>
        </xdr:cNvPicPr>
      </xdr:nvPicPr>
      <xdr:blipFill>
        <a:blip xmlns:r="http://schemas.openxmlformats.org/officeDocument/2006/relationships" r:embed="rId7"/>
        <a:stretch>
          <a:fillRect/>
        </a:stretch>
      </xdr:blipFill>
      <xdr:spPr>
        <a:xfrm>
          <a:off x="0" y="17145000"/>
          <a:ext cx="11857144" cy="5514286"/>
        </a:xfrm>
        <a:prstGeom prst="rect">
          <a:avLst/>
        </a:prstGeom>
      </xdr:spPr>
    </xdr:pic>
    <xdr:clientData/>
  </xdr:twoCellAnchor>
  <xdr:twoCellAnchor editAs="oneCell">
    <xdr:from>
      <xdr:col>0</xdr:col>
      <xdr:colOff>0</xdr:colOff>
      <xdr:row>133</xdr:row>
      <xdr:rowOff>0</xdr:rowOff>
    </xdr:from>
    <xdr:to>
      <xdr:col>13</xdr:col>
      <xdr:colOff>151267</xdr:colOff>
      <xdr:row>148</xdr:row>
      <xdr:rowOff>47298</xdr:rowOff>
    </xdr:to>
    <xdr:pic>
      <xdr:nvPicPr>
        <xdr:cNvPr id="14" name="图片 13"/>
        <xdr:cNvPicPr>
          <a:picLocks noChangeAspect="1"/>
        </xdr:cNvPicPr>
      </xdr:nvPicPr>
      <xdr:blipFill>
        <a:blip xmlns:r="http://schemas.openxmlformats.org/officeDocument/2006/relationships" r:embed="rId8"/>
        <a:stretch>
          <a:fillRect/>
        </a:stretch>
      </xdr:blipFill>
      <xdr:spPr>
        <a:xfrm>
          <a:off x="0" y="22802850"/>
          <a:ext cx="9066667" cy="2619048"/>
        </a:xfrm>
        <a:prstGeom prst="rect">
          <a:avLst/>
        </a:prstGeom>
      </xdr:spPr>
    </xdr:pic>
    <xdr:clientData/>
  </xdr:twoCellAnchor>
  <xdr:twoCellAnchor editAs="oneCell">
    <xdr:from>
      <xdr:col>13</xdr:col>
      <xdr:colOff>0</xdr:colOff>
      <xdr:row>133</xdr:row>
      <xdr:rowOff>0</xdr:rowOff>
    </xdr:from>
    <xdr:to>
      <xdr:col>26</xdr:col>
      <xdr:colOff>484601</xdr:colOff>
      <xdr:row>144</xdr:row>
      <xdr:rowOff>104526</xdr:rowOff>
    </xdr:to>
    <xdr:pic>
      <xdr:nvPicPr>
        <xdr:cNvPr id="15" name="图片 14"/>
        <xdr:cNvPicPr>
          <a:picLocks noChangeAspect="1"/>
        </xdr:cNvPicPr>
      </xdr:nvPicPr>
      <xdr:blipFill>
        <a:blip xmlns:r="http://schemas.openxmlformats.org/officeDocument/2006/relationships" r:embed="rId9"/>
        <a:stretch>
          <a:fillRect/>
        </a:stretch>
      </xdr:blipFill>
      <xdr:spPr>
        <a:xfrm>
          <a:off x="8915400" y="22802850"/>
          <a:ext cx="9400001" cy="1990476"/>
        </a:xfrm>
        <a:prstGeom prst="rect">
          <a:avLst/>
        </a:prstGeom>
      </xdr:spPr>
    </xdr:pic>
    <xdr:clientData/>
  </xdr:twoCellAnchor>
  <xdr:twoCellAnchor editAs="oneCell">
    <xdr:from>
      <xdr:col>5</xdr:col>
      <xdr:colOff>0</xdr:colOff>
      <xdr:row>149</xdr:row>
      <xdr:rowOff>0</xdr:rowOff>
    </xdr:from>
    <xdr:to>
      <xdr:col>14</xdr:col>
      <xdr:colOff>618277</xdr:colOff>
      <xdr:row>184</xdr:row>
      <xdr:rowOff>104012</xdr:rowOff>
    </xdr:to>
    <xdr:pic>
      <xdr:nvPicPr>
        <xdr:cNvPr id="16" name="图片 15"/>
        <xdr:cNvPicPr>
          <a:picLocks noChangeAspect="1"/>
        </xdr:cNvPicPr>
      </xdr:nvPicPr>
      <xdr:blipFill>
        <a:blip xmlns:r="http://schemas.openxmlformats.org/officeDocument/2006/relationships" r:embed="rId10"/>
        <a:stretch>
          <a:fillRect/>
        </a:stretch>
      </xdr:blipFill>
      <xdr:spPr>
        <a:xfrm>
          <a:off x="3429000" y="25546050"/>
          <a:ext cx="6790477" cy="61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B1" sqref="B1:Y1048576"/>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北京市房地产市场价值预评估</v>
      </c>
    </row>
    <row r="3" spans="1:2" s="1697" customFormat="1">
      <c r="A3" s="1698" t="s">
        <v>1103</v>
      </c>
      <c r="B3" s="1683" t="str">
        <f>'预评函-封皮'!B12</f>
        <v>xx</v>
      </c>
    </row>
    <row r="4" spans="1:2" s="1697" customFormat="1">
      <c r="A4" s="1698" t="s">
        <v>1104</v>
      </c>
      <c r="B4" s="1683" t="str">
        <f ca="1">'预评函-封皮'!B18</f>
        <v>叶凌（注册号:1119970111）、陈颖（注册号:1120060040)</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估价对象为北京市房地产，为XX所有。根据《不动产权证书》[]，估价对象建筑面积为392.22平方米，（分摊）出让国有建设用地使用权面积为0平方米。估价对象用途为。</v>
      </c>
    </row>
    <row r="8" spans="1:2">
      <c r="A8" s="1698" t="s">
        <v>1108</v>
      </c>
      <c r="B8" s="1685" t="str">
        <f>'预评函-1'!A8</f>
        <v>为估价委托人了解估价对象房地产市场价值提供参考依据。</v>
      </c>
    </row>
    <row r="9" spans="1:2">
      <c r="A9" s="1698" t="s">
        <v>1109</v>
      </c>
      <c r="B9" s="1685" t="str">
        <f>'预评函-1'!A10</f>
        <v>2020年10月30日（评估专业人员实地查勘之日）</v>
      </c>
    </row>
    <row r="10" spans="1:2">
      <c r="A10" s="1698" t="s">
        <v>1110</v>
      </c>
      <c r="B10" s="1685" t="str">
        <f>'预评函-1'!A13</f>
        <v>本次估价的“房地产价值”是指在正常市场情况下，在价值时点2020年10月30日，估价对象规划用途为，假定未设立法定优先受偿款下的房地产市场价值。</v>
      </c>
    </row>
    <row r="11" spans="1:2">
      <c r="A11" s="1698" t="s">
        <v>1111</v>
      </c>
      <c r="B11" s="1685"/>
    </row>
    <row r="12" spans="1:2">
      <c r="A12" s="1698" t="s">
        <v>1112</v>
      </c>
      <c r="B12" s="1685" t="str">
        <f>'预评函-1'!A14</f>
        <v>——</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v>
      </c>
    </row>
    <row r="15" spans="1:2" s="1695" customFormat="1" ht="15.75" thickBot="1">
      <c r="A15" s="1699" t="s">
        <v>1115</v>
      </c>
      <c r="B15" s="1686" t="str">
        <f>'预评函-1'!A18</f>
        <v>本次评估采用的主估价方法为基准地价系数修正法和基准地价系数修正法。</v>
      </c>
    </row>
    <row r="16" spans="1:2" ht="15.75" thickTop="1">
      <c r="A16" s="1696" t="s">
        <v>1116</v>
      </c>
      <c r="B16" s="168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392.22</v>
      </c>
    </row>
    <row r="19" spans="1:2">
      <c r="A19" s="1698" t="s">
        <v>1119</v>
      </c>
      <c r="B19" s="1685" t="e">
        <f ca="1">'预评函-2（1）'!D7</f>
        <v>#REF!</v>
      </c>
    </row>
    <row r="20" spans="1:2">
      <c r="A20" s="1698" t="s">
        <v>1157</v>
      </c>
      <c r="B20" s="1685" t="str">
        <f>'预评函-2（1）'!C7</f>
        <v>总价（元）</v>
      </c>
    </row>
    <row r="21" spans="1:2">
      <c r="A21" s="1698" t="s">
        <v>1120</v>
      </c>
      <c r="B21" s="1685" t="e">
        <f ca="1">'预评函-2（1）'!D9</f>
        <v>#REF!</v>
      </c>
    </row>
    <row r="22" spans="1:2">
      <c r="A22" s="1698" t="s">
        <v>1121</v>
      </c>
      <c r="B22" s="1685" t="e">
        <f ca="1">'预评函-2（1）'!D8</f>
        <v>#REF!</v>
      </c>
    </row>
    <row r="23" spans="1:2">
      <c r="A23" s="1698" t="s">
        <v>1158</v>
      </c>
      <c r="B23" s="1685">
        <f>'预评函-2（1）'!D10</f>
        <v>0</v>
      </c>
    </row>
    <row r="24" spans="1:2">
      <c r="A24" s="1698" t="s">
        <v>1159</v>
      </c>
      <c r="B24" s="1685" t="str">
        <f>'预评函-2（1）'!C10</f>
        <v>总额（元）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t="e">
        <f ca="1">'预评函-2（1）'!D15</f>
        <v>#REF!</v>
      </c>
    </row>
    <row r="30" spans="1:2">
      <c r="A30" s="1698" t="s">
        <v>1127</v>
      </c>
      <c r="B30" s="1685" t="e">
        <f ca="1">'预评函-2（1）'!D16</f>
        <v>#REF!</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e">
        <f ca="1">'预评函-2（1）'!D23</f>
        <v>#REF!</v>
      </c>
    </row>
    <row r="35" spans="1:2">
      <c r="A35" s="1698" t="s">
        <v>1132</v>
      </c>
      <c r="B35" s="1685" t="e">
        <f>'预评函-2（1）'!D22</f>
        <v>#VALUE!</v>
      </c>
    </row>
    <row r="36" spans="1:2">
      <c r="A36" s="1698" t="s">
        <v>1133</v>
      </c>
      <c r="B36" s="1685">
        <f>'预评函-2（2）'!C4</f>
        <v>0</v>
      </c>
    </row>
    <row r="37" spans="1:2">
      <c r="A37" s="1698" t="s">
        <v>1134</v>
      </c>
      <c r="B37" s="1685" t="e">
        <f ca="1">'预评函-2（2）'!D4</f>
        <v>#REF!</v>
      </c>
    </row>
    <row r="38" spans="1:2">
      <c r="A38" s="1698" t="s">
        <v>1135</v>
      </c>
      <c r="B38" s="1685" t="e">
        <f ca="1">'预评函-2（2）'!E4</f>
        <v>#REF!</v>
      </c>
    </row>
    <row r="39" spans="1:2">
      <c r="A39" s="1698" t="s">
        <v>1136</v>
      </c>
      <c r="B39" s="1685" t="e">
        <f ca="1">'预评函-2（2）'!D5</f>
        <v>#REF!</v>
      </c>
    </row>
    <row r="40" spans="1:2">
      <c r="A40" s="1698" t="s">
        <v>1137</v>
      </c>
      <c r="B40" s="1685" t="e">
        <f ca="1">'预评函-2（2）'!F4</f>
        <v>#REF!</v>
      </c>
    </row>
    <row r="41" spans="1:2">
      <c r="A41" s="1698" t="s">
        <v>1138</v>
      </c>
      <c r="B41" s="1685" t="e">
        <f ca="1">'预评函-2（2）'!G4</f>
        <v>#REF!</v>
      </c>
    </row>
    <row r="42" spans="1:2" s="1695" customFormat="1" ht="15.75" thickBot="1">
      <c r="A42" s="1699" t="s">
        <v>1139</v>
      </c>
      <c r="B42" s="1687" t="e">
        <f ca="1">'预评函-2（2）'!F5</f>
        <v>#REF!</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叶凌</v>
      </c>
    </row>
    <row r="53" spans="1:2">
      <c r="A53" s="1698" t="s">
        <v>1149</v>
      </c>
      <c r="B53" s="1685">
        <f ca="1">'预评函-3'!B4</f>
        <v>1119970111</v>
      </c>
    </row>
    <row r="54" spans="1:2">
      <c r="A54" s="1698" t="s">
        <v>1150</v>
      </c>
      <c r="B54" s="1689" t="str">
        <f>'预评函-3'!A5</f>
        <v>陈颖</v>
      </c>
    </row>
    <row r="55" spans="1:2" s="1695" customFormat="1" ht="15.75" thickBot="1">
      <c r="A55" s="1699" t="s">
        <v>1151</v>
      </c>
      <c r="B55" s="1687">
        <f ca="1">'预评函-3'!B5</f>
        <v>1120060040</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单位：元、元/平方米（单位：人民币）</v>
      </c>
    </row>
    <row r="60" spans="1:2">
      <c r="A60" s="1701" t="s">
        <v>1165</v>
      </c>
      <c r="B60" s="1685" t="str">
        <f>'预评函-2（2）'!D2</f>
        <v>出让国有建设用地使用权价值</v>
      </c>
    </row>
    <row r="61" spans="1:2" s="1697" customFormat="1">
      <c r="A61" s="1701" t="s">
        <v>1166</v>
      </c>
      <c r="B61" s="1685" t="str">
        <f>'预评函-2（2）'!A14</f>
        <v>单位：平方米、元、元/平方米（币种：人民币）</v>
      </c>
    </row>
    <row r="62" spans="1:2" ht="28.5">
      <c r="A62" s="1701" t="s">
        <v>1250</v>
      </c>
      <c r="B62" s="1685" t="e">
        <f ca="1">'预评函-2（1）'!D38</f>
        <v>#REF!</v>
      </c>
    </row>
    <row r="63" spans="1:2" s="1697" customFormat="1" ht="28.5">
      <c r="A63" s="1701" t="s">
        <v>1251</v>
      </c>
      <c r="B63" s="1685" t="str">
        <f>'预评函-2（1）'!D41</f>
        <v>——</v>
      </c>
    </row>
    <row r="64" spans="1:2">
      <c r="A64" s="1701" t="s">
        <v>1174</v>
      </c>
      <c r="B64" s="1685" t="str">
        <f>'预评函-2（2）'!A6</f>
        <v>——</v>
      </c>
    </row>
    <row r="65" spans="1:2">
      <c r="A65" s="1701" t="s">
        <v>1175</v>
      </c>
      <c r="B65" s="1685" t="str">
        <f>'预评函-2（2）'!A8</f>
        <v>——</v>
      </c>
    </row>
    <row r="66" spans="1:2">
      <c r="A66" s="1701" t="s">
        <v>1176</v>
      </c>
      <c r="B66" s="1685" t="str">
        <f>'预评函-2（2）'!A10</f>
        <v>——</v>
      </c>
    </row>
    <row r="67" spans="1:2" s="1695" customFormat="1" ht="15.75" thickBot="1">
      <c r="A67" s="1702" t="s">
        <v>1177</v>
      </c>
      <c r="B67" s="1686" t="str">
        <f>'预评函-2（2）'!A12</f>
        <v>——</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1" sqref="B1:Y1048576"/>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北京市房地产市场价值预评估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叶凌（注册号:1119970111）、陈颖（注册号:1120060040)</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1260</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1261</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估价对象为北京市房地产，为XX所有。根据《不动产权证书》[]，估价对象建筑面积为392.22平方米，（分摊）出让国有建设用地使用权面积为0平方米。估价对象用途为。</v>
      </c>
      <c r="B6" s="1912"/>
      <c r="C6" s="1912"/>
      <c r="D6" s="1912"/>
      <c r="E6" s="1912"/>
      <c r="F6" s="1912"/>
      <c r="G6" s="1912"/>
    </row>
    <row r="7" spans="1:7" ht="18.75">
      <c r="A7" s="1913" t="s">
        <v>1262</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1263</v>
      </c>
      <c r="B9" s="1917"/>
    </row>
    <row r="10" spans="1:7" ht="18">
      <c r="A10" s="1918" t="str">
        <f>TEXT(项目基本情况!D2,"yyyy年m月d日;;")&amp;IF(项目基本情况!B2=项目基本情况!D2,"（评估专业人员实地查勘之日）","")</f>
        <v>2020年10月30日（评估专业人员实地查勘之日）</v>
      </c>
      <c r="B10" s="1919"/>
      <c r="C10" s="1919"/>
      <c r="D10" s="1919"/>
      <c r="E10" s="1919"/>
      <c r="F10" s="1919"/>
      <c r="G10" s="1919"/>
    </row>
    <row r="11" spans="1:7" ht="18.75">
      <c r="A11" s="1910" t="s">
        <v>1264</v>
      </c>
    </row>
    <row r="12" spans="1:7" ht="75">
      <c r="A12" s="1912" t="s">
        <v>1265</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本次估价的“房地产价值”是指在正常市场情况下，在价值时点2020年10月30日，估价对象规划用途为，假定未设立法定优先受偿款下的房地产市场价值。</v>
      </c>
      <c r="B13" s="1912"/>
      <c r="C13" s="1912"/>
      <c r="D13" s="1912"/>
      <c r="E13" s="1912"/>
      <c r="F13" s="1912"/>
      <c r="G13" s="1912"/>
    </row>
    <row r="14" spans="1:7" ht="18">
      <c r="A14" s="1915" t="str">
        <f>IF(项目基本情况!D5="房地产市场价值","——",IF(项目基本情况!F5="房地产抵押价值",定义!C54,IF(项目基本情况!F5="已注销",定义!C55,定义!C56)))</f>
        <v>——</v>
      </c>
      <c r="B14" s="1920"/>
      <c r="C14" s="1920"/>
      <c r="D14" s="1920"/>
      <c r="E14" s="1920"/>
      <c r="F14" s="1920"/>
      <c r="G14" s="1920"/>
    </row>
    <row r="15" spans="1:7" ht="56.25">
      <c r="A15" s="1912" t="s">
        <v>1259</v>
      </c>
      <c r="B15" s="1912"/>
      <c r="C15" s="1912"/>
      <c r="D15" s="1912"/>
      <c r="E15" s="1912"/>
      <c r="F15" s="1912"/>
      <c r="G15" s="1912"/>
    </row>
    <row r="16" spans="1:7" ht="18">
      <c r="A16" s="1916" t="str">
        <f>IF(项目基本情况!D5="房地产市场价值","——",IF(项目基本情况!G5="——","",定义!C57))</f>
        <v>——</v>
      </c>
      <c r="B16" s="1920"/>
      <c r="C16" s="1920"/>
      <c r="D16" s="1920"/>
      <c r="E16" s="1920"/>
      <c r="F16" s="1920"/>
      <c r="G16" s="1920"/>
    </row>
    <row r="17" spans="1:1" ht="18.75">
      <c r="A17" s="1910" t="s">
        <v>1258</v>
      </c>
    </row>
    <row r="18" spans="1:1" ht="18">
      <c r="A18" s="1921"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90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00"/>
      <c r="C2" s="2900"/>
      <c r="D2" s="2900"/>
      <c r="E2" s="2900"/>
    </row>
    <row r="3" spans="1:5" ht="13.5" customHeight="1">
      <c r="A3" s="1925"/>
      <c r="B3" s="1925"/>
      <c r="C3" s="1925"/>
      <c r="D3" s="1925"/>
      <c r="E3" s="1925"/>
    </row>
    <row r="4" spans="1:5" ht="19.5" thickBot="1">
      <c r="A4" s="2901" t="str">
        <f>IF(项目基本情况!D5="房地产市场价值","估价结果一览表（市场价值不需本页表格)","估价结果一览表")</f>
        <v>估价结果一览表（市场价值不需本页表格)</v>
      </c>
      <c r="B4" s="2901"/>
      <c r="C4" s="2901"/>
      <c r="D4" s="2901"/>
      <c r="E4" s="2901"/>
    </row>
    <row r="5" spans="1:5" ht="14.25" customHeight="1" thickTop="1">
      <c r="A5" s="1922"/>
      <c r="B5" s="1926" t="s">
        <v>742</v>
      </c>
      <c r="C5" s="2902" t="s">
        <v>779</v>
      </c>
      <c r="D5" s="2903"/>
      <c r="E5" s="1922"/>
    </row>
    <row r="6" spans="1:5" ht="14.25">
      <c r="A6" s="1922"/>
      <c r="B6" s="1927" t="str">
        <f>项目基本情况!I1</f>
        <v>北京市房地产</v>
      </c>
      <c r="C6" s="2904">
        <f>项目基本情况!C12</f>
        <v>392.22</v>
      </c>
      <c r="D6" s="2904"/>
      <c r="E6" s="1922"/>
    </row>
    <row r="7" spans="1:5" ht="14.25">
      <c r="A7" s="1922"/>
      <c r="B7" s="2898" t="s">
        <v>780</v>
      </c>
      <c r="C7" s="1928" t="str">
        <f>IF('数据-取费表'!B3="万元","总价（万元）","总价（元）")</f>
        <v>总价（元）</v>
      </c>
      <c r="D7" s="1929" t="e">
        <f ca="1">IF('数据-取费表'!E3="否",结果表!I102,'结果表 (1修多)'!I103)</f>
        <v>#REF!</v>
      </c>
      <c r="E7" s="1922"/>
    </row>
    <row r="8" spans="1:5" ht="14.25">
      <c r="A8" s="1922"/>
      <c r="B8" s="2898"/>
      <c r="C8" s="1930" t="s">
        <v>1169</v>
      </c>
      <c r="D8" s="1931" t="e">
        <f ca="1">IF('数据-取费表'!B3="万元",NUMBERSTRING(INT(D7*10000),2)&amp;"元整",NUMBERSTRING(INT(D7),2)&amp;"元整")</f>
        <v>#REF!</v>
      </c>
      <c r="E8" s="1922"/>
    </row>
    <row r="9" spans="1:5" ht="14.25">
      <c r="A9" s="1922"/>
      <c r="B9" s="2898"/>
      <c r="C9" s="1932" t="s">
        <v>1266</v>
      </c>
      <c r="D9" s="1929" t="e">
        <f ca="1">IF('数据-取费表'!E3="否",结果表!I103,'结果表 (1修多)'!I104)</f>
        <v>#REF!</v>
      </c>
      <c r="E9" s="1922"/>
    </row>
    <row r="10" spans="1:5" ht="14.25">
      <c r="A10" s="1922"/>
      <c r="B10" s="2905" t="str">
        <f>IF('数据-取费表'!E3="否",结果表!F105,'结果表 (1修多)'!F106)</f>
        <v>2.估价师所知悉的法定优先受偿款</v>
      </c>
      <c r="C10" s="1933" t="str">
        <f>IF('数据-取费表'!B3="万元","总额（万元）","总额（元）")</f>
        <v>总额（元）</v>
      </c>
      <c r="D10" s="1929">
        <f>IF('数据-取费表'!E3="否",结果表!I105,'结果表 (1修多)'!I106)</f>
        <v>0</v>
      </c>
      <c r="E10" s="1922"/>
    </row>
    <row r="11" spans="1:5" ht="14.25">
      <c r="A11" s="1922"/>
      <c r="B11" s="2905"/>
      <c r="C11" s="1930" t="s">
        <v>1169</v>
      </c>
      <c r="D11" s="1931" t="str">
        <f>IF('数据-取费表'!B3="万元",NUMBERSTRING(INT(D10*10000),2)&amp;"元整",NUMBERSTRING(INT(D10),2)&amp;"元整")</f>
        <v>零元整</v>
      </c>
      <c r="E11" s="1922"/>
    </row>
    <row r="12" spans="1:5" ht="14.25">
      <c r="A12" s="1922"/>
      <c r="B12" s="1934" t="s">
        <v>743</v>
      </c>
      <c r="C12" s="1935" t="str">
        <f>C10</f>
        <v>总额（元）</v>
      </c>
      <c r="D12" s="1936">
        <f>IF('数据-取费表'!E3="否",结果表!I106,'结果表 (1修多)'!I107)</f>
        <v>0</v>
      </c>
      <c r="E12" s="1922"/>
    </row>
    <row r="13" spans="1:5" ht="14.25">
      <c r="A13" s="1922"/>
      <c r="B13" s="1934" t="s">
        <v>744</v>
      </c>
      <c r="C13" s="1935" t="str">
        <f>C10</f>
        <v>总额（元）</v>
      </c>
      <c r="D13" s="1936">
        <f>IF('数据-取费表'!E3="否",结果表!I107,'结果表 (1修多)'!I108)</f>
        <v>0</v>
      </c>
      <c r="E13" s="1922"/>
    </row>
    <row r="14" spans="1:5" ht="14.25">
      <c r="A14" s="1922"/>
      <c r="B14" s="1934" t="s">
        <v>745</v>
      </c>
      <c r="C14" s="1935" t="str">
        <f>C10</f>
        <v>总额（元）</v>
      </c>
      <c r="D14" s="1936">
        <f>IF('数据-取费表'!E3="否",结果表!I108,'结果表 (1修多)'!I109)</f>
        <v>0</v>
      </c>
      <c r="E14" s="1922"/>
    </row>
    <row r="15" spans="1:5" ht="14.25">
      <c r="A15" s="1922"/>
      <c r="B15" s="2905" t="str">
        <f>IF('数据-取费表'!E3="否",结果表!F110,'结果表 (1修多)'!F111)</f>
        <v>3.房地产抵押价值</v>
      </c>
      <c r="C15" s="1923" t="str">
        <f>C7</f>
        <v>总价（元）</v>
      </c>
      <c r="D15" s="1929" t="e">
        <f ca="1">IF('数据-取费表'!E3="否",结果表!I110,'结果表 (1修多)'!I111)</f>
        <v>#REF!</v>
      </c>
      <c r="E15" s="1922"/>
    </row>
    <row r="16" spans="1:5" ht="14.25">
      <c r="A16" s="1922"/>
      <c r="B16" s="2905"/>
      <c r="C16" s="1930" t="s">
        <v>1169</v>
      </c>
      <c r="D16" s="1929" t="e">
        <f ca="1">IF('数据-取费表'!B3="万元",NUMBERSTRING(INT(D15*10000),2)&amp;"元整",NUMBERSTRING(INT(D15),2)&amp;"元整")</f>
        <v>#REF!</v>
      </c>
      <c r="E16" s="1922"/>
    </row>
    <row r="17" spans="1:5" ht="14.25">
      <c r="A17" s="1922"/>
      <c r="B17" s="2905"/>
      <c r="C17" s="1932" t="s">
        <v>1266</v>
      </c>
      <c r="D17" s="1929" t="e">
        <f ca="1">IF('数据-取费表'!E3="否",结果表!I111,'结果表 (1修多)'!I112)</f>
        <v>#REF!</v>
      </c>
      <c r="E17" s="1922"/>
    </row>
    <row r="18" spans="1:5" ht="14.25">
      <c r="A18" s="1922"/>
      <c r="B18" s="2905" t="str">
        <f>IF('数据-取费表'!E3="否",结果表!F112,'结果表 (1修多)'!F113)</f>
        <v>——</v>
      </c>
      <c r="C18" s="1923" t="str">
        <f>C7</f>
        <v>总价（元）</v>
      </c>
      <c r="D18" s="1929" t="str">
        <f>IF('数据-取费表'!E3="否",结果表!I112,'结果表 (1修多)'!I113)</f>
        <v>——</v>
      </c>
      <c r="E18" s="1922"/>
    </row>
    <row r="19" spans="1:5" ht="14.25">
      <c r="A19" s="1922"/>
      <c r="B19" s="2905"/>
      <c r="C19" s="1930" t="s">
        <v>1169</v>
      </c>
      <c r="D19" s="1929" t="e">
        <f>IF('数据-取费表'!B3="万元",NUMBERSTRING(INT(D18*10000),2)&amp;"元整",NUMBERSTRING(INT(D18),2)&amp;"元整")</f>
        <v>#VALUE!</v>
      </c>
      <c r="E19" s="1922"/>
    </row>
    <row r="20" spans="1:5" ht="14.25">
      <c r="A20" s="1922"/>
      <c r="B20" s="2905"/>
      <c r="C20" s="1932" t="s">
        <v>1266</v>
      </c>
      <c r="D20" s="1929" t="str">
        <f>IF('数据-取费表'!E3="否",结果表!I113,'结果表 (1修多)'!I114)</f>
        <v>——</v>
      </c>
      <c r="E20" s="1922"/>
    </row>
    <row r="21" spans="1:5" ht="14.25">
      <c r="A21" s="1922"/>
      <c r="B21" s="2898" t="str">
        <f>IF('数据-取费表'!E3="否",结果表!F114,'结果表 (1修多)'!F115)</f>
        <v>——</v>
      </c>
      <c r="C21" s="1928" t="str">
        <f>C7</f>
        <v>总价（元）</v>
      </c>
      <c r="D21" s="1929" t="str">
        <f>IF('数据-取费表'!E3="否",结果表!I114,'结果表 (1修多)'!I115)</f>
        <v>——</v>
      </c>
      <c r="E21" s="1922"/>
    </row>
    <row r="22" spans="1:5" ht="14.25">
      <c r="A22" s="1922"/>
      <c r="B22" s="2898"/>
      <c r="C22" s="1930" t="s">
        <v>1169</v>
      </c>
      <c r="D22" s="1931" t="e">
        <f>IF('数据-取费表'!B3="万元",NUMBERSTRING(INT(D21*10000),2)&amp;"元整",NUMBERSTRING(INT(D21),2)&amp;"元整")</f>
        <v>#VALUE!</v>
      </c>
      <c r="E22" s="1922"/>
    </row>
    <row r="23" spans="1:5" ht="15" thickBot="1">
      <c r="A23" s="1922"/>
      <c r="B23" s="2899"/>
      <c r="C23" s="1937" t="s">
        <v>1266</v>
      </c>
      <c r="D23" s="1938" t="e">
        <f ca="1">IF('数据-取费表'!E3="否",结果表!I115,'结果表 (1修多)'!I116)</f>
        <v>#REF!</v>
      </c>
      <c r="E23" s="1922"/>
    </row>
    <row r="24" spans="1:5" ht="14.25" thickTop="1">
      <c r="A24" s="1922"/>
      <c r="B24" s="1922"/>
      <c r="C24" s="1922"/>
      <c r="D24" s="1922"/>
      <c r="E24" s="1922"/>
    </row>
    <row r="25" spans="1:5" ht="18.75" customHeight="1" thickBot="1">
      <c r="A25" s="1922"/>
      <c r="B25" s="2890" t="s">
        <v>1267</v>
      </c>
      <c r="C25" s="2890"/>
      <c r="D25" s="2890"/>
      <c r="E25" s="1922"/>
    </row>
    <row r="26" spans="1:5" ht="18.75" customHeight="1" thickTop="1">
      <c r="A26" s="1922"/>
      <c r="B26" s="2893" t="s">
        <v>1168</v>
      </c>
      <c r="C26" s="2894"/>
      <c r="D26" s="2891" t="s">
        <v>1167</v>
      </c>
      <c r="E26" s="1922"/>
    </row>
    <row r="27" spans="1:5" ht="18.75" customHeight="1">
      <c r="A27" s="1922"/>
      <c r="B27" s="2895"/>
      <c r="C27" s="2896"/>
      <c r="D27" s="2892"/>
      <c r="E27" s="1922"/>
    </row>
    <row r="28" spans="1:5" ht="14.25">
      <c r="A28" s="1922"/>
      <c r="B28" s="2883" t="s">
        <v>780</v>
      </c>
      <c r="C28" s="1939" t="s">
        <v>1170</v>
      </c>
      <c r="D28" s="1940" t="e">
        <f ca="1">IF('数据-取费表'!E3="否",结果表!I102,'结果表 (1修多)'!I103)</f>
        <v>#REF!</v>
      </c>
      <c r="E28" s="1922"/>
    </row>
    <row r="29" spans="1:5" ht="14.25">
      <c r="A29" s="1922"/>
      <c r="B29" s="2884"/>
      <c r="C29" s="1941" t="s">
        <v>1169</v>
      </c>
      <c r="D29" s="1942" t="e">
        <f ca="1">IF('数据-取费表'!B3="万元",NUMBERSTRING(INT(D28*10000),2)&amp;"元整",NUMBERSTRING(INT(D28),2)&amp;"元整")</f>
        <v>#REF!</v>
      </c>
      <c r="E29" s="1922"/>
    </row>
    <row r="30" spans="1:5" ht="14.25">
      <c r="A30" s="1922"/>
      <c r="B30" s="2885"/>
      <c r="C30" s="1932" t="s">
        <v>1172</v>
      </c>
      <c r="D30" s="1943" t="e">
        <f ca="1">IF('数据-取费表'!E3="否",结果表!I103,'结果表 (1修多)'!I104)</f>
        <v>#REF!</v>
      </c>
      <c r="E30" s="1922"/>
    </row>
    <row r="31" spans="1:5" ht="14.25">
      <c r="A31" s="1922"/>
      <c r="B31" s="2888" t="str">
        <f>B10</f>
        <v>2.估价师所知悉的法定优先受偿款</v>
      </c>
      <c r="C31" s="1944" t="s">
        <v>1171</v>
      </c>
      <c r="D31" s="1945">
        <f>IF('数据-取费表'!E3="否",结果表!I105,'结果表 (1修多)'!I106)</f>
        <v>0</v>
      </c>
      <c r="E31" s="1922"/>
    </row>
    <row r="32" spans="1:5" ht="14.25">
      <c r="A32" s="1922"/>
      <c r="B32" s="2897"/>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886" t="str">
        <f>B15</f>
        <v>3.房地产抵押价值</v>
      </c>
      <c r="C36" s="1944" t="str">
        <f>C28</f>
        <v>总价</v>
      </c>
      <c r="D36" s="1945" t="e">
        <f ca="1">IF('数据-取费表'!E3="否",结果表!I110,'结果表 (1修多)'!I111)</f>
        <v>#REF!</v>
      </c>
      <c r="E36" s="1922"/>
    </row>
    <row r="37" spans="1:5" ht="14.25">
      <c r="A37" s="1922"/>
      <c r="B37" s="2886"/>
      <c r="C37" s="1941" t="s">
        <v>1169</v>
      </c>
      <c r="D37" s="1946" t="e">
        <f ca="1">IF('数据-取费表'!B3="万元",NUMBERSTRING(INT(D36*10000),2)&amp;"元整",NUMBERSTRING(INT(D36),2)&amp;"元整")</f>
        <v>#REF!</v>
      </c>
      <c r="E37" s="1922"/>
    </row>
    <row r="38" spans="1:5" ht="14.25">
      <c r="A38" s="1922"/>
      <c r="B38" s="2886"/>
      <c r="C38" s="1932" t="s">
        <v>1173</v>
      </c>
      <c r="D38" s="1943" t="e">
        <f ca="1">IF('数据-取费表'!E3="否",结果表!D113,'结果表 (1修多)'!D116)</f>
        <v>#REF!</v>
      </c>
      <c r="E38" s="1922"/>
    </row>
    <row r="39" spans="1:5" ht="14.25">
      <c r="A39" s="1922"/>
      <c r="B39" s="2887" t="str">
        <f>B18</f>
        <v>——</v>
      </c>
      <c r="C39" s="1944" t="str">
        <f>C28</f>
        <v>总价</v>
      </c>
      <c r="D39" s="1945" t="str">
        <f>IF('数据-取费表'!E3="否",结果表!I112,'结果表 (1修多)'!I113)</f>
        <v>——</v>
      </c>
      <c r="E39" s="1922"/>
    </row>
    <row r="40" spans="1:5" ht="14.25">
      <c r="A40" s="1922"/>
      <c r="B40" s="2887"/>
      <c r="C40" s="1941" t="s">
        <v>1169</v>
      </c>
      <c r="D40" s="1946" t="e">
        <f>IF('数据-取费表'!B3="万元",NUMBERSTRING(INT(D39*10000),2)&amp;"元整",NUMBERSTRING(INT(D39),2)&amp;"元整")</f>
        <v>#VALUE!</v>
      </c>
      <c r="E40" s="1922"/>
    </row>
    <row r="41" spans="1:5" ht="14.25">
      <c r="A41" s="1922"/>
      <c r="B41" s="2887"/>
      <c r="C41" s="1932" t="s">
        <v>1173</v>
      </c>
      <c r="D41" s="1943" t="str">
        <f>IF('数据-取费表'!E3="否",结果表!D115,'结果表 (1修多)'!D118)</f>
        <v>——</v>
      </c>
      <c r="E41" s="1922"/>
    </row>
    <row r="42" spans="1:5" ht="14.25">
      <c r="A42" s="1922"/>
      <c r="B42" s="2886" t="str">
        <f>B21</f>
        <v>——</v>
      </c>
      <c r="C42" s="1944" t="str">
        <f>C28</f>
        <v>总价</v>
      </c>
      <c r="D42" s="1945" t="str">
        <f>IF('数据-取费表'!E3="否",结果表!I114,'结果表 (1修多)'!I115)</f>
        <v>——</v>
      </c>
      <c r="E42" s="1922"/>
    </row>
    <row r="43" spans="1:5" ht="14.25">
      <c r="A43" s="1922"/>
      <c r="B43" s="2888"/>
      <c r="C43" s="1941" t="s">
        <v>1169</v>
      </c>
      <c r="D43" s="1947" t="e">
        <f>IF('数据-取费表'!B3="万元",NUMBERSTRING(INT(D42*10000),2)&amp;"元整",NUMBERSTRING(INT(D42),2)&amp;"元整")</f>
        <v>#VALUE!</v>
      </c>
      <c r="E43" s="1922"/>
    </row>
    <row r="44" spans="1:5" ht="15" thickBot="1">
      <c r="A44" s="1922"/>
      <c r="B44" s="2889"/>
      <c r="C44" s="1937" t="s">
        <v>1173</v>
      </c>
      <c r="D44" s="1948" t="e">
        <f ca="1">IF('数据-取费表'!E3="否",结果表!D117,'结果表 (1修多)'!D120)</f>
        <v>#REF!</v>
      </c>
      <c r="E44" s="1922"/>
    </row>
    <row r="45" spans="1:5" ht="14.25" thickTop="1">
      <c r="A45" s="1922"/>
      <c r="B45" s="1922" t="str">
        <f>IF('数据-取费表'!B3="元","单位：元、元/平方米（单位：人民币）","单位：万元、元/平方米（单位：人民币）")</f>
        <v>单位：元、元/平方米（单位：人民币）</v>
      </c>
      <c r="C45" s="1922"/>
      <c r="D45" s="1922"/>
      <c r="E45" s="1922"/>
    </row>
    <row r="46" spans="1:5" ht="18.75">
      <c r="B46" s="1949"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912" t="str">
        <f>IF(项目基本情况!D5="房地产市场价值","估价结果一览表","结果表-2")</f>
        <v>估价结果一览表</v>
      </c>
      <c r="B1" s="2912"/>
      <c r="C1" s="2912"/>
      <c r="D1" s="2912"/>
      <c r="E1" s="2912"/>
      <c r="F1" s="2912"/>
      <c r="G1" s="2912"/>
      <c r="H1" s="2912"/>
      <c r="I1" s="2912"/>
    </row>
    <row r="2" spans="1:9" ht="30" customHeight="1" thickTop="1">
      <c r="A2" s="2913" t="s">
        <v>1268</v>
      </c>
      <c r="B2" s="2913" t="s">
        <v>1269</v>
      </c>
      <c r="C2" s="2913" t="s">
        <v>1270</v>
      </c>
      <c r="D2" s="2913" t="str">
        <f>IF('数据-取费表'!E3="否",结果表!D119,'结果表 (1修多)'!D122)</f>
        <v>出让国有建设用地使用权价值</v>
      </c>
      <c r="E2" s="2913"/>
      <c r="F2" s="2913" t="s">
        <v>1271</v>
      </c>
      <c r="G2" s="2913"/>
      <c r="H2" s="2913" t="s">
        <v>1272</v>
      </c>
      <c r="I2" s="2913"/>
    </row>
    <row r="3" spans="1:9" ht="15">
      <c r="A3" s="2906"/>
      <c r="B3" s="2906"/>
      <c r="C3" s="2906"/>
      <c r="D3" s="1045" t="s">
        <v>1273</v>
      </c>
      <c r="E3" s="1045" t="s">
        <v>1274</v>
      </c>
      <c r="F3" s="1045" t="s">
        <v>1273</v>
      </c>
      <c r="G3" s="1045" t="s">
        <v>1275</v>
      </c>
      <c r="H3" s="1045" t="s">
        <v>1273</v>
      </c>
      <c r="I3" s="1045" t="s">
        <v>1275</v>
      </c>
    </row>
    <row r="4" spans="1:9" ht="46.5" customHeight="1">
      <c r="A4" s="1045" t="str">
        <f>项目基本情况!I1</f>
        <v>北京市房地产</v>
      </c>
      <c r="B4" s="1045">
        <f>结果表!B121</f>
        <v>392.22</v>
      </c>
      <c r="C4" s="1045">
        <f>结果表!C121</f>
        <v>0</v>
      </c>
      <c r="D4" s="1045" t="e">
        <f ca="1">IF('数据-取费表'!E3="否",结果表!D121,'结果表 (1修多)'!D124)</f>
        <v>#REF!</v>
      </c>
      <c r="E4" s="1045" t="e">
        <f ca="1">IF('数据-取费表'!E3="否",结果表!E121,'结果表 (1修多)'!E124)</f>
        <v>#REF!</v>
      </c>
      <c r="F4" s="1045" t="e">
        <f ca="1">IF('数据-取费表'!E3="否",结果表!F121,'结果表 (1修多)'!F124)</f>
        <v>#REF!</v>
      </c>
      <c r="G4" s="1045" t="e">
        <f ca="1">IF('数据-取费表'!E3="否",结果表!G121,'结果表 (1修多)'!G124)</f>
        <v>#REF!</v>
      </c>
      <c r="H4" s="1045" t="e">
        <f ca="1">IF('数据-取费表'!E3="否",结果表!H121,'结果表 (1修多)'!H124)</f>
        <v>#REF!</v>
      </c>
      <c r="I4" s="1045" t="e">
        <f ca="1">IF('数据-取费表'!E3="否",结果表!I121,'结果表 (1修多)'!I124)</f>
        <v>#REF!</v>
      </c>
    </row>
    <row r="5" spans="1:9" ht="15">
      <c r="A5" s="2906" t="s">
        <v>1276</v>
      </c>
      <c r="B5" s="2906"/>
      <c r="C5" s="2906"/>
      <c r="D5" s="2907" t="e">
        <f ca="1">IF('数据-取费表'!E3="否",结果表!D122,'结果表 (1修多)'!D125)</f>
        <v>#REF!</v>
      </c>
      <c r="E5" s="2907"/>
      <c r="F5" s="2907" t="e">
        <f ca="1">IF('数据-取费表'!E3="否",结果表!F122,'结果表 (1修多)'!F125)</f>
        <v>#REF!</v>
      </c>
      <c r="G5" s="2907"/>
      <c r="H5" s="2907" t="e">
        <f ca="1">IF('数据-取费表'!E3="否",结果表!H122,'结果表 (1修多)'!H125)</f>
        <v>#REF!</v>
      </c>
      <c r="I5" s="2907"/>
    </row>
    <row r="6" spans="1:9" ht="15.75">
      <c r="A6" s="2908" t="str">
        <f>IF('数据-取费表'!E3="否",结果表!A123,'结果表 (1修多)'!A126)</f>
        <v>——</v>
      </c>
      <c r="B6" s="2908"/>
      <c r="C6" s="2908"/>
      <c r="D6" s="2908">
        <f>IF('数据-取费表'!E3="否",结果表!D123,'结果表 (1修多)'!D126)</f>
        <v>0</v>
      </c>
      <c r="E6" s="2908"/>
      <c r="F6" s="2908"/>
      <c r="G6" s="2908"/>
      <c r="H6" s="2908"/>
      <c r="I6" s="2908"/>
    </row>
    <row r="7" spans="1:9" ht="15">
      <c r="A7" s="2906" t="s">
        <v>1276</v>
      </c>
      <c r="B7" s="2906"/>
      <c r="C7" s="2906"/>
      <c r="D7" s="2914">
        <f>IF('数据-取费表'!E3="否",结果表!D124,'结果表 (1修多)'!D127)</f>
        <v>0</v>
      </c>
      <c r="E7" s="2915"/>
      <c r="F7" s="2915"/>
      <c r="G7" s="2915"/>
      <c r="H7" s="2915"/>
      <c r="I7" s="2916"/>
    </row>
    <row r="8" spans="1:9" ht="15.75">
      <c r="A8" s="2908" t="str">
        <f>IF('数据-取费表'!E3="否",结果表!A125,'结果表 (1修多)'!A128)</f>
        <v>——</v>
      </c>
      <c r="B8" s="2908"/>
      <c r="C8" s="2908"/>
      <c r="D8" s="2908" t="e">
        <f ca="1">IF('数据-取费表'!E3="否",结果表!D125,'结果表 (1修多)'!D128)</f>
        <v>#REF!</v>
      </c>
      <c r="E8" s="2908"/>
      <c r="F8" s="2908"/>
      <c r="G8" s="2908"/>
      <c r="H8" s="2908"/>
      <c r="I8" s="2908"/>
    </row>
    <row r="9" spans="1:9" ht="15">
      <c r="A9" s="2906" t="s">
        <v>1276</v>
      </c>
      <c r="B9" s="2906"/>
      <c r="C9" s="2906"/>
      <c r="D9" s="2907" t="e">
        <f ca="1">IF('数据-取费表'!E3="否",结果表!D126,'结果表 (1修多)'!D129)</f>
        <v>#REF!</v>
      </c>
      <c r="E9" s="2907"/>
      <c r="F9" s="2907"/>
      <c r="G9" s="2907"/>
      <c r="H9" s="2907"/>
      <c r="I9" s="2907"/>
    </row>
    <row r="10" spans="1:9" ht="15.75">
      <c r="A10" s="2908" t="str">
        <f>IF('数据-取费表'!E3="否",结果表!A127,'结果表 (1修多)'!A130)</f>
        <v>——</v>
      </c>
      <c r="B10" s="2908"/>
      <c r="C10" s="2908"/>
      <c r="D10" s="2908" t="str">
        <f>IF('数据-取费表'!E3="否",结果表!D127,'结果表 (1修多)'!D129)</f>
        <v>——</v>
      </c>
      <c r="E10" s="2908"/>
      <c r="F10" s="2908"/>
      <c r="G10" s="2908"/>
      <c r="H10" s="2908"/>
      <c r="I10" s="2908"/>
    </row>
    <row r="11" spans="1:9" ht="15">
      <c r="A11" s="2906" t="s">
        <v>1276</v>
      </c>
      <c r="B11" s="2906"/>
      <c r="C11" s="2906"/>
      <c r="D11" s="2907" t="str">
        <f>IF('数据-取费表'!E3="否",结果表!D128,'结果表 (1修多)'!D131)</f>
        <v>——</v>
      </c>
      <c r="E11" s="2907"/>
      <c r="F11" s="2907"/>
      <c r="G11" s="2907"/>
      <c r="H11" s="2907"/>
      <c r="I11" s="2907"/>
    </row>
    <row r="12" spans="1:9" ht="15.75">
      <c r="A12" s="2908" t="str">
        <f>IF('数据-取费表'!E3="否",结果表!A129,'结果表 (1修多)'!A132)</f>
        <v>——</v>
      </c>
      <c r="B12" s="2908"/>
      <c r="C12" s="2908"/>
      <c r="D12" s="2908" t="str">
        <f>IF('数据-取费表'!E3="否",结果表!D129,'结果表 (1修多)'!D132)</f>
        <v>——</v>
      </c>
      <c r="E12" s="2908"/>
      <c r="F12" s="2908"/>
      <c r="G12" s="2908"/>
      <c r="H12" s="2908"/>
      <c r="I12" s="2908"/>
    </row>
    <row r="13" spans="1:9" ht="15.75" thickBot="1">
      <c r="A13" s="2909" t="s">
        <v>1276</v>
      </c>
      <c r="B13" s="2909"/>
      <c r="C13" s="2909"/>
      <c r="D13" s="2910">
        <f>IF('数据-取费表'!E3="否",结果表!D130,'结果表 (1修多)'!D133)</f>
        <v>0</v>
      </c>
      <c r="E13" s="2910"/>
      <c r="F13" s="2910"/>
      <c r="G13" s="2910"/>
      <c r="H13" s="2910"/>
      <c r="I13" s="2910"/>
    </row>
    <row r="14" spans="1:9" ht="15" thickTop="1">
      <c r="A14" s="2911" t="str">
        <f>IF('数据-取费表'!E3="否",结果表!A131,'结果表 (1修多)'!A134)</f>
        <v>单位：平方米、元、元/平方米（币种：人民币）</v>
      </c>
      <c r="B14" s="2911"/>
      <c r="C14" s="2911"/>
      <c r="D14" s="2911"/>
      <c r="E14" s="2911"/>
      <c r="F14" s="2911"/>
      <c r="G14" s="2911"/>
      <c r="H14" s="2911"/>
      <c r="I14" s="2911"/>
    </row>
    <row r="15" spans="1:9">
      <c r="A15" s="715"/>
      <c r="B15" s="715"/>
      <c r="C15" s="715"/>
      <c r="D15" s="715"/>
      <c r="E15" s="715"/>
      <c r="F15" s="715"/>
      <c r="G15" s="715"/>
      <c r="H15" s="715"/>
      <c r="I15" s="715"/>
    </row>
    <row r="16" spans="1:9" ht="18.75">
      <c r="A16" s="1950"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918" t="s">
        <v>1290</v>
      </c>
      <c r="B1" s="2918"/>
      <c r="C1" s="2918"/>
      <c r="D1" s="2918"/>
    </row>
    <row r="2" spans="1:4" ht="18">
      <c r="A2" s="2917" t="s">
        <v>1278</v>
      </c>
      <c r="B2" s="2917"/>
      <c r="C2" s="2917"/>
      <c r="D2" s="2917"/>
    </row>
    <row r="3" spans="1:4" ht="18.75">
      <c r="A3" s="1951" t="s">
        <v>1279</v>
      </c>
      <c r="B3" s="1951" t="s">
        <v>1280</v>
      </c>
      <c r="C3" s="1951" t="s">
        <v>1281</v>
      </c>
      <c r="D3" s="1951" t="s">
        <v>1282</v>
      </c>
    </row>
    <row r="4" spans="1:4" ht="56.25" customHeight="1">
      <c r="A4" s="1952" t="str">
        <f>项目基本情况!B3</f>
        <v>叶凌</v>
      </c>
      <c r="B4" s="1953">
        <f ca="1">项目基本情况!C3</f>
        <v>1119970111</v>
      </c>
      <c r="C4" s="1954"/>
      <c r="D4" s="1955" t="s">
        <v>1291</v>
      </c>
    </row>
    <row r="5" spans="1:4" ht="56.25" customHeight="1">
      <c r="A5" s="1952" t="str">
        <f>项目基本情况!D3</f>
        <v>陈颖</v>
      </c>
      <c r="B5" s="1953">
        <f ca="1">项目基本情况!E3</f>
        <v>1120060040</v>
      </c>
      <c r="C5" s="1956"/>
      <c r="D5" s="1955" t="s">
        <v>1291</v>
      </c>
    </row>
    <row r="6" spans="1:4" ht="12" customHeight="1">
      <c r="A6" s="1952"/>
      <c r="B6" s="1953"/>
      <c r="C6" s="1957"/>
      <c r="D6" s="1955"/>
    </row>
    <row r="7" spans="1:4" ht="18">
      <c r="A7" s="2917" t="s">
        <v>1283</v>
      </c>
      <c r="B7" s="2917"/>
      <c r="C7" s="2917"/>
      <c r="D7" s="2917"/>
    </row>
    <row r="8" spans="1:4" ht="18.75">
      <c r="A8" s="1951" t="s">
        <v>1279</v>
      </c>
      <c r="B8" s="1953" t="s">
        <v>1284</v>
      </c>
      <c r="C8" s="1951" t="s">
        <v>1281</v>
      </c>
      <c r="D8" s="1951" t="s">
        <v>1282</v>
      </c>
    </row>
    <row r="9" spans="1:4" ht="56.25" customHeight="1">
      <c r="A9" s="1958" t="s">
        <v>781</v>
      </c>
      <c r="B9" s="1958" t="s">
        <v>782</v>
      </c>
      <c r="C9" s="1954"/>
      <c r="D9" s="1955" t="s">
        <v>1291</v>
      </c>
    </row>
    <row r="11" spans="1:4" ht="18.75">
      <c r="A11" s="1959" t="s">
        <v>1285</v>
      </c>
    </row>
    <row r="12" spans="1:4" ht="30" customHeight="1">
      <c r="A12" s="2919" t="s">
        <v>1292</v>
      </c>
      <c r="B12" s="2920"/>
      <c r="C12" s="2920"/>
      <c r="D12" s="2920"/>
    </row>
    <row r="13" spans="1:4" ht="15.75">
      <c r="A13" s="291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20"/>
      <c r="C13" s="2920"/>
      <c r="D13" s="2920"/>
    </row>
    <row r="14" spans="1:4" ht="30" customHeight="1">
      <c r="A14" s="2919" t="str">
        <f>IF(项目基本情况!D4="抵押","3.抵押双方在办理抵押登记手续时，应使用本公司出具的正式《房地产评估报告》，特提醒报告使用者注意。","——")</f>
        <v>——</v>
      </c>
      <c r="B14" s="2920"/>
      <c r="C14" s="2920"/>
      <c r="D14" s="2920"/>
    </row>
    <row r="15" spans="1:4" ht="15.75" customHeight="1">
      <c r="A15" s="2919" t="str">
        <f>IF(项目基本情况!D4="抵押","4.本次评估估价师所知悉的法定优先受偿款情况说明如下：","——")</f>
        <v>——</v>
      </c>
      <c r="B15" s="2920"/>
      <c r="C15" s="2920"/>
      <c r="D15" s="2920"/>
    </row>
    <row r="16" spans="1:4" ht="75" customHeight="1">
      <c r="A16" s="2919" t="str">
        <f>IF(项目基本情况!D4="抵押",CONCATENATE(项目基本情况!J13,项目基本情况!J14,项目基本情况!J15),"——")</f>
        <v>——</v>
      </c>
      <c r="B16" s="2919"/>
      <c r="C16" s="2919"/>
      <c r="D16" s="2919"/>
    </row>
    <row r="17" spans="1:4" ht="63.75" customHeight="1">
      <c r="A17" s="2921" t="s">
        <v>1293</v>
      </c>
      <c r="B17" s="2921"/>
      <c r="C17" s="2921"/>
      <c r="D17" s="2921"/>
    </row>
    <row r="18" spans="1:4" ht="15.75" customHeight="1">
      <c r="A18" s="2919" t="str">
        <f>IF(项目基本情况!D4="抵押",结果表!K106,"——")</f>
        <v>——</v>
      </c>
      <c r="B18" s="2919"/>
      <c r="C18" s="2919"/>
      <c r="D18" s="2919"/>
    </row>
    <row r="19" spans="1:4" ht="46.5" customHeight="1">
      <c r="A19" s="291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9"/>
      <c r="C19" s="2919"/>
      <c r="D19" s="2919"/>
    </row>
    <row r="20" spans="1:4" ht="15">
      <c r="A20" s="2921" t="s">
        <v>1286</v>
      </c>
      <c r="B20" s="2921"/>
      <c r="C20" s="2921"/>
      <c r="D20" s="2921"/>
    </row>
    <row r="21" spans="1:4">
      <c r="A21" s="1960"/>
      <c r="B21" s="1286"/>
      <c r="C21" s="1286"/>
      <c r="D21" s="1286"/>
    </row>
    <row r="22" spans="1:4">
      <c r="A22" s="1960"/>
      <c r="B22" s="1286"/>
      <c r="C22" s="1286"/>
      <c r="D22" s="1286"/>
    </row>
    <row r="23" spans="1:4" ht="18.75">
      <c r="A23" s="1921" t="s">
        <v>1287</v>
      </c>
    </row>
    <row r="24" spans="1:4" ht="18">
      <c r="A24" s="1921"/>
    </row>
    <row r="25" spans="1:4" ht="18.75">
      <c r="A25" s="1921" t="s">
        <v>1288</v>
      </c>
    </row>
    <row r="28" spans="1:4" ht="21" customHeight="1">
      <c r="D28" s="1961" t="s">
        <v>1289</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1" sqref="B1:Y1048576"/>
      <selection pane="bottomLeft" activeCell="B1" sqref="B1:Y1048576"/>
    </sheetView>
  </sheetViews>
  <sheetFormatPr defaultColWidth="14.5" defaultRowHeight="15.75"/>
  <cols>
    <col min="1" max="1" width="14.5" style="1969" customWidth="1"/>
    <col min="2" max="16384" width="14.5" style="715"/>
  </cols>
  <sheetData>
    <row r="1" spans="1:7" s="1950" customFormat="1" ht="18.75">
      <c r="A1" s="713" t="s">
        <v>1360</v>
      </c>
    </row>
    <row r="3" spans="1:7" ht="14.25">
      <c r="A3" s="1967" t="s">
        <v>1361</v>
      </c>
      <c r="B3" s="715" t="s">
        <v>1362</v>
      </c>
      <c r="G3" s="1968"/>
    </row>
    <row r="4" spans="1:7">
      <c r="G4" s="1968"/>
    </row>
    <row r="5" spans="1:7" ht="14.25">
      <c r="A5" s="1970" t="s">
        <v>1363</v>
      </c>
      <c r="B5" s="715" t="s">
        <v>1364</v>
      </c>
      <c r="G5" s="1968"/>
    </row>
    <row r="6" spans="1:7">
      <c r="G6" s="1968"/>
    </row>
    <row r="7" spans="1:7" ht="14.25">
      <c r="A7" s="1971" t="s">
        <v>1365</v>
      </c>
      <c r="B7" s="715" t="s">
        <v>1366</v>
      </c>
      <c r="G7" s="1968"/>
    </row>
    <row r="8" spans="1:7">
      <c r="G8" s="1968"/>
    </row>
    <row r="9" spans="1:7">
      <c r="A9" s="1972" t="s">
        <v>1367</v>
      </c>
      <c r="B9" s="715" t="s">
        <v>1368</v>
      </c>
    </row>
    <row r="11" spans="1:7">
      <c r="A11" s="1973" t="s">
        <v>1369</v>
      </c>
      <c r="B11" s="1974" t="s">
        <v>1370</v>
      </c>
    </row>
    <row r="13" spans="1:7">
      <c r="A13" s="1677" t="s">
        <v>1371</v>
      </c>
    </row>
    <row r="15" spans="1:7" ht="14.25">
      <c r="A15" s="2927" t="s">
        <v>1372</v>
      </c>
      <c r="B15" s="2922" t="s">
        <v>1373</v>
      </c>
      <c r="C15" s="2923"/>
    </row>
    <row r="16" spans="1:7" ht="14.25">
      <c r="A16" s="2928"/>
      <c r="B16" s="2922" t="s">
        <v>1374</v>
      </c>
      <c r="C16" s="2923"/>
    </row>
    <row r="17" spans="1:3" ht="14.25">
      <c r="A17" s="2928"/>
      <c r="B17" s="2922" t="s">
        <v>1375</v>
      </c>
      <c r="C17" s="2923"/>
    </row>
    <row r="18" spans="1:3" ht="14.25">
      <c r="A18" s="2929"/>
      <c r="B18" s="2924" t="s">
        <v>1376</v>
      </c>
      <c r="C18" s="2923"/>
    </row>
    <row r="19" spans="1:3" ht="14.25">
      <c r="A19" s="1975" t="s">
        <v>1377</v>
      </c>
      <c r="B19" s="1976"/>
      <c r="C19" s="1977"/>
    </row>
    <row r="20" spans="1:3" ht="14.25">
      <c r="A20" s="2925" t="s">
        <v>1378</v>
      </c>
      <c r="B20" s="2924" t="s">
        <v>1379</v>
      </c>
      <c r="C20" s="2923"/>
    </row>
    <row r="21" spans="1:3" ht="14.25">
      <c r="A21" s="2925"/>
      <c r="B21" s="2924" t="s">
        <v>1380</v>
      </c>
      <c r="C21" s="2923"/>
    </row>
    <row r="22" spans="1:3" ht="14.25">
      <c r="A22" s="2925"/>
      <c r="B22" s="2924" t="s">
        <v>1381</v>
      </c>
      <c r="C22" s="2923"/>
    </row>
    <row r="23" spans="1:3" ht="14.25">
      <c r="A23" s="2925"/>
      <c r="B23" s="2926" t="s">
        <v>1382</v>
      </c>
      <c r="C23" s="1978" t="s">
        <v>1383</v>
      </c>
    </row>
    <row r="24" spans="1:3" ht="14.25">
      <c r="A24" s="2925"/>
      <c r="B24" s="2926"/>
      <c r="C24" s="1978" t="s">
        <v>1384</v>
      </c>
    </row>
    <row r="25" spans="1:3" ht="14.25">
      <c r="A25" s="2925"/>
      <c r="B25" s="2926"/>
      <c r="C25" s="1978" t="s">
        <v>1385</v>
      </c>
    </row>
    <row r="26" spans="1:3" ht="14.25">
      <c r="A26" s="2925"/>
      <c r="B26" s="2926"/>
      <c r="C26" s="1978" t="s">
        <v>1386</v>
      </c>
    </row>
    <row r="27" spans="1:3" ht="14.25">
      <c r="A27" s="2925"/>
      <c r="B27" s="2926"/>
      <c r="C27" s="1978" t="s">
        <v>1387</v>
      </c>
    </row>
    <row r="28" spans="1:3" ht="14.25">
      <c r="A28" s="2925"/>
      <c r="B28" s="2926"/>
      <c r="C28" s="1978" t="s">
        <v>1388</v>
      </c>
    </row>
    <row r="29" spans="1:3" ht="14.25">
      <c r="A29" s="2925"/>
      <c r="B29" s="2926"/>
      <c r="C29" s="1978" t="s">
        <v>1389</v>
      </c>
    </row>
    <row r="30" spans="1:3" ht="14.25">
      <c r="A30" s="2925"/>
      <c r="B30" s="2926"/>
      <c r="C30" s="1978" t="s">
        <v>1390</v>
      </c>
    </row>
    <row r="31" spans="1:3" ht="14.25">
      <c r="A31" s="2925"/>
      <c r="B31" s="2926"/>
      <c r="C31" s="1978" t="s">
        <v>1391</v>
      </c>
    </row>
    <row r="32" spans="1:3">
      <c r="A32" s="1979"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1" sqref="B1:Y1048576"/>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44144</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44876</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44876</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44899</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5">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5">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2805</v>
      </c>
      <c r="B14" s="1027">
        <f ca="1">IF(C14&lt;B2,"已过期",1120040230)</f>
        <v>1120040230</v>
      </c>
      <c r="C14" s="2715">
        <v>44864</v>
      </c>
      <c r="D14" s="1808" t="str">
        <f t="shared" ca="1" si="0"/>
        <v>苏海（注册号：1120040230）</v>
      </c>
      <c r="E14" s="2716" t="s">
        <v>2805</v>
      </c>
      <c r="F14" s="1027">
        <f ca="1">IF(G14&lt;B2,"已过期",98030020)</f>
        <v>98030020</v>
      </c>
      <c r="G14" s="1035">
        <v>47118</v>
      </c>
      <c r="H14" s="1809" t="str">
        <f t="shared" ca="1" si="1"/>
        <v>苏海（注册号：98030020）</v>
      </c>
    </row>
    <row r="15" spans="1:8" ht="24" customHeight="1">
      <c r="A15" s="1810"/>
      <c r="B15" s="1027"/>
      <c r="C15" s="2715"/>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6"/>
      <c r="F17" s="1027"/>
      <c r="G17" s="1035"/>
      <c r="H17" s="1809" t="str">
        <f t="shared" si="1"/>
        <v>（注册号：）</v>
      </c>
    </row>
    <row r="18" spans="1:8" ht="24" customHeight="1">
      <c r="A18" s="1806" t="s">
        <v>2821</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2823</v>
      </c>
      <c r="B23" s="1027">
        <v>1119980106</v>
      </c>
      <c r="C23" s="2715">
        <v>43916</v>
      </c>
      <c r="D23" s="1808" t="str">
        <f t="shared" si="0"/>
        <v>刘俊财（注册号：1119980106）</v>
      </c>
      <c r="E23" s="1806" t="s">
        <v>2823</v>
      </c>
      <c r="F23" s="1027">
        <v>96010063</v>
      </c>
      <c r="G23" s="1035">
        <v>47118</v>
      </c>
      <c r="H23" s="1809" t="str">
        <f t="shared" si="1"/>
        <v>刘俊财（注册号：96010063）</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930" t="s">
        <v>764</v>
      </c>
      <c r="B25" s="2930"/>
      <c r="C25" s="2930"/>
      <c r="D25" s="2930"/>
      <c r="E25" s="2930"/>
      <c r="F25" s="2930"/>
      <c r="G25" s="2930"/>
      <c r="H25" s="2930"/>
    </row>
    <row r="26" spans="1:8" s="1030" customFormat="1" ht="24" customHeight="1">
      <c r="A26" s="2931" t="s">
        <v>765</v>
      </c>
      <c r="B26" s="2931"/>
      <c r="C26" s="2931"/>
      <c r="D26" s="1058"/>
      <c r="E26" s="1058"/>
      <c r="F26" s="2931" t="s">
        <v>766</v>
      </c>
      <c r="G26" s="2931"/>
      <c r="H26" s="2931"/>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2822</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45" priority="97">
      <formula>AND($C24-TODAY()&lt;30,TODAY()&lt;$C24)</formula>
    </cfRule>
  </conditionalFormatting>
  <conditionalFormatting sqref="C28:E28">
    <cfRule type="expression" dxfId="244" priority="96">
      <formula>AND($C28-TODAY()&lt;30,TODAY()&lt;$C28)</formula>
    </cfRule>
  </conditionalFormatting>
  <conditionalFormatting sqref="C28:E28 G4">
    <cfRule type="cellIs" dxfId="243" priority="98" stopIfTrue="1" operator="lessThan">
      <formula>$B$2</formula>
    </cfRule>
  </conditionalFormatting>
  <conditionalFormatting sqref="D5">
    <cfRule type="expression" dxfId="242" priority="93">
      <formula>AND($C5-TODAY()&lt;30,TODAY()&lt;$C5)</formula>
    </cfRule>
  </conditionalFormatting>
  <conditionalFormatting sqref="D5 G5">
    <cfRule type="cellIs" dxfId="241" priority="94" stopIfTrue="1" operator="lessThan">
      <formula>$B$2</formula>
    </cfRule>
  </conditionalFormatting>
  <conditionalFormatting sqref="G6 G8 G10">
    <cfRule type="cellIs" dxfId="240" priority="92" stopIfTrue="1" operator="lessThan">
      <formula>$B$2</formula>
    </cfRule>
  </conditionalFormatting>
  <conditionalFormatting sqref="C7:D7 D4:D6 C12:D12 D13:D15 D8:D11 C16:D22 D23:D24">
    <cfRule type="expression" dxfId="239" priority="90">
      <formula>AND($C4-TODAY()&lt;30,TODAY()&lt;$C4)</formula>
    </cfRule>
  </conditionalFormatting>
  <conditionalFormatting sqref="G7 G9 G11 C7:D7 D4:D6 C12:D12 D13:D15 D8:D11 C16:D22 D23:D24">
    <cfRule type="cellIs" dxfId="238" priority="91" stopIfTrue="1" operator="lessThan">
      <formula>$B$2</formula>
    </cfRule>
  </conditionalFormatting>
  <conditionalFormatting sqref="C12:D12">
    <cfRule type="expression" dxfId="237" priority="88">
      <formula>AND($C12-TODAY()&lt;30,TODAY()&lt;$C12)</formula>
    </cfRule>
  </conditionalFormatting>
  <conditionalFormatting sqref="C12:D12">
    <cfRule type="cellIs" dxfId="236" priority="89" stopIfTrue="1" operator="lessThan">
      <formula>$B$2</formula>
    </cfRule>
  </conditionalFormatting>
  <conditionalFormatting sqref="D14">
    <cfRule type="expression" dxfId="235" priority="84">
      <formula>AND($C14-TODAY()&lt;30,TODAY()&lt;$C14)</formula>
    </cfRule>
  </conditionalFormatting>
  <conditionalFormatting sqref="D14">
    <cfRule type="cellIs" dxfId="234" priority="85" stopIfTrue="1" operator="lessThan">
      <formula>$B$2</formula>
    </cfRule>
  </conditionalFormatting>
  <conditionalFormatting sqref="C16:D16">
    <cfRule type="expression" dxfId="233" priority="82">
      <formula>AND($C16-TODAY()&lt;30,TODAY()&lt;$C16)</formula>
    </cfRule>
  </conditionalFormatting>
  <conditionalFormatting sqref="C16:D16">
    <cfRule type="cellIs" dxfId="232" priority="83" stopIfTrue="1" operator="lessThan">
      <formula>$B$2</formula>
    </cfRule>
  </conditionalFormatting>
  <conditionalFormatting sqref="C18:D18">
    <cfRule type="expression" dxfId="231" priority="80">
      <formula>AND($C18-TODAY()&lt;30,TODAY()&lt;$C18)</formula>
    </cfRule>
  </conditionalFormatting>
  <conditionalFormatting sqref="C18:D18">
    <cfRule type="cellIs" dxfId="230" priority="81" stopIfTrue="1" operator="lessThan">
      <formula>$B$2</formula>
    </cfRule>
  </conditionalFormatting>
  <conditionalFormatting sqref="C20:D20">
    <cfRule type="expression" dxfId="229" priority="78">
      <formula>AND($C20-TODAY()&lt;30,TODAY()&lt;$C20)</formula>
    </cfRule>
  </conditionalFormatting>
  <conditionalFormatting sqref="C20:D20">
    <cfRule type="cellIs" dxfId="228" priority="79" stopIfTrue="1" operator="lessThan">
      <formula>$B$2</formula>
    </cfRule>
  </conditionalFormatting>
  <conditionalFormatting sqref="C22:D22">
    <cfRule type="expression" dxfId="227" priority="76">
      <formula>AND($C22-TODAY()&lt;30,TODAY()&lt;$C22)</formula>
    </cfRule>
  </conditionalFormatting>
  <conditionalFormatting sqref="C22:D22">
    <cfRule type="cellIs" dxfId="226" priority="77" stopIfTrue="1" operator="lessThan">
      <formula>$B$2</formula>
    </cfRule>
  </conditionalFormatting>
  <conditionalFormatting sqref="D15">
    <cfRule type="expression" dxfId="225" priority="74">
      <formula>AND($C15-TODAY()&lt;30,TODAY()&lt;$C15)</formula>
    </cfRule>
  </conditionalFormatting>
  <conditionalFormatting sqref="D15">
    <cfRule type="cellIs" dxfId="224" priority="75" stopIfTrue="1" operator="lessThan">
      <formula>$B$2</formula>
    </cfRule>
  </conditionalFormatting>
  <conditionalFormatting sqref="C17:D17">
    <cfRule type="expression" dxfId="223" priority="72">
      <formula>AND($C17-TODAY()&lt;30,TODAY()&lt;$C17)</formula>
    </cfRule>
  </conditionalFormatting>
  <conditionalFormatting sqref="C17:D17">
    <cfRule type="cellIs" dxfId="222" priority="73" stopIfTrue="1" operator="lessThan">
      <formula>$B$2</formula>
    </cfRule>
  </conditionalFormatting>
  <conditionalFormatting sqref="C19:D19">
    <cfRule type="expression" dxfId="221" priority="70">
      <formula>AND($C19-TODAY()&lt;30,TODAY()&lt;$C19)</formula>
    </cfRule>
  </conditionalFormatting>
  <conditionalFormatting sqref="C19:D19">
    <cfRule type="cellIs" dxfId="220" priority="71" stopIfTrue="1" operator="lessThan">
      <formula>$B$2</formula>
    </cfRule>
  </conditionalFormatting>
  <conditionalFormatting sqref="C21:D21">
    <cfRule type="expression" dxfId="219" priority="68">
      <formula>AND($C21-TODAY()&lt;30,TODAY()&lt;$C21)</formula>
    </cfRule>
  </conditionalFormatting>
  <conditionalFormatting sqref="C21:D21">
    <cfRule type="cellIs" dxfId="218" priority="69" stopIfTrue="1" operator="lessThan">
      <formula>$B$2</formula>
    </cfRule>
  </conditionalFormatting>
  <conditionalFormatting sqref="D23">
    <cfRule type="expression" dxfId="217" priority="66">
      <formula>AND($C23-TODAY()&lt;30,TODAY()&lt;$C23)</formula>
    </cfRule>
  </conditionalFormatting>
  <conditionalFormatting sqref="D23">
    <cfRule type="cellIs" dxfId="216" priority="67" stopIfTrue="1" operator="lessThan">
      <formula>$B$2</formula>
    </cfRule>
  </conditionalFormatting>
  <conditionalFormatting sqref="G16">
    <cfRule type="cellIs" dxfId="215" priority="64" stopIfTrue="1" operator="lessThan">
      <formula>$B$2</formula>
    </cfRule>
  </conditionalFormatting>
  <conditionalFormatting sqref="G18">
    <cfRule type="cellIs" dxfId="214" priority="63" stopIfTrue="1" operator="lessThan">
      <formula>$B$2</formula>
    </cfRule>
  </conditionalFormatting>
  <conditionalFormatting sqref="G22">
    <cfRule type="cellIs" dxfId="213" priority="62" stopIfTrue="1" operator="lessThan">
      <formula>$B$2</formula>
    </cfRule>
  </conditionalFormatting>
  <conditionalFormatting sqref="G21">
    <cfRule type="cellIs" dxfId="212" priority="61" stopIfTrue="1" operator="lessThan">
      <formula>$B$2</formula>
    </cfRule>
  </conditionalFormatting>
  <conditionalFormatting sqref="B4:B13 F4:F13 B16:B22 F16 F18:F23">
    <cfRule type="cellIs" dxfId="211" priority="59" stopIfTrue="1" operator="equal">
      <formula>"已过期"</formula>
    </cfRule>
  </conditionalFormatting>
  <conditionalFormatting sqref="H28">
    <cfRule type="expression" dxfId="210" priority="57">
      <formula>AND($F28-TODAY()&lt;30,TODAY()&lt;$F28)</formula>
    </cfRule>
  </conditionalFormatting>
  <conditionalFormatting sqref="H28">
    <cfRule type="cellIs" dxfId="209" priority="58" stopIfTrue="1" operator="lessThan">
      <formula>$B$2</formula>
    </cfRule>
  </conditionalFormatting>
  <conditionalFormatting sqref="C5">
    <cfRule type="expression" dxfId="208" priority="53">
      <formula>AND($C5-TODAY()&lt;30,TODAY()&lt;$C5)</formula>
    </cfRule>
  </conditionalFormatting>
  <conditionalFormatting sqref="C5">
    <cfRule type="cellIs" dxfId="207" priority="54" stopIfTrue="1" operator="lessThan">
      <formula>$B$2</formula>
    </cfRule>
  </conditionalFormatting>
  <conditionalFormatting sqref="C4:C6">
    <cfRule type="expression" dxfId="206" priority="51">
      <formula>AND($C4-TODAY()&lt;30,TODAY()&lt;$C4)</formula>
    </cfRule>
  </conditionalFormatting>
  <conditionalFormatting sqref="C4:C6">
    <cfRule type="cellIs" dxfId="205" priority="52" stopIfTrue="1" operator="lessThan">
      <formula>$B$2</formula>
    </cfRule>
  </conditionalFormatting>
  <conditionalFormatting sqref="C8">
    <cfRule type="expression" dxfId="204" priority="49">
      <formula>AND($C8-TODAY()&lt;30,TODAY()&lt;$C8)</formula>
    </cfRule>
  </conditionalFormatting>
  <conditionalFormatting sqref="C8">
    <cfRule type="cellIs" dxfId="203" priority="50" stopIfTrue="1" operator="lessThan">
      <formula>$B$2</formula>
    </cfRule>
  </conditionalFormatting>
  <conditionalFormatting sqref="C9">
    <cfRule type="expression" dxfId="202" priority="47">
      <formula>AND($C9-TODAY()&lt;30,TODAY()&lt;$C9)</formula>
    </cfRule>
  </conditionalFormatting>
  <conditionalFormatting sqref="C9">
    <cfRule type="cellIs" dxfId="201" priority="48" stopIfTrue="1" operator="lessThan">
      <formula>$B$2</formula>
    </cfRule>
  </conditionalFormatting>
  <conditionalFormatting sqref="C13">
    <cfRule type="expression" dxfId="200" priority="45">
      <formula>AND($C13-TODAY()&lt;30,TODAY()&lt;$C13)</formula>
    </cfRule>
  </conditionalFormatting>
  <conditionalFormatting sqref="C13">
    <cfRule type="cellIs" dxfId="199" priority="46" stopIfTrue="1" operator="lessThan">
      <formula>$B$2</formula>
    </cfRule>
  </conditionalFormatting>
  <conditionalFormatting sqref="F15">
    <cfRule type="cellIs" dxfId="198" priority="37" stopIfTrue="1" operator="equal">
      <formula>"已过期"</formula>
    </cfRule>
  </conditionalFormatting>
  <conditionalFormatting sqref="E15">
    <cfRule type="cellIs" dxfId="197" priority="36" stopIfTrue="1" operator="equal">
      <formula>"已过期"</formula>
    </cfRule>
  </conditionalFormatting>
  <conditionalFormatting sqref="A24:C24">
    <cfRule type="cellIs" dxfId="196" priority="35" stopIfTrue="1" operator="equal">
      <formula>"已过期"</formula>
    </cfRule>
  </conditionalFormatting>
  <conditionalFormatting sqref="E24:G24">
    <cfRule type="cellIs" dxfId="195" priority="34" stopIfTrue="1" operator="equal">
      <formula>"已过期"</formula>
    </cfRule>
  </conditionalFormatting>
  <conditionalFormatting sqref="G13">
    <cfRule type="cellIs" dxfId="194" priority="33" stopIfTrue="1" operator="lessThan">
      <formula>$B$2</formula>
    </cfRule>
  </conditionalFormatting>
  <conditionalFormatting sqref="G12">
    <cfRule type="cellIs" dxfId="193" priority="32" stopIfTrue="1" operator="lessThan">
      <formula>$B$2</formula>
    </cfRule>
  </conditionalFormatting>
  <conditionalFormatting sqref="G17">
    <cfRule type="cellIs" dxfId="192" priority="26" stopIfTrue="1" operator="lessThan">
      <formula>$B$2</formula>
    </cfRule>
  </conditionalFormatting>
  <conditionalFormatting sqref="F17">
    <cfRule type="cellIs" dxfId="191" priority="25" stopIfTrue="1" operator="equal">
      <formula>"已过期"</formula>
    </cfRule>
  </conditionalFormatting>
  <conditionalFormatting sqref="F14">
    <cfRule type="cellIs" dxfId="190" priority="24" stopIfTrue="1" operator="equal">
      <formula>"已过期"</formula>
    </cfRule>
  </conditionalFormatting>
  <conditionalFormatting sqref="G14">
    <cfRule type="cellIs" dxfId="189" priority="23" stopIfTrue="1" operator="lessThan">
      <formula>$B$2</formula>
    </cfRule>
  </conditionalFormatting>
  <conditionalFormatting sqref="C14:C15">
    <cfRule type="expression" dxfId="188" priority="21">
      <formula>AND($C14-TODAY()&lt;30,TODAY()&lt;$C14)</formula>
    </cfRule>
  </conditionalFormatting>
  <conditionalFormatting sqref="C14:C15">
    <cfRule type="cellIs" dxfId="187" priority="22" stopIfTrue="1" operator="lessThan">
      <formula>$B$2</formula>
    </cfRule>
  </conditionalFormatting>
  <conditionalFormatting sqref="C14">
    <cfRule type="expression" dxfId="186" priority="19">
      <formula>AND($C14-TODAY()&lt;30,TODAY()&lt;$C14)</formula>
    </cfRule>
  </conditionalFormatting>
  <conditionalFormatting sqref="C14">
    <cfRule type="cellIs" dxfId="185" priority="20" stopIfTrue="1" operator="lessThan">
      <formula>$B$2</formula>
    </cfRule>
  </conditionalFormatting>
  <conditionalFormatting sqref="C15">
    <cfRule type="expression" dxfId="184" priority="17">
      <formula>AND($C15-TODAY()&lt;30,TODAY()&lt;$C15)</formula>
    </cfRule>
  </conditionalFormatting>
  <conditionalFormatting sqref="C15">
    <cfRule type="cellIs" dxfId="183" priority="18" stopIfTrue="1" operator="lessThan">
      <formula>$B$2</formula>
    </cfRule>
  </conditionalFormatting>
  <conditionalFormatting sqref="B14">
    <cfRule type="cellIs" dxfId="182" priority="16" stopIfTrue="1" operator="equal">
      <formula>"已过期"</formula>
    </cfRule>
  </conditionalFormatting>
  <conditionalFormatting sqref="B15">
    <cfRule type="cellIs" dxfId="181" priority="15" stopIfTrue="1" operator="equal">
      <formula>"已过期"</formula>
    </cfRule>
  </conditionalFormatting>
  <conditionalFormatting sqref="A15">
    <cfRule type="cellIs" dxfId="180" priority="14" stopIfTrue="1" operator="equal">
      <formula>"已过期"</formula>
    </cfRule>
  </conditionalFormatting>
  <conditionalFormatting sqref="C15">
    <cfRule type="expression" dxfId="179" priority="13">
      <formula>AND($C15-TODAY()&lt;30,TODAY()&lt;$C15)</formula>
    </cfRule>
  </conditionalFormatting>
  <conditionalFormatting sqref="C10:C11">
    <cfRule type="expression" dxfId="178" priority="11">
      <formula>AND($C10-TODAY()&lt;30,TODAY()&lt;$C10)</formula>
    </cfRule>
  </conditionalFormatting>
  <conditionalFormatting sqref="C10:C11">
    <cfRule type="cellIs" dxfId="177" priority="12" stopIfTrue="1" operator="lessThan">
      <formula>$B$2</formula>
    </cfRule>
  </conditionalFormatting>
  <conditionalFormatting sqref="H29">
    <cfRule type="expression" dxfId="176" priority="9" stopIfTrue="1">
      <formula>AND($E29-TODAY()&lt;30,TODAY()&lt;$E29)</formula>
    </cfRule>
  </conditionalFormatting>
  <conditionalFormatting sqref="H29">
    <cfRule type="cellIs" dxfId="175" priority="10" stopIfTrue="1" operator="lessThan">
      <formula>$B$2</formula>
    </cfRule>
  </conditionalFormatting>
  <conditionalFormatting sqref="D18">
    <cfRule type="expression" dxfId="174" priority="7">
      <formula>AND($C18-TODAY()&lt;30,TODAY()&lt;$C18)</formula>
    </cfRule>
  </conditionalFormatting>
  <conditionalFormatting sqref="D18">
    <cfRule type="cellIs" dxfId="173" priority="8" stopIfTrue="1" operator="lessThan">
      <formula>$B$2</formula>
    </cfRule>
  </conditionalFormatting>
  <conditionalFormatting sqref="C23">
    <cfRule type="expression" dxfId="172" priority="5">
      <formula>AND($C23-TODAY()&lt;30,TODAY()&lt;$C23)</formula>
    </cfRule>
  </conditionalFormatting>
  <conditionalFormatting sqref="C23">
    <cfRule type="cellIs" dxfId="171" priority="6" stopIfTrue="1" operator="lessThan">
      <formula>$B$2</formula>
    </cfRule>
  </conditionalFormatting>
  <conditionalFormatting sqref="C23">
    <cfRule type="expression" dxfId="170" priority="3">
      <formula>AND($C23-TODAY()&lt;30,TODAY()&lt;$C23)</formula>
    </cfRule>
  </conditionalFormatting>
  <conditionalFormatting sqref="C23">
    <cfRule type="cellIs" dxfId="169" priority="4" stopIfTrue="1" operator="lessThan">
      <formula>$B$2</formula>
    </cfRule>
  </conditionalFormatting>
  <conditionalFormatting sqref="B23">
    <cfRule type="cellIs" dxfId="168" priority="2" stopIfTrue="1" operator="equal">
      <formula>"已过期"</formula>
    </cfRule>
  </conditionalFormatting>
  <conditionalFormatting sqref="G23">
    <cfRule type="cellIs" dxfId="167"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1393</v>
      </c>
      <c r="B1" s="4" t="s">
        <v>1394</v>
      </c>
      <c r="C1" s="1981" t="s">
        <v>1395</v>
      </c>
      <c r="D1" s="5" t="s">
        <v>1396</v>
      </c>
      <c r="E1" s="5" t="s">
        <v>1397</v>
      </c>
      <c r="F1" s="5" t="s">
        <v>1398</v>
      </c>
      <c r="G1" s="5" t="s">
        <v>1399</v>
      </c>
      <c r="H1" s="5" t="s">
        <v>1400</v>
      </c>
      <c r="I1" s="5" t="s">
        <v>1401</v>
      </c>
      <c r="J1" s="5" t="s">
        <v>1402</v>
      </c>
      <c r="K1" s="5" t="s">
        <v>1403</v>
      </c>
      <c r="L1" s="5" t="s">
        <v>1404</v>
      </c>
      <c r="M1" s="5" t="s">
        <v>1405</v>
      </c>
      <c r="N1" s="5" t="s">
        <v>1406</v>
      </c>
      <c r="O1" s="5" t="s">
        <v>1407</v>
      </c>
      <c r="P1" s="1982" t="s">
        <v>1408</v>
      </c>
      <c r="Q1" s="1982" t="s">
        <v>1409</v>
      </c>
      <c r="R1" s="1982" t="s">
        <v>1410</v>
      </c>
      <c r="S1" s="5" t="s">
        <v>1411</v>
      </c>
      <c r="T1" s="6" t="s">
        <v>1412</v>
      </c>
      <c r="U1" s="5" t="s">
        <v>1413</v>
      </c>
      <c r="V1" s="5" t="s">
        <v>1414</v>
      </c>
      <c r="W1" s="5" t="s">
        <v>1415</v>
      </c>
      <c r="X1" s="5" t="s">
        <v>1416</v>
      </c>
      <c r="Y1" s="5" t="s">
        <v>1417</v>
      </c>
    </row>
    <row r="2" spans="1:25">
      <c r="A2" s="1983" t="s">
        <v>33</v>
      </c>
      <c r="B2" s="1983" t="s">
        <v>1418</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3" t="s">
        <v>1431</v>
      </c>
      <c r="B3" s="1985"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3" t="s">
        <v>1444</v>
      </c>
      <c r="B4" s="1985" t="s">
        <v>1445</v>
      </c>
      <c r="C4" s="1984"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3" t="s">
        <v>1455</v>
      </c>
      <c r="B5" s="1983" t="s">
        <v>1456</v>
      </c>
      <c r="C5" s="1984"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6"/>
    </row>
    <row r="6" spans="1:25">
      <c r="A6" s="1983" t="s">
        <v>1464</v>
      </c>
      <c r="B6" s="1983"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6"/>
    </row>
    <row r="7" spans="1:25">
      <c r="A7" s="1983" t="s">
        <v>1472</v>
      </c>
      <c r="B7" s="1985" t="s">
        <v>1473</v>
      </c>
      <c r="C7" s="1984" t="s">
        <v>1474</v>
      </c>
      <c r="F7" s="7" t="s">
        <v>1475</v>
      </c>
      <c r="H7" s="7" t="s">
        <v>1476</v>
      </c>
      <c r="I7" s="7" t="s">
        <v>1477</v>
      </c>
      <c r="X7" s="1986"/>
    </row>
    <row r="8" spans="1:25">
      <c r="A8" s="1983" t="s">
        <v>1478</v>
      </c>
      <c r="B8" s="1985" t="s">
        <v>1479</v>
      </c>
      <c r="C8" s="1984" t="s">
        <v>1480</v>
      </c>
      <c r="F8" s="7" t="s">
        <v>1481</v>
      </c>
      <c r="H8" s="7" t="s">
        <v>1482</v>
      </c>
      <c r="I8" s="7" t="s">
        <v>1483</v>
      </c>
      <c r="X8" s="1986"/>
    </row>
    <row r="9" spans="1:25">
      <c r="A9" s="1983" t="s">
        <v>1484</v>
      </c>
      <c r="B9" s="1983" t="s">
        <v>1485</v>
      </c>
      <c r="C9" s="1984" t="s">
        <v>1486</v>
      </c>
      <c r="F9" s="7" t="s">
        <v>1487</v>
      </c>
      <c r="H9" s="7" t="s">
        <v>1488</v>
      </c>
    </row>
    <row r="10" spans="1:25">
      <c r="A10" s="1983" t="s">
        <v>1489</v>
      </c>
      <c r="B10" s="1983" t="s">
        <v>1490</v>
      </c>
      <c r="C10" s="1984" t="s">
        <v>1491</v>
      </c>
      <c r="F10" s="7" t="s">
        <v>13</v>
      </c>
    </row>
    <row r="11" spans="1:25">
      <c r="A11" s="1983" t="s">
        <v>1492</v>
      </c>
      <c r="B11" s="1983" t="s">
        <v>1493</v>
      </c>
      <c r="C11" s="1984" t="s">
        <v>1494</v>
      </c>
    </row>
    <row r="12" spans="1:25">
      <c r="A12" s="1983" t="s">
        <v>1495</v>
      </c>
      <c r="B12" s="1983" t="s">
        <v>1496</v>
      </c>
      <c r="C12" s="1984" t="s">
        <v>1497</v>
      </c>
    </row>
    <row r="13" spans="1:25">
      <c r="A13" s="1983" t="s">
        <v>1498</v>
      </c>
      <c r="B13" s="1983" t="s">
        <v>1499</v>
      </c>
      <c r="C13" s="1984" t="s">
        <v>1500</v>
      </c>
    </row>
    <row r="14" spans="1:25">
      <c r="A14" s="1983" t="s">
        <v>1501</v>
      </c>
      <c r="B14" s="1983" t="s">
        <v>1502</v>
      </c>
      <c r="C14" s="1984"/>
    </row>
    <row r="15" spans="1:25">
      <c r="A15" s="1983" t="s">
        <v>1503</v>
      </c>
      <c r="B15" s="1983" t="s">
        <v>1504</v>
      </c>
      <c r="C15" s="1984"/>
    </row>
    <row r="16" spans="1:25">
      <c r="A16" s="1983" t="s">
        <v>1505</v>
      </c>
      <c r="B16" s="1983" t="s">
        <v>1506</v>
      </c>
      <c r="C16" s="1984"/>
    </row>
    <row r="17" spans="1:3">
      <c r="A17" s="1983" t="s">
        <v>1507</v>
      </c>
      <c r="B17" s="1983" t="s">
        <v>1508</v>
      </c>
      <c r="C17" s="1984"/>
    </row>
    <row r="18" spans="1:3">
      <c r="A18" s="1983" t="s">
        <v>1509</v>
      </c>
      <c r="B18" s="1983" t="s">
        <v>1510</v>
      </c>
      <c r="C18" s="1984"/>
    </row>
    <row r="19" spans="1:3">
      <c r="A19" s="1983" t="s">
        <v>1511</v>
      </c>
      <c r="B19" s="1983" t="s">
        <v>1512</v>
      </c>
      <c r="C19" s="1984"/>
    </row>
    <row r="20" spans="1:3">
      <c r="A20" s="1983" t="s">
        <v>1513</v>
      </c>
      <c r="B20" s="1983" t="s">
        <v>740</v>
      </c>
      <c r="C20" s="1984"/>
    </row>
    <row r="21" spans="1:3">
      <c r="A21" s="1983" t="s">
        <v>1514</v>
      </c>
      <c r="B21" s="1983" t="s">
        <v>740</v>
      </c>
      <c r="C21" s="1984"/>
    </row>
    <row r="22" spans="1:3">
      <c r="A22" s="1983" t="s">
        <v>1515</v>
      </c>
      <c r="B22" s="1983" t="s">
        <v>740</v>
      </c>
      <c r="C22" s="1984"/>
    </row>
    <row r="23" spans="1:3">
      <c r="A23" s="1983" t="s">
        <v>1516</v>
      </c>
      <c r="B23" s="1983" t="s">
        <v>740</v>
      </c>
      <c r="C23" s="1984"/>
    </row>
    <row r="24" spans="1:3">
      <c r="A24" s="1983" t="s">
        <v>1517</v>
      </c>
      <c r="B24" s="1983" t="s">
        <v>740</v>
      </c>
      <c r="C24" s="1984"/>
    </row>
    <row r="25" spans="1:3">
      <c r="A25" s="1983" t="s">
        <v>1518</v>
      </c>
      <c r="B25" s="1983" t="s">
        <v>740</v>
      </c>
      <c r="C25" s="1984"/>
    </row>
    <row r="26" spans="1:3">
      <c r="A26" s="1983" t="s">
        <v>1519</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8" t="s">
        <v>1521</v>
      </c>
    </row>
    <row r="52" spans="1:4">
      <c r="A52" s="1987" t="s">
        <v>1522</v>
      </c>
      <c r="B52" s="1987" t="s">
        <v>1523</v>
      </c>
      <c r="C52" s="9" t="s">
        <v>1524</v>
      </c>
      <c r="D52" s="9" t="s">
        <v>1525</v>
      </c>
    </row>
    <row r="53" spans="1:4" ht="14.25" customHeight="1">
      <c r="A53" s="2932"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本次估价的“房地产价值”是指在正常市场情况下，在价值时点2020年10月30日，估价对象规划用途为，假定未设立法定优先受偿款下的房地产市场价值。</v>
      </c>
    </row>
    <row r="54" spans="1:4">
      <c r="A54" s="2932"/>
      <c r="B54" s="9" t="s">
        <v>1528</v>
      </c>
      <c r="C54" s="9" t="s">
        <v>1529</v>
      </c>
    </row>
    <row r="55" spans="1:4">
      <c r="A55" s="2932"/>
      <c r="B55" s="9" t="s">
        <v>1530</v>
      </c>
      <c r="C55" s="9" t="s">
        <v>1531</v>
      </c>
    </row>
    <row r="56" spans="1:4">
      <c r="A56" s="2932"/>
      <c r="B56" s="9" t="s">
        <v>1532</v>
      </c>
      <c r="C56" s="9" t="s">
        <v>1533</v>
      </c>
    </row>
    <row r="57" spans="1:4">
      <c r="A57" s="2932"/>
      <c r="B57" s="9" t="s">
        <v>1534</v>
      </c>
      <c r="C57" s="9" t="s">
        <v>1535</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J8" sqref="J8"/>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1536</v>
      </c>
      <c r="B1" s="1990" t="str">
        <f>IF(B6="北京市","北京市",C6)&amp;IF(E12="房屋所有权证",B28,E28)&amp;D5&amp;"预评估"</f>
        <v>北京市房地产市场价值预评估</v>
      </c>
      <c r="C1" s="1059"/>
      <c r="D1" s="1991"/>
      <c r="E1" s="1059"/>
      <c r="F1" s="1992" t="s">
        <v>1537</v>
      </c>
      <c r="G1" s="1678"/>
      <c r="I1" s="1016" t="str">
        <f>IF(B6="北京市","北京市",C6)&amp;IF(E12="房屋所有权证",B28,E28)&amp;"房地产"</f>
        <v>北京市房地产</v>
      </c>
    </row>
    <row r="2" spans="1:10" ht="13.5" thickTop="1">
      <c r="A2" s="1993" t="s">
        <v>1538</v>
      </c>
      <c r="B2" s="1084">
        <v>44134</v>
      </c>
      <c r="C2" s="1994" t="s">
        <v>1539</v>
      </c>
      <c r="D2" s="1084">
        <v>44134</v>
      </c>
      <c r="E2" s="1060"/>
      <c r="F2" s="1060"/>
      <c r="G2" s="1679"/>
      <c r="H2" s="1016"/>
    </row>
    <row r="3" spans="1:10" ht="13.5" thickBot="1">
      <c r="A3" s="1995" t="s">
        <v>1540</v>
      </c>
      <c r="B3" s="1996" t="s">
        <v>3042</v>
      </c>
      <c r="C3" s="1061">
        <f ca="1">SUMIF(注册房地产估价师,B3,估价师及机构信息!B3:B24)</f>
        <v>1119970111</v>
      </c>
      <c r="D3" s="1996" t="s">
        <v>3043</v>
      </c>
      <c r="E3" s="1062">
        <f ca="1">SUMIF(注册房地产估价师,D3,估价师及机构信息!B3:B24)</f>
        <v>1120060040</v>
      </c>
      <c r="F3" s="1063"/>
      <c r="G3" s="1680"/>
      <c r="H3" s="1016"/>
    </row>
    <row r="4" spans="1:10" ht="13.5" customHeight="1" thickTop="1">
      <c r="A4" s="1997" t="s">
        <v>1541</v>
      </c>
      <c r="B4" s="1998" t="s">
        <v>2812</v>
      </c>
      <c r="C4" s="1999" t="s">
        <v>1542</v>
      </c>
      <c r="D4" s="2000" t="s">
        <v>3045</v>
      </c>
      <c r="E4" s="1060"/>
      <c r="F4" s="1060"/>
      <c r="G4" s="1679"/>
    </row>
    <row r="5" spans="1:10">
      <c r="A5" s="2001" t="s">
        <v>1543</v>
      </c>
      <c r="B5" s="2002" t="s">
        <v>2813</v>
      </c>
      <c r="C5" s="2003" t="s">
        <v>1544</v>
      </c>
      <c r="D5" s="2004" t="s">
        <v>3044</v>
      </c>
      <c r="E5" s="2005" t="s">
        <v>1545</v>
      </c>
      <c r="F5" s="2006"/>
      <c r="G5" s="2007"/>
      <c r="I5" s="1016" t="str">
        <f>IF(C16="否","截至估价时点，估价对象抵押权未见登记。","截至价值时点，估价对象已设定抵押。")</f>
        <v>截至价值时点，估价对象已设定抵押。</v>
      </c>
    </row>
    <row r="6" spans="1:10" ht="24">
      <c r="A6" s="2008" t="s">
        <v>1546</v>
      </c>
      <c r="B6" s="2009" t="s">
        <v>3041</v>
      </c>
      <c r="C6" s="2876" t="s">
        <v>3115</v>
      </c>
      <c r="D6" s="2010" t="s">
        <v>1547</v>
      </c>
      <c r="E6" s="1018"/>
      <c r="F6" s="1017"/>
      <c r="G6" s="1070"/>
      <c r="I6" s="1066" t="str">
        <f>IF(COUNTIF(B5,"*上海银行*"),"上海银行","")</f>
        <v/>
      </c>
    </row>
    <row r="7" spans="1:10" ht="13.5" thickBot="1">
      <c r="A7" s="1995" t="s">
        <v>1548</v>
      </c>
      <c r="B7" s="2011" t="s">
        <v>3046</v>
      </c>
      <c r="C7" s="2012" t="str">
        <f>IF(B7="自然人","姓名","名称")</f>
        <v>名称</v>
      </c>
      <c r="D7" s="2013" t="s">
        <v>2813</v>
      </c>
      <c r="E7" s="1064"/>
      <c r="F7" s="1063"/>
      <c r="G7" s="1680"/>
    </row>
    <row r="8" spans="1:10" ht="39" customHeight="1" thickTop="1">
      <c r="A8" s="2943" t="s">
        <v>1549</v>
      </c>
      <c r="B8" s="2014" t="s">
        <v>1550</v>
      </c>
      <c r="C8" s="2955" t="s">
        <v>3156</v>
      </c>
      <c r="D8" s="2956"/>
      <c r="E8" s="2015" t="s">
        <v>1551</v>
      </c>
      <c r="F8" s="2016" t="s">
        <v>1552</v>
      </c>
      <c r="G8" s="690" t="str">
        <f>C6</f>
        <v>北京市朝阳区常惠路6号</v>
      </c>
    </row>
    <row r="9" spans="1:10" ht="25.5">
      <c r="A9" s="2943"/>
      <c r="B9" s="344" t="s">
        <v>1553</v>
      </c>
      <c r="C9" s="2882" t="s">
        <v>3157</v>
      </c>
      <c r="D9" s="2017" t="s">
        <v>3047</v>
      </c>
      <c r="E9" s="1006" t="s">
        <v>1554</v>
      </c>
      <c r="F9" s="992"/>
      <c r="G9" s="1008"/>
    </row>
    <row r="10" spans="1:10" ht="13.5" thickBot="1">
      <c r="A10" s="2943"/>
      <c r="B10" s="344" t="s">
        <v>1555</v>
      </c>
      <c r="C10" s="2957"/>
      <c r="D10" s="2958"/>
      <c r="E10" s="2018" t="s">
        <v>1556</v>
      </c>
      <c r="F10" s="1009"/>
      <c r="G10" s="1010"/>
    </row>
    <row r="11" spans="1:10" ht="13.5" thickBot="1">
      <c r="A11" s="2943"/>
      <c r="B11" s="2019" t="s">
        <v>1557</v>
      </c>
      <c r="C11" s="2959"/>
      <c r="D11" s="2960"/>
      <c r="E11" s="1018"/>
      <c r="F11" s="1017"/>
      <c r="G11" s="1070"/>
    </row>
    <row r="12" spans="1:10" ht="24.75" thickBot="1">
      <c r="A12" s="2946" t="s">
        <v>1558</v>
      </c>
      <c r="B12" s="2020" t="s">
        <v>1559</v>
      </c>
      <c r="C12" s="1012">
        <v>392.22</v>
      </c>
      <c r="D12" s="2020" t="s">
        <v>1560</v>
      </c>
      <c r="E12" s="2021" t="s">
        <v>1561</v>
      </c>
      <c r="F12" s="2022" t="s">
        <v>1562</v>
      </c>
      <c r="G12" s="1070"/>
    </row>
    <row r="13" spans="1:10" ht="21" customHeight="1" thickBot="1">
      <c r="A13" s="2947"/>
      <c r="B13" s="2023" t="s">
        <v>1563</v>
      </c>
      <c r="C13" s="1013">
        <v>0</v>
      </c>
      <c r="D13" s="2023" t="s">
        <v>1564</v>
      </c>
      <c r="E13" s="2024" t="s">
        <v>1561</v>
      </c>
      <c r="F13" s="1017"/>
      <c r="G13" s="1070"/>
      <c r="I13" s="2933" t="s">
        <v>1565</v>
      </c>
      <c r="J13" s="202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6"/>
      <c r="B14" s="2027" t="s">
        <v>1566</v>
      </c>
      <c r="C14" s="2028"/>
      <c r="D14" s="1017"/>
      <c r="E14" s="1017"/>
      <c r="F14" s="1017"/>
      <c r="G14" s="1070"/>
      <c r="I14" s="2933"/>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29"/>
      <c r="B15" s="2030" t="s">
        <v>1567</v>
      </c>
      <c r="C15" s="1065"/>
      <c r="D15" s="1063"/>
      <c r="E15" s="1063"/>
      <c r="F15" s="1063"/>
      <c r="G15" s="1680"/>
      <c r="I15" s="2933"/>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1568</v>
      </c>
      <c r="B16" s="2031" t="s">
        <v>1569</v>
      </c>
      <c r="C16" s="2032" t="s">
        <v>2811</v>
      </c>
      <c r="D16" s="2033" t="s">
        <v>1570</v>
      </c>
      <c r="E16" s="2034" t="s">
        <v>2811</v>
      </c>
      <c r="F16" s="2035" t="str">
        <f>IF(AND(C16="是",E16="否"),"是否提供他项权证或相关说明","")</f>
        <v/>
      </c>
      <c r="G16" s="2034" t="s">
        <v>2811</v>
      </c>
      <c r="I16" s="1067"/>
      <c r="J16" s="1016"/>
    </row>
    <row r="17" spans="1:15" ht="13.5" customHeight="1">
      <c r="A17" s="2036" t="s">
        <v>1571</v>
      </c>
      <c r="B17" s="2961" t="s">
        <v>1572</v>
      </c>
      <c r="C17" s="2962"/>
      <c r="D17" s="2963" t="s">
        <v>1573</v>
      </c>
      <c r="E17" s="2964"/>
      <c r="F17" s="2037" t="s">
        <v>1574</v>
      </c>
      <c r="G17" s="2038"/>
      <c r="J17" s="1016"/>
    </row>
    <row r="18" spans="1:15" ht="24">
      <c r="A18" s="2036"/>
      <c r="B18" s="2039" t="s">
        <v>1575</v>
      </c>
      <c r="C18" s="2007" t="s">
        <v>1576</v>
      </c>
      <c r="D18" s="2040" t="s">
        <v>1577</v>
      </c>
      <c r="E18" s="2041" t="s">
        <v>1578</v>
      </c>
      <c r="F18" s="2042"/>
      <c r="G18" s="1864"/>
      <c r="H18" s="1016"/>
      <c r="J18" s="1016"/>
    </row>
    <row r="19" spans="1:15" ht="21.75" customHeight="1" thickBot="1">
      <c r="A19" s="2036"/>
      <c r="B19" s="2043"/>
      <c r="C19" s="2024"/>
      <c r="D19" s="2044"/>
      <c r="E19" s="1017"/>
      <c r="F19" s="1017"/>
      <c r="G19" s="1864"/>
    </row>
    <row r="20" spans="1:15">
      <c r="A20" s="2045" t="s">
        <v>1579</v>
      </c>
      <c r="B20" s="2046" t="s">
        <v>1580</v>
      </c>
      <c r="C20" s="2047"/>
      <c r="D20" s="2048" t="s">
        <v>1580</v>
      </c>
      <c r="E20" s="2047"/>
      <c r="F20" s="1017"/>
      <c r="G20" s="1864"/>
    </row>
    <row r="21" spans="1:15">
      <c r="A21" s="2049"/>
      <c r="B21" s="2050" t="s">
        <v>1581</v>
      </c>
      <c r="C21" s="2051"/>
      <c r="D21" s="2036" t="s">
        <v>1581</v>
      </c>
      <c r="E21" s="2052"/>
      <c r="F21" s="1017"/>
      <c r="G21" s="1864"/>
    </row>
    <row r="22" spans="1:15">
      <c r="A22" s="2049"/>
      <c r="B22" s="2053" t="s">
        <v>1582</v>
      </c>
      <c r="C22" s="2054"/>
      <c r="D22" s="2053" t="s">
        <v>1582</v>
      </c>
      <c r="E22" s="2052"/>
      <c r="F22" s="1017"/>
      <c r="G22" s="1864"/>
    </row>
    <row r="23" spans="1:15" s="1862" customFormat="1" ht="21" thickBot="1">
      <c r="A23" s="2055"/>
      <c r="B23" s="2056" t="s">
        <v>1583</v>
      </c>
      <c r="C23" s="2057"/>
      <c r="D23" s="2056" t="s">
        <v>1584</v>
      </c>
      <c r="E23" s="2058"/>
      <c r="F23" s="1017"/>
      <c r="G23" s="1864"/>
      <c r="H23" s="2059"/>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60" t="s">
        <v>1586</v>
      </c>
      <c r="C25" s="991"/>
      <c r="D25" s="1011"/>
      <c r="E25" s="1014" t="s">
        <v>1587</v>
      </c>
      <c r="F25" s="991"/>
      <c r="G25" s="2061" t="s">
        <v>1588</v>
      </c>
      <c r="L25" s="1078"/>
      <c r="M25" s="1078"/>
      <c r="O25" s="1079"/>
    </row>
    <row r="26" spans="1:15" s="1077" customFormat="1" ht="13.5" thickBot="1">
      <c r="A26" s="991"/>
      <c r="B26" s="1085"/>
      <c r="C26" s="991"/>
      <c r="D26" s="1011"/>
      <c r="E26" s="1085"/>
      <c r="F26" s="991"/>
      <c r="G26" s="1681"/>
      <c r="L26" s="1078"/>
      <c r="M26" s="1078"/>
      <c r="O26" s="1079"/>
    </row>
    <row r="27" spans="1:15">
      <c r="A27" s="1003" t="s">
        <v>1589</v>
      </c>
      <c r="B27" s="1000"/>
      <c r="C27" s="2949" t="s">
        <v>1589</v>
      </c>
      <c r="D27" s="2950"/>
      <c r="E27" s="1000"/>
      <c r="F27" s="1007" t="s">
        <v>1589</v>
      </c>
      <c r="G27" s="1000"/>
      <c r="I27" s="1067"/>
      <c r="K27" s="1067"/>
    </row>
    <row r="28" spans="1:15">
      <c r="A28" s="1004" t="s">
        <v>1590</v>
      </c>
      <c r="B28" s="974"/>
      <c r="C28" s="2951" t="s">
        <v>1591</v>
      </c>
      <c r="D28" s="2952"/>
      <c r="E28" s="974"/>
      <c r="F28" s="1889" t="s">
        <v>1591</v>
      </c>
      <c r="G28" s="974"/>
      <c r="I28" s="1067"/>
      <c r="K28" s="1067"/>
    </row>
    <row r="29" spans="1:15">
      <c r="A29" s="1004" t="s">
        <v>1592</v>
      </c>
      <c r="B29" s="974"/>
      <c r="C29" s="2951" t="s">
        <v>1592</v>
      </c>
      <c r="D29" s="2952"/>
      <c r="E29" s="974"/>
      <c r="F29" s="1889" t="s">
        <v>1593</v>
      </c>
      <c r="G29" s="974"/>
      <c r="I29" s="1067"/>
      <c r="K29" s="1067"/>
    </row>
    <row r="30" spans="1:15">
      <c r="A30" s="1004" t="s">
        <v>1594</v>
      </c>
      <c r="B30" s="974"/>
      <c r="C30" s="2940" t="s">
        <v>1595</v>
      </c>
      <c r="D30" s="2062"/>
      <c r="E30" s="1019" t="str">
        <f>E31&amp;" "&amp;E32&amp;" "&amp;E33&amp;" "&amp;E34</f>
        <v xml:space="preserve">   </v>
      </c>
      <c r="F30" s="1889" t="s">
        <v>1596</v>
      </c>
      <c r="G30" s="974"/>
    </row>
    <row r="31" spans="1:15">
      <c r="A31" s="1004" t="s">
        <v>1597</v>
      </c>
      <c r="B31" s="974"/>
      <c r="C31" s="2941"/>
      <c r="D31" s="1888" t="s">
        <v>1598</v>
      </c>
      <c r="E31" s="974"/>
      <c r="F31" s="1889" t="s">
        <v>1599</v>
      </c>
      <c r="G31" s="974"/>
    </row>
    <row r="32" spans="1:15" ht="24.75" thickBot="1">
      <c r="A32" s="1005" t="s">
        <v>1600</v>
      </c>
      <c r="B32" s="1001"/>
      <c r="C32" s="2941"/>
      <c r="D32" s="1888" t="s">
        <v>1601</v>
      </c>
      <c r="E32" s="974"/>
      <c r="F32" s="1889" t="s">
        <v>1602</v>
      </c>
      <c r="G32" s="974"/>
    </row>
    <row r="33" spans="1:7">
      <c r="A33" s="1003" t="s">
        <v>1603</v>
      </c>
      <c r="B33" s="1000"/>
      <c r="C33" s="2941"/>
      <c r="D33" s="1888" t="s">
        <v>1604</v>
      </c>
      <c r="E33" s="974"/>
      <c r="F33" s="1889" t="s">
        <v>1605</v>
      </c>
      <c r="G33" s="974"/>
    </row>
    <row r="34" spans="1:7" ht="13.5" thickBot="1">
      <c r="A34" s="1004" t="s">
        <v>1606</v>
      </c>
      <c r="B34" s="974"/>
      <c r="C34" s="2942"/>
      <c r="D34" s="1888" t="s">
        <v>1607</v>
      </c>
      <c r="E34" s="974"/>
      <c r="F34" s="1890" t="s">
        <v>1608</v>
      </c>
      <c r="G34" s="1002"/>
    </row>
    <row r="35" spans="1:7">
      <c r="A35" s="1004" t="s">
        <v>1559</v>
      </c>
      <c r="B35" s="974"/>
      <c r="C35" s="2951" t="s">
        <v>1609</v>
      </c>
      <c r="D35" s="2952"/>
      <c r="E35" s="974"/>
      <c r="F35" s="1015" t="s">
        <v>1610</v>
      </c>
      <c r="G35" s="1000"/>
    </row>
    <row r="36" spans="1:7" ht="13.5" thickBot="1">
      <c r="A36" s="1004" t="s">
        <v>1611</v>
      </c>
      <c r="B36" s="974"/>
      <c r="C36" s="2953" t="s">
        <v>1612</v>
      </c>
      <c r="D36" s="2954"/>
      <c r="E36" s="1001"/>
      <c r="F36" s="1886" t="s">
        <v>1613</v>
      </c>
      <c r="G36" s="974"/>
    </row>
    <row r="37" spans="1:7" ht="13.5" thickBot="1">
      <c r="A37" s="1004" t="s">
        <v>1614</v>
      </c>
      <c r="B37" s="974"/>
      <c r="C37" s="2938" t="s">
        <v>1615</v>
      </c>
      <c r="D37" s="2063" t="s">
        <v>1599</v>
      </c>
      <c r="E37" s="1000"/>
      <c r="F37" s="1890" t="s">
        <v>1616</v>
      </c>
      <c r="G37" s="1001"/>
    </row>
    <row r="38" spans="1:7">
      <c r="A38" s="1004" t="s">
        <v>1617</v>
      </c>
      <c r="B38" s="974"/>
      <c r="C38" s="2944"/>
      <c r="D38" s="1888" t="s">
        <v>1606</v>
      </c>
      <c r="E38" s="974"/>
      <c r="F38" s="1007" t="s">
        <v>1618</v>
      </c>
      <c r="G38" s="1000"/>
    </row>
    <row r="39" spans="1:7">
      <c r="A39" s="1004" t="s">
        <v>1619</v>
      </c>
      <c r="B39" s="974"/>
      <c r="C39" s="2944" t="s">
        <v>1620</v>
      </c>
      <c r="D39" s="1888" t="s">
        <v>1559</v>
      </c>
      <c r="E39" s="974"/>
      <c r="F39" s="1889" t="s">
        <v>1621</v>
      </c>
      <c r="G39" s="974"/>
    </row>
    <row r="40" spans="1:7" ht="24.75" customHeight="1" thickBot="1">
      <c r="A40" s="1005" t="s">
        <v>1622</v>
      </c>
      <c r="B40" s="1001"/>
      <c r="C40" s="2945"/>
      <c r="D40" s="1891" t="s">
        <v>1563</v>
      </c>
      <c r="E40" s="1001"/>
      <c r="F40" s="1890" t="s">
        <v>1623</v>
      </c>
      <c r="G40" s="1001"/>
    </row>
    <row r="41" spans="1:7">
      <c r="A41" s="1006" t="s">
        <v>1624</v>
      </c>
      <c r="B41" s="1056"/>
      <c r="C41" s="2934" t="s">
        <v>1624</v>
      </c>
      <c r="D41" s="2935"/>
      <c r="E41" s="1056"/>
      <c r="F41" s="1007" t="s">
        <v>1625</v>
      </c>
      <c r="G41" s="1056"/>
    </row>
    <row r="42" spans="1:7">
      <c r="A42" s="1053" t="s">
        <v>1626</v>
      </c>
      <c r="B42" s="1057"/>
      <c r="C42" s="2064"/>
      <c r="D42" s="2065"/>
      <c r="E42" s="1057"/>
      <c r="F42" s="1055"/>
      <c r="G42" s="1057"/>
    </row>
    <row r="43" spans="1:7">
      <c r="A43" s="94" t="s">
        <v>1580</v>
      </c>
      <c r="B43" s="1054"/>
      <c r="C43" s="2064"/>
      <c r="D43" s="2066" t="s">
        <v>1580</v>
      </c>
      <c r="E43" s="1054"/>
      <c r="F43" s="94" t="s">
        <v>1580</v>
      </c>
      <c r="G43" s="1054"/>
    </row>
    <row r="44" spans="1:7">
      <c r="A44" s="94" t="s">
        <v>1581</v>
      </c>
      <c r="B44" s="1054"/>
      <c r="C44" s="2064"/>
      <c r="D44" s="2050" t="s">
        <v>1581</v>
      </c>
      <c r="E44" s="1054"/>
      <c r="F44" s="94" t="s">
        <v>1581</v>
      </c>
      <c r="G44" s="1054"/>
    </row>
    <row r="45" spans="1:7">
      <c r="A45" s="94" t="s">
        <v>1582</v>
      </c>
      <c r="B45" s="1054"/>
      <c r="C45" s="2064"/>
      <c r="D45" s="2050" t="s">
        <v>1582</v>
      </c>
      <c r="E45" s="1054"/>
      <c r="F45" s="94" t="s">
        <v>1582</v>
      </c>
      <c r="G45" s="1054"/>
    </row>
    <row r="46" spans="1:7">
      <c r="A46" s="94" t="s">
        <v>1583</v>
      </c>
      <c r="B46" s="1054"/>
      <c r="C46" s="2064"/>
      <c r="D46" s="2050" t="s">
        <v>1583</v>
      </c>
      <c r="E46" s="1054"/>
      <c r="F46" s="94" t="s">
        <v>1583</v>
      </c>
      <c r="G46" s="1054"/>
    </row>
    <row r="47" spans="1:7">
      <c r="A47" s="1053"/>
      <c r="B47" s="1054"/>
      <c r="C47" s="2064"/>
      <c r="D47" s="2065"/>
      <c r="E47" s="1054"/>
      <c r="F47" s="1055"/>
      <c r="G47" s="1054"/>
    </row>
    <row r="48" spans="1:7" ht="13.5" thickBot="1">
      <c r="A48" s="1005" t="s">
        <v>1627</v>
      </c>
      <c r="B48" s="1001"/>
      <c r="C48" s="2936" t="s">
        <v>1627</v>
      </c>
      <c r="D48" s="2937"/>
      <c r="E48" s="1051"/>
      <c r="F48" s="1890" t="s">
        <v>1628</v>
      </c>
      <c r="G48" s="1001"/>
    </row>
    <row r="49" spans="1:15">
      <c r="A49" s="1004" t="s">
        <v>1629</v>
      </c>
      <c r="B49" s="1050"/>
      <c r="C49" s="2938" t="s">
        <v>1630</v>
      </c>
      <c r="D49" s="2939"/>
      <c r="E49" s="1052"/>
      <c r="F49" s="1080"/>
      <c r="G49" s="1081"/>
    </row>
    <row r="50" spans="1:15" ht="13.5" thickBot="1">
      <c r="A50" s="1004" t="s">
        <v>1631</v>
      </c>
      <c r="B50" s="1050"/>
      <c r="C50" s="2945" t="s">
        <v>1632</v>
      </c>
      <c r="D50" s="2948"/>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65" t="s">
        <v>0</v>
      </c>
      <c r="B1" s="2965" t="s">
        <v>2</v>
      </c>
      <c r="C1" s="2965" t="s">
        <v>3</v>
      </c>
      <c r="D1" s="2966" t="s">
        <v>67</v>
      </c>
      <c r="E1" s="2966" t="s">
        <v>68</v>
      </c>
      <c r="F1" s="2966"/>
      <c r="G1" s="2966"/>
      <c r="H1" s="2966"/>
      <c r="I1" s="2966"/>
      <c r="J1" s="2966"/>
      <c r="K1" s="2966"/>
      <c r="L1" s="2966"/>
      <c r="M1" s="2966"/>
    </row>
    <row r="2" spans="1:13" ht="27" customHeight="1">
      <c r="A2" s="2965"/>
      <c r="B2" s="2965"/>
      <c r="C2" s="2965"/>
      <c r="D2" s="2966"/>
      <c r="E2" s="2966" t="s">
        <v>51</v>
      </c>
      <c r="F2" s="2966" t="s">
        <v>52</v>
      </c>
      <c r="G2" s="2966"/>
      <c r="H2" s="2966"/>
      <c r="I2" s="2966"/>
      <c r="J2" s="2966" t="s">
        <v>53</v>
      </c>
      <c r="K2" s="2966"/>
      <c r="L2" s="2966"/>
      <c r="M2" s="2966"/>
    </row>
    <row r="3" spans="1:13" ht="28.5">
      <c r="A3" s="2965"/>
      <c r="B3" s="2965"/>
      <c r="C3" s="2965"/>
      <c r="D3" s="2966"/>
      <c r="E3" s="296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66" t="s">
        <v>69</v>
      </c>
      <c r="B9" s="2966"/>
      <c r="C9" s="296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F16" sqref="F16"/>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1634</v>
      </c>
      <c r="B1" s="1233"/>
      <c r="C1" s="1233"/>
      <c r="D1" s="1849"/>
      <c r="E1" s="1849"/>
      <c r="AE1" s="1233"/>
      <c r="AF1" s="1233"/>
      <c r="AG1" s="1233"/>
      <c r="AH1" s="1233"/>
      <c r="AI1" s="1233"/>
      <c r="AJ1" s="1233"/>
      <c r="AK1" s="1233"/>
      <c r="AL1" s="1233"/>
      <c r="AM1" s="1233"/>
      <c r="AN1" s="1233"/>
      <c r="AO1" s="1233"/>
    </row>
    <row r="2" spans="1:41" s="2072" customFormat="1" ht="15.75" thickBot="1">
      <c r="A2" s="2069" t="s">
        <v>1635</v>
      </c>
      <c r="B2" s="1205">
        <f>项目基本情况!D2</f>
        <v>44134</v>
      </c>
      <c r="C2" s="1851"/>
      <c r="D2" s="2967" t="s">
        <v>1636</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1637</v>
      </c>
      <c r="B3" s="2073" t="s">
        <v>3049</v>
      </c>
      <c r="C3" s="1851"/>
      <c r="D3" s="2968"/>
      <c r="E3" s="1184" t="s">
        <v>1638</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1639</v>
      </c>
      <c r="B4" s="2073" t="s">
        <v>3050</v>
      </c>
      <c r="C4" s="1851"/>
      <c r="D4" s="2968"/>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1640</v>
      </c>
      <c r="B5" s="1314">
        <f>项目基本情况!C12</f>
        <v>392.22</v>
      </c>
      <c r="C5" s="1851"/>
      <c r="D5" s="2075" t="s">
        <v>1641</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1642</v>
      </c>
      <c r="B6" s="1315">
        <f>项目基本情况!C13</f>
        <v>0</v>
      </c>
      <c r="C6" s="1851"/>
      <c r="D6" s="2075" t="s">
        <v>1643</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1644</v>
      </c>
      <c r="B10" s="2080" t="s">
        <v>3048</v>
      </c>
      <c r="C10" s="1851"/>
      <c r="D10" s="2069" t="s">
        <v>1645</v>
      </c>
      <c r="E10" s="2081"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1648</v>
      </c>
      <c r="B11" s="986">
        <v>40</v>
      </c>
      <c r="C11" s="1851"/>
      <c r="D11" s="2083" t="s">
        <v>1649</v>
      </c>
      <c r="E11" s="34"/>
      <c r="F11" s="1850" t="s">
        <v>1650</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1651</v>
      </c>
      <c r="B12" s="2087"/>
      <c r="C12" s="1851"/>
      <c r="D12" s="2088"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1653</v>
      </c>
      <c r="B13" s="987">
        <f>IF(B12="",B11-(YEAR($B$2)-B26+B23),ROUNDDOWN(MIN((B12-$B$2)/365,B11),2))</f>
        <v>32</v>
      </c>
      <c r="C13" s="2090"/>
      <c r="D13" s="2091" t="s">
        <v>1654</v>
      </c>
      <c r="E13" s="39">
        <f>E12*'数据-取费表'!B5</f>
        <v>78444</v>
      </c>
      <c r="F13" s="1845" t="s">
        <v>1655</v>
      </c>
      <c r="G13" s="1851"/>
      <c r="H13" s="2969" t="s">
        <v>2906</v>
      </c>
      <c r="I13" s="2970"/>
      <c r="J13" s="2848"/>
      <c r="K13" s="2849"/>
      <c r="L13" s="2849"/>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24">
      <c r="A14" s="2086" t="s">
        <v>1656</v>
      </c>
      <c r="B14" s="988">
        <f>IF(ISERROR(ROUND(POWER(1+B15,B11-B13)*(POWER(1+B15,B13)-1)/(POWER(1+B15,B11)-1),3)),0,ROUND(POWER(1+B15,B11-B13)*(POWER(1+B15,B13)-1)/(POWER(1+B15,B11)-1),3))</f>
        <v>0.90300000000000002</v>
      </c>
      <c r="C14" s="1851"/>
      <c r="D14" s="2092" t="s">
        <v>1657</v>
      </c>
      <c r="E14" s="709">
        <v>200</v>
      </c>
      <c r="F14" s="1844"/>
      <c r="G14" s="1851"/>
      <c r="H14" s="2850" t="s">
        <v>2907</v>
      </c>
      <c r="I14" s="2851">
        <v>0</v>
      </c>
      <c r="J14" s="2848"/>
      <c r="K14" s="2852"/>
      <c r="L14" s="2852"/>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24">
      <c r="A15" s="2086" t="s">
        <v>1658</v>
      </c>
      <c r="B15" s="30">
        <v>0.04</v>
      </c>
      <c r="C15" s="1851"/>
      <c r="D15" s="2088" t="s">
        <v>1659</v>
      </c>
      <c r="E15" s="38">
        <f>E14-E16</f>
        <v>200</v>
      </c>
      <c r="F15" s="1846"/>
      <c r="G15" s="1851"/>
      <c r="H15" s="2850" t="s">
        <v>3071</v>
      </c>
      <c r="I15" s="2853" t="s">
        <v>3171</v>
      </c>
      <c r="J15" s="2848"/>
      <c r="K15" s="2852"/>
      <c r="L15" s="2854"/>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24.75" thickBot="1">
      <c r="A16" s="2086" t="s">
        <v>1660</v>
      </c>
      <c r="B16" s="30">
        <v>5.5E-2</v>
      </c>
      <c r="C16" s="1851"/>
      <c r="D16" s="2093" t="s">
        <v>1661</v>
      </c>
      <c r="E16" s="710">
        <v>0</v>
      </c>
      <c r="F16" s="1847"/>
      <c r="G16" s="1851"/>
      <c r="H16" s="2850" t="s">
        <v>3072</v>
      </c>
      <c r="I16" s="2853" t="s">
        <v>3073</v>
      </c>
      <c r="J16" s="2848"/>
      <c r="K16" s="2852"/>
      <c r="L16" s="2852"/>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1662</v>
      </c>
      <c r="B17" s="993">
        <v>0.06</v>
      </c>
      <c r="C17" s="1851"/>
      <c r="D17" s="2079" t="s">
        <v>1663</v>
      </c>
      <c r="E17" s="981">
        <v>4000</v>
      </c>
      <c r="F17" s="1233"/>
      <c r="G17" s="1851"/>
      <c r="H17" s="2850" t="s">
        <v>2953</v>
      </c>
      <c r="I17" s="2855">
        <f>ROUND(1-(1-I14)*I15/I16,2)</f>
        <v>0.9</v>
      </c>
      <c r="J17" s="2848"/>
      <c r="K17" s="2852"/>
      <c r="L17" s="2852"/>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1568880</v>
      </c>
      <c r="F18" s="1316">
        <f>ROUND(E5*E17*IF(B25=0,1,E20),0)</f>
        <v>0</v>
      </c>
      <c r="G18" s="1851"/>
      <c r="H18" s="2856" t="s">
        <v>2952</v>
      </c>
      <c r="I18" s="2857">
        <v>0.5</v>
      </c>
      <c r="J18" s="2848"/>
      <c r="K18" s="2852"/>
      <c r="L18" s="2852"/>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1664</v>
      </c>
      <c r="B19" s="1851"/>
      <c r="C19" s="1851"/>
      <c r="D19" s="2095" t="str">
        <f>IF(B25=0,"——","续建建安")</f>
        <v>——</v>
      </c>
      <c r="E19" s="982" t="str">
        <f>IF(B25=0,"——",ROUND(B5*E17*(1-E20),0))</f>
        <v>——</v>
      </c>
      <c r="F19" s="1316" t="str">
        <f>IF(B25=0,"——",ROUND(E5*E17*(1-E20),0))</f>
        <v>——</v>
      </c>
      <c r="G19" s="1851"/>
      <c r="H19" s="2971" t="s">
        <v>3074</v>
      </c>
      <c r="I19" s="2972"/>
      <c r="J19" s="2972"/>
      <c r="K19" s="2972"/>
      <c r="L19" s="2973"/>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1665</v>
      </c>
      <c r="B20" s="31">
        <v>0</v>
      </c>
      <c r="C20" s="1851"/>
      <c r="D20" s="2097" t="str">
        <f>IF(B25=0,"成新率","工程进度")</f>
        <v>成新率</v>
      </c>
      <c r="E20" s="983">
        <v>0.85</v>
      </c>
      <c r="F20" s="1233"/>
      <c r="G20" s="1851"/>
      <c r="H20" s="2858" t="s">
        <v>3075</v>
      </c>
      <c r="I20" s="2859" t="s">
        <v>3076</v>
      </c>
      <c r="J20" s="2859" t="s">
        <v>3077</v>
      </c>
      <c r="K20" s="2859" t="s">
        <v>2932</v>
      </c>
      <c r="L20" s="2859" t="s">
        <v>2933</v>
      </c>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1666</v>
      </c>
      <c r="B21" s="32">
        <v>2</v>
      </c>
      <c r="C21" s="1851"/>
      <c r="D21" s="2088" t="s">
        <v>1667</v>
      </c>
      <c r="E21" s="711">
        <v>0.05</v>
      </c>
      <c r="F21" s="1848" t="s">
        <v>1668</v>
      </c>
      <c r="G21" s="1851"/>
      <c r="H21" s="2858" t="s">
        <v>2938</v>
      </c>
      <c r="I21" s="2859">
        <v>100</v>
      </c>
      <c r="J21" s="2859" t="s">
        <v>3078</v>
      </c>
      <c r="K21" s="2859">
        <v>80</v>
      </c>
      <c r="L21" s="2860">
        <v>0.3</v>
      </c>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1669</v>
      </c>
      <c r="B22" s="1450">
        <v>2</v>
      </c>
      <c r="C22" s="1851"/>
      <c r="D22" s="2088" t="s">
        <v>1670</v>
      </c>
      <c r="E22" s="40">
        <v>0</v>
      </c>
      <c r="F22" s="1848" t="s">
        <v>1671</v>
      </c>
      <c r="G22" s="1851"/>
      <c r="H22" s="2858" t="s">
        <v>2944</v>
      </c>
      <c r="I22" s="2859">
        <v>100</v>
      </c>
      <c r="J22" s="2859" t="s">
        <v>3078</v>
      </c>
      <c r="K22" s="2859">
        <v>80</v>
      </c>
      <c r="L22" s="2860">
        <v>0.5</v>
      </c>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1672</v>
      </c>
      <c r="B23" s="33">
        <f>B20+B21</f>
        <v>2</v>
      </c>
      <c r="C23" s="1851"/>
      <c r="D23" s="2088" t="s">
        <v>1673</v>
      </c>
      <c r="E23" s="37">
        <v>200</v>
      </c>
      <c r="F23" s="1848" t="s">
        <v>1674</v>
      </c>
      <c r="G23" s="1851"/>
      <c r="H23" s="2858" t="s">
        <v>3079</v>
      </c>
      <c r="I23" s="2859">
        <v>100</v>
      </c>
      <c r="J23" s="2859" t="s">
        <v>3078</v>
      </c>
      <c r="K23" s="2859">
        <v>80</v>
      </c>
      <c r="L23" s="2860">
        <f>1-L21-L22</f>
        <v>0.19999999999999996</v>
      </c>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1675</v>
      </c>
      <c r="B24" s="1738">
        <f>B20+B22</f>
        <v>2</v>
      </c>
      <c r="C24" s="1851"/>
      <c r="D24" s="2093" t="s">
        <v>1676</v>
      </c>
      <c r="E24" s="1814">
        <v>1.4999999999999999E-2</v>
      </c>
      <c r="F24" s="1848" t="s">
        <v>1677</v>
      </c>
      <c r="G24" s="1851"/>
      <c r="H24" s="2861" t="s">
        <v>3080</v>
      </c>
      <c r="I24" s="2862">
        <f>1-I18</f>
        <v>0.5</v>
      </c>
      <c r="J24" s="2859" t="s">
        <v>2953</v>
      </c>
      <c r="K24" s="2863">
        <f>ROUND((K21*L21+K22*L22+K23*L23)/100,2)</f>
        <v>0.8</v>
      </c>
      <c r="L24" s="2864"/>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1678</v>
      </c>
      <c r="B25" s="1449">
        <f>B21-B22</f>
        <v>0</v>
      </c>
      <c r="C25" s="1233"/>
      <c r="D25" s="2083" t="s">
        <v>1679</v>
      </c>
      <c r="E25" s="711">
        <v>0.02</v>
      </c>
      <c r="F25" s="1848" t="s">
        <v>1680</v>
      </c>
      <c r="I25" s="1849"/>
      <c r="AE25" s="1233"/>
      <c r="AF25" s="1233"/>
      <c r="AG25" s="1233"/>
      <c r="AH25" s="1233"/>
      <c r="AI25" s="1233"/>
      <c r="AJ25" s="1233"/>
      <c r="AK25" s="1233"/>
      <c r="AL25" s="1233"/>
      <c r="AM25" s="1233"/>
      <c r="AN25" s="1233"/>
      <c r="AO25" s="1233"/>
    </row>
    <row r="26" spans="1:41" ht="15.75" thickBot="1">
      <c r="A26" s="2102" t="s">
        <v>1681</v>
      </c>
      <c r="B26" s="1090">
        <v>2014</v>
      </c>
      <c r="C26" s="1851"/>
      <c r="D26" s="2088" t="s">
        <v>1682</v>
      </c>
      <c r="E26" s="40">
        <v>0.02</v>
      </c>
      <c r="F26" s="1848" t="s">
        <v>1680</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1683</v>
      </c>
      <c r="E27" s="352">
        <f ca="1">存贷款利率!G1</f>
        <v>4.7500000000000001E-2</v>
      </c>
      <c r="F27" s="1848" t="s">
        <v>1684</v>
      </c>
      <c r="G27" s="2071"/>
      <c r="H27" s="2071"/>
      <c r="K27" s="1851"/>
      <c r="N27" s="1851"/>
      <c r="AE27" s="1233"/>
      <c r="AF27" s="1233"/>
      <c r="AG27" s="1233"/>
      <c r="AH27" s="1233"/>
      <c r="AI27" s="1233"/>
      <c r="AJ27" s="1233"/>
      <c r="AK27" s="1233"/>
      <c r="AL27" s="1233"/>
      <c r="AM27" s="1233"/>
      <c r="AN27" s="1233"/>
      <c r="AO27" s="1233"/>
    </row>
    <row r="28" spans="1:41" ht="15" thickBot="1">
      <c r="A28" s="2103" t="s">
        <v>1685</v>
      </c>
      <c r="B28" s="2104" t="s">
        <v>3116</v>
      </c>
      <c r="C28" s="1233"/>
      <c r="D28" s="2105" t="s">
        <v>1686</v>
      </c>
      <c r="E28" s="985">
        <v>0.2</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c r="C29" s="1233"/>
      <c r="D29" s="2092" t="s">
        <v>1687</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1688</v>
      </c>
      <c r="B30" s="1415">
        <f ca="1">存贷款利率!I1</f>
        <v>1.4999999999999999E-2</v>
      </c>
      <c r="C30" s="1233"/>
      <c r="D30" s="2106" t="s">
        <v>1689</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1690</v>
      </c>
      <c r="B31" s="30"/>
      <c r="C31" s="1233"/>
      <c r="D31" s="2106" t="s">
        <v>1691</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1692</v>
      </c>
      <c r="B32" s="30">
        <v>0.15</v>
      </c>
      <c r="C32" s="1233"/>
      <c r="D32" s="2107" t="s">
        <v>1693</v>
      </c>
      <c r="E32" s="43">
        <v>7.0000000000000007E-2</v>
      </c>
      <c r="F32" s="1843" t="s">
        <v>1694</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1695</v>
      </c>
      <c r="B33" s="1376">
        <f>收益法!J54</f>
        <v>-6</v>
      </c>
      <c r="C33" s="1233"/>
      <c r="D33" s="2107" t="s">
        <v>1696</v>
      </c>
      <c r="E33" s="41">
        <v>0.03</v>
      </c>
      <c r="F33" s="1842" t="s">
        <v>1697</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1698</v>
      </c>
      <c r="E34" s="41">
        <v>0.02</v>
      </c>
      <c r="F34" s="1842" t="s">
        <v>1699</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1700</v>
      </c>
      <c r="B35" s="990"/>
      <c r="C35" s="1233"/>
      <c r="D35" s="2111" t="s">
        <v>1701</v>
      </c>
      <c r="E35" s="44"/>
      <c r="F35" s="1850" t="s">
        <v>1702</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1703</v>
      </c>
      <c r="E36" s="45">
        <v>0.03</v>
      </c>
      <c r="F36" s="1846" t="s">
        <v>1704</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1705</v>
      </c>
      <c r="E37" s="41">
        <v>5.0000000000000001E-4</v>
      </c>
      <c r="F37" s="1846" t="s">
        <v>1706</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1707</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1708</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1709</v>
      </c>
      <c r="E40" s="48">
        <f>SUMIF(D42:D51,E41,E42:E51)</f>
        <v>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1710</v>
      </c>
      <c r="B41" s="996"/>
      <c r="C41" s="1233"/>
      <c r="D41" s="2088" t="s">
        <v>1711</v>
      </c>
      <c r="E41" s="2116"/>
      <c r="F41" s="1844" t="s">
        <v>1712</v>
      </c>
      <c r="G41" s="2117" t="s">
        <v>1713</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1714</v>
      </c>
      <c r="B42" s="989">
        <v>365</v>
      </c>
      <c r="C42" s="1233"/>
      <c r="D42" s="2118" t="s">
        <v>1715</v>
      </c>
      <c r="E42" s="29"/>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1716</v>
      </c>
      <c r="B43" s="29"/>
      <c r="C43" s="1233"/>
      <c r="D43" s="2118" t="s">
        <v>1717</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1718</v>
      </c>
      <c r="B44" s="997">
        <v>0.02</v>
      </c>
      <c r="C44" s="1233" t="s">
        <v>965</v>
      </c>
      <c r="D44" s="2118" t="s">
        <v>1719</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1720</v>
      </c>
      <c r="B45" s="998">
        <v>2E-3</v>
      </c>
      <c r="C45" s="1233" t="s">
        <v>966</v>
      </c>
      <c r="D45" s="2118"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1722</v>
      </c>
      <c r="B46" s="999">
        <v>1.4999999999999999E-2</v>
      </c>
      <c r="C46" s="1233" t="s">
        <v>967</v>
      </c>
      <c r="D46" s="2118" t="s">
        <v>1466</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1727</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0" sqref="F10"/>
    </sheetView>
  </sheetViews>
  <sheetFormatPr defaultColWidth="9" defaultRowHeight="14.25"/>
  <cols>
    <col min="1" max="1" width="9.5" style="2137"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6"/>
    <col min="30" max="16384" width="9" style="2137"/>
  </cols>
  <sheetData>
    <row r="1" spans="1:29" s="2129" customFormat="1" ht="19.5" thickBot="1">
      <c r="A1" s="2974" t="s">
        <v>1728</v>
      </c>
      <c r="B1" s="2975"/>
      <c r="C1" s="2975"/>
      <c r="D1" s="2975"/>
      <c r="E1" s="2975"/>
      <c r="F1" s="2975"/>
      <c r="G1" s="2975"/>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1729</v>
      </c>
      <c r="D2" s="2133"/>
      <c r="E2" s="2134"/>
      <c r="F2" s="2135"/>
      <c r="G2" s="2132" t="s">
        <v>1730</v>
      </c>
      <c r="H2" s="2136"/>
      <c r="I2" s="2136"/>
      <c r="J2" s="2136"/>
      <c r="K2" s="2136"/>
      <c r="L2" s="2136"/>
      <c r="M2" s="2136"/>
      <c r="N2" s="2136"/>
      <c r="O2" s="2136"/>
      <c r="P2" s="2136"/>
      <c r="Q2" s="2136"/>
      <c r="R2" s="2136"/>
    </row>
    <row r="3" spans="1:29" ht="54">
      <c r="A3" s="395" t="s">
        <v>1731</v>
      </c>
      <c r="B3" s="2138" t="s">
        <v>1732</v>
      </c>
      <c r="C3" s="2139" t="s">
        <v>1733</v>
      </c>
      <c r="D3" s="2140"/>
      <c r="E3" s="411" t="s">
        <v>1731</v>
      </c>
      <c r="F3" s="2141" t="s">
        <v>1734</v>
      </c>
      <c r="G3" s="2142" t="s">
        <v>1735</v>
      </c>
      <c r="H3" s="2136"/>
      <c r="I3" s="2136"/>
      <c r="J3" s="2136"/>
      <c r="K3" s="2136"/>
      <c r="L3" s="2136"/>
      <c r="M3" s="2136"/>
      <c r="N3" s="2136"/>
      <c r="O3" s="2136"/>
      <c r="P3" s="2136"/>
      <c r="Q3" s="2136"/>
      <c r="R3" s="2136"/>
    </row>
    <row r="4" spans="1:29" ht="40.5">
      <c r="A4" s="411"/>
      <c r="B4" s="1882" t="s">
        <v>1736</v>
      </c>
      <c r="C4" s="2842" t="s">
        <v>3117</v>
      </c>
      <c r="D4" s="2140"/>
      <c r="E4" s="2144"/>
      <c r="F4" s="2145" t="s">
        <v>1737</v>
      </c>
      <c r="G4" s="2146" t="s">
        <v>1738</v>
      </c>
      <c r="H4" s="2136"/>
      <c r="I4" s="2136"/>
      <c r="J4" s="2136"/>
      <c r="K4" s="2136"/>
      <c r="L4" s="2136"/>
      <c r="M4" s="2136"/>
      <c r="N4" s="2136"/>
      <c r="O4" s="2136"/>
      <c r="P4" s="2136"/>
      <c r="Q4" s="2136"/>
      <c r="R4" s="2136"/>
    </row>
    <row r="5" spans="1:29" ht="41.25">
      <c r="A5" s="411"/>
      <c r="B5" s="1882" t="s">
        <v>1739</v>
      </c>
      <c r="C5" s="2143" t="s">
        <v>1740</v>
      </c>
      <c r="D5" s="2140"/>
      <c r="E5" s="2144"/>
      <c r="F5" s="1882" t="s">
        <v>1741</v>
      </c>
      <c r="G5" s="2146" t="s">
        <v>1742</v>
      </c>
      <c r="H5" s="2136"/>
      <c r="I5" s="2136"/>
      <c r="J5" s="2136"/>
      <c r="K5" s="2136"/>
      <c r="L5" s="2136"/>
      <c r="M5" s="2136"/>
      <c r="N5" s="2136"/>
      <c r="O5" s="2136"/>
      <c r="P5" s="2136"/>
      <c r="Q5" s="2136"/>
      <c r="R5" s="2136"/>
    </row>
    <row r="6" spans="1:29" ht="67.5">
      <c r="A6" s="411"/>
      <c r="B6" s="1882" t="s">
        <v>1743</v>
      </c>
      <c r="C6" s="2843" t="s">
        <v>3118</v>
      </c>
      <c r="D6" s="2140"/>
      <c r="E6" s="2144"/>
      <c r="F6" s="1882" t="s">
        <v>1744</v>
      </c>
      <c r="G6" s="2146" t="s">
        <v>1745</v>
      </c>
      <c r="H6" s="2136"/>
      <c r="I6" s="2136"/>
      <c r="J6" s="2136"/>
      <c r="K6" s="2136"/>
      <c r="L6" s="2136"/>
      <c r="M6" s="2136"/>
      <c r="N6" s="2136"/>
      <c r="O6" s="2136"/>
      <c r="P6" s="2136"/>
      <c r="Q6" s="2136"/>
      <c r="R6" s="2136"/>
    </row>
    <row r="7" spans="1:29" ht="41.25" thickBot="1">
      <c r="A7" s="411"/>
      <c r="B7" s="1882" t="s">
        <v>1741</v>
      </c>
      <c r="C7" s="2843" t="s">
        <v>3053</v>
      </c>
      <c r="D7" s="2147"/>
      <c r="E7" s="2148"/>
      <c r="F7" s="2149" t="s">
        <v>1746</v>
      </c>
      <c r="G7" s="2150" t="s">
        <v>1747</v>
      </c>
      <c r="H7" s="2136"/>
      <c r="I7" s="2136"/>
      <c r="J7" s="2136"/>
      <c r="K7" s="2136"/>
      <c r="L7" s="2136"/>
      <c r="M7" s="2136"/>
      <c r="N7" s="2136"/>
      <c r="O7" s="2136"/>
      <c r="P7" s="2136"/>
      <c r="Q7" s="2136"/>
      <c r="R7" s="2136"/>
    </row>
    <row r="8" spans="1:29" ht="15">
      <c r="A8" s="411"/>
      <c r="B8" s="1882" t="s">
        <v>1744</v>
      </c>
      <c r="C8" s="2843" t="s">
        <v>3054</v>
      </c>
      <c r="D8" s="2147"/>
      <c r="E8" s="2147"/>
      <c r="F8" s="1242"/>
      <c r="G8" s="1242"/>
      <c r="H8" s="2136"/>
      <c r="I8" s="2136"/>
      <c r="J8" s="2136"/>
      <c r="K8" s="2136"/>
      <c r="L8" s="2136"/>
      <c r="M8" s="2136"/>
      <c r="N8" s="2136"/>
      <c r="O8" s="2136"/>
      <c r="P8" s="2136"/>
      <c r="Q8" s="2136"/>
      <c r="R8" s="2136"/>
    </row>
    <row r="9" spans="1:29" ht="67.5">
      <c r="A9" s="411"/>
      <c r="B9" s="1882" t="s">
        <v>1748</v>
      </c>
      <c r="C9" s="2842" t="s">
        <v>3119</v>
      </c>
      <c r="D9" s="2140"/>
      <c r="E9" s="2147"/>
      <c r="F9" s="1242"/>
      <c r="G9" s="1242"/>
      <c r="H9" s="2136"/>
      <c r="I9" s="2136"/>
      <c r="J9" s="2136"/>
      <c r="K9" s="2136"/>
      <c r="L9" s="2136"/>
      <c r="M9" s="2136"/>
      <c r="N9" s="2136"/>
      <c r="O9" s="2136"/>
      <c r="P9" s="2136"/>
      <c r="Q9" s="2136"/>
      <c r="R9" s="2136"/>
    </row>
    <row r="10" spans="1:29" s="35" customFormat="1" ht="15.75" thickBot="1">
      <c r="A10" s="2151"/>
      <c r="B10" s="2152" t="s">
        <v>1749</v>
      </c>
      <c r="C10" s="2877" t="s">
        <v>3120</v>
      </c>
      <c r="D10" s="2140"/>
      <c r="E10" s="2140"/>
      <c r="F10" s="1242"/>
      <c r="G10" s="1242"/>
      <c r="H10" s="2153"/>
      <c r="I10" s="2154"/>
      <c r="J10" s="2155"/>
      <c r="K10" s="2153"/>
      <c r="L10" s="2154"/>
      <c r="M10" s="2155"/>
      <c r="N10" s="2153"/>
      <c r="O10" s="2154"/>
      <c r="P10" s="2155"/>
      <c r="Q10" s="2153"/>
      <c r="R10" s="2154"/>
      <c r="S10" s="2136"/>
      <c r="T10" s="2136"/>
      <c r="U10" s="2136"/>
      <c r="V10" s="2136"/>
      <c r="W10" s="2136"/>
      <c r="X10" s="2136"/>
      <c r="Y10" s="2136"/>
      <c r="Z10" s="2136"/>
      <c r="AA10" s="2136"/>
      <c r="AB10" s="2136"/>
      <c r="AC10" s="2136"/>
    </row>
    <row r="11" spans="1:29" s="35" customFormat="1" ht="15">
      <c r="A11" s="2156"/>
      <c r="B11" s="2147"/>
      <c r="C11" s="2140"/>
      <c r="D11" s="2140"/>
      <c r="E11" s="2140"/>
      <c r="F11" s="2147"/>
      <c r="G11" s="1262"/>
      <c r="H11" s="2153"/>
      <c r="I11" s="2154"/>
      <c r="J11" s="2155"/>
      <c r="K11" s="2153"/>
      <c r="L11" s="2154"/>
      <c r="M11" s="2155"/>
      <c r="N11" s="2153"/>
      <c r="O11" s="2154"/>
      <c r="P11" s="2155"/>
      <c r="Q11" s="2153"/>
      <c r="R11" s="2154"/>
      <c r="S11" s="2136"/>
      <c r="T11" s="2136"/>
      <c r="U11" s="2136"/>
      <c r="V11" s="2136"/>
      <c r="W11" s="2136"/>
      <c r="X11" s="2136"/>
      <c r="Y11" s="2136"/>
      <c r="Z11" s="2136"/>
      <c r="AA11" s="2136"/>
      <c r="AB11" s="2136"/>
      <c r="AC11" s="2136"/>
    </row>
    <row r="12" spans="1:29" s="2129" customFormat="1" ht="18">
      <c r="A12" s="2156"/>
      <c r="B12" s="2147"/>
      <c r="C12" s="2140"/>
      <c r="D12" s="2157"/>
      <c r="E12" s="2140"/>
      <c r="F12" s="2147"/>
      <c r="G12" s="1262"/>
      <c r="H12" s="2158"/>
      <c r="I12" s="2159"/>
      <c r="J12" s="2158"/>
      <c r="K12" s="2158"/>
      <c r="L12" s="2160"/>
      <c r="M12" s="2158"/>
      <c r="N12" s="2161"/>
      <c r="O12" s="2162"/>
      <c r="P12" s="2161"/>
      <c r="Q12" s="2161"/>
      <c r="R12" s="2127"/>
      <c r="S12" s="2128"/>
      <c r="T12" s="2128"/>
      <c r="U12" s="2128"/>
      <c r="V12" s="2128"/>
      <c r="W12" s="2128"/>
      <c r="X12" s="2128"/>
      <c r="Y12" s="2128"/>
      <c r="Z12" s="2128"/>
      <c r="AA12" s="2128"/>
      <c r="AB12" s="2128"/>
      <c r="AC12" s="2128"/>
    </row>
    <row r="13" spans="1:29" ht="19.5" thickBot="1">
      <c r="A13" s="2163" t="s">
        <v>1750</v>
      </c>
      <c r="B13" s="2157"/>
      <c r="C13" s="2157"/>
      <c r="D13" s="2133"/>
      <c r="E13" s="2157"/>
      <c r="F13" s="2157"/>
      <c r="G13" s="2157"/>
    </row>
    <row r="14" spans="1:29" ht="15.75" thickBot="1">
      <c r="A14" s="2167"/>
      <c r="B14" s="2168"/>
      <c r="C14" s="2169" t="s">
        <v>1751</v>
      </c>
      <c r="D14" s="2140"/>
      <c r="E14" s="2170"/>
      <c r="F14" s="2170"/>
      <c r="G14" s="2132" t="s">
        <v>1752</v>
      </c>
    </row>
    <row r="15" spans="1:29" ht="57">
      <c r="A15" s="25" t="s">
        <v>1753</v>
      </c>
      <c r="B15" s="2171" t="s">
        <v>1732</v>
      </c>
      <c r="C15" s="2172" t="str">
        <f>C3</f>
        <v>估价对象周边居住用地比例、居住小区规模和社区发展完善程度，综合评价居住社区成熟度一般</v>
      </c>
      <c r="D15" s="2140"/>
      <c r="E15" s="2173" t="s">
        <v>1754</v>
      </c>
      <c r="F15" s="2171" t="s">
        <v>1755</v>
      </c>
      <c r="G15" s="51" t="str">
        <f>G3</f>
        <v>估价对象位于XX开发区，园区建设成熟度XX，产业集聚程度XX</v>
      </c>
    </row>
    <row r="16" spans="1:29" ht="42.75">
      <c r="A16" s="629"/>
      <c r="B16" s="1489" t="s">
        <v>1736</v>
      </c>
      <c r="C16" s="2174" t="str">
        <f>C4</f>
        <v>估价对象位于定福庄商圈，周边商业氛围成熟，人流量大，商业繁华度好</v>
      </c>
      <c r="D16" s="2140"/>
      <c r="E16" s="2175"/>
      <c r="F16" s="2176" t="s">
        <v>1737</v>
      </c>
      <c r="G16" s="52" t="str">
        <f>G4</f>
        <v>估价对象周边道路状况、公共交通通达情况、停车便捷程度，综合评价交通便捷度较好</v>
      </c>
    </row>
    <row r="17" spans="1:18" ht="42.75">
      <c r="A17" s="629"/>
      <c r="B17" s="1489" t="s">
        <v>1739</v>
      </c>
      <c r="C17" s="2174" t="str">
        <f>C5</f>
        <v>估价对象位于XX商圈，周边办公楼项目较多，入驻率高，办公集聚程度较好</v>
      </c>
      <c r="D17" s="2147"/>
      <c r="E17" s="2175"/>
      <c r="F17" s="2176" t="s">
        <v>1756</v>
      </c>
      <c r="G17" s="2177"/>
    </row>
    <row r="18" spans="1:18" ht="71.25">
      <c r="A18" s="629"/>
      <c r="B18" s="2176" t="s">
        <v>1743</v>
      </c>
      <c r="C18" s="52" t="str">
        <f>C6</f>
        <v>估价对象周边公共交通包括：488路、499路、517路等公交线路，1公里以内有地铁6号线常营地铁站。综合评价交通便捷度好</v>
      </c>
      <c r="D18" s="2147"/>
      <c r="E18" s="2175"/>
      <c r="F18" s="2176" t="s">
        <v>1746</v>
      </c>
      <c r="G18" s="52" t="str">
        <f>G7</f>
        <v>该园区内是否有污染型企业，绿化情况，卫生条件，整体环境状况判断</v>
      </c>
    </row>
    <row r="19" spans="1:18" ht="28.5">
      <c r="A19" s="629"/>
      <c r="B19" s="2176" t="s">
        <v>1757</v>
      </c>
      <c r="C19" s="2177"/>
      <c r="D19" s="2140"/>
      <c r="E19" s="2175"/>
      <c r="F19" s="1882" t="s">
        <v>1741</v>
      </c>
      <c r="G19" s="52" t="str">
        <f>G5</f>
        <v>估价对象所在区域公共配套设施齐备情况</v>
      </c>
    </row>
    <row r="20" spans="1:18" ht="71.25">
      <c r="A20" s="629"/>
      <c r="B20" s="2176" t="s">
        <v>1758</v>
      </c>
      <c r="C20" s="2174" t="str">
        <f>C9</f>
        <v>区域自然环境：常营公园、五里桥公园；人文环境：北京科技大学（管庄校区）、北京政法职业学院；综合评价环境状况好</v>
      </c>
      <c r="D20" s="2147"/>
      <c r="E20" s="2175"/>
      <c r="F20" s="1882" t="s">
        <v>1759</v>
      </c>
      <c r="G20" s="52" t="str">
        <f>G6</f>
        <v>估价对象所在区域基础设施水平</v>
      </c>
    </row>
    <row r="21" spans="1:18" ht="28.5">
      <c r="A21" s="629"/>
      <c r="B21" s="1882" t="s">
        <v>1741</v>
      </c>
      <c r="C21" s="52" t="str">
        <f>C7</f>
        <v>估价对象所在区域公共配套设施齐备</v>
      </c>
      <c r="D21" s="2140"/>
      <c r="E21" s="2175"/>
      <c r="F21" s="2176" t="s">
        <v>1760</v>
      </c>
      <c r="G21" s="2178"/>
    </row>
    <row r="22" spans="1:18" ht="15">
      <c r="A22" s="629"/>
      <c r="B22" s="1882" t="s">
        <v>1744</v>
      </c>
      <c r="C22" s="52" t="str">
        <f>C8</f>
        <v>七通</v>
      </c>
      <c r="D22" s="2140"/>
      <c r="E22" s="2175"/>
      <c r="F22" s="2176" t="s">
        <v>1749</v>
      </c>
      <c r="G22" s="2179"/>
    </row>
    <row r="23" spans="1:18" s="2136" customFormat="1" ht="15.75" thickBot="1">
      <c r="A23" s="629"/>
      <c r="B23" s="2176" t="s">
        <v>1760</v>
      </c>
      <c r="C23" s="2178"/>
      <c r="D23" s="2164"/>
      <c r="E23" s="2180"/>
      <c r="F23" s="2181" t="s">
        <v>1761</v>
      </c>
      <c r="G23" s="2182"/>
      <c r="H23" s="2164"/>
      <c r="I23" s="2165"/>
      <c r="J23" s="2164"/>
      <c r="K23" s="2164"/>
      <c r="L23" s="2165"/>
      <c r="M23" s="2164"/>
      <c r="N23" s="2164"/>
      <c r="O23" s="2165"/>
      <c r="P23" s="2164"/>
      <c r="Q23" s="2164"/>
      <c r="R23" s="2166"/>
    </row>
    <row r="24" spans="1:18" s="2136" customFormat="1" ht="15.75" thickBot="1">
      <c r="A24" s="2183"/>
      <c r="B24" s="2181" t="s">
        <v>1762</v>
      </c>
      <c r="C24" s="53" t="str">
        <f>C10</f>
        <v>城市主干道—常通路</v>
      </c>
      <c r="D24" s="2164"/>
      <c r="E24" s="2184"/>
      <c r="F24" s="2184"/>
      <c r="G24" s="2185"/>
      <c r="H24" s="2164"/>
      <c r="I24" s="2165"/>
      <c r="J24" s="2164"/>
      <c r="K24" s="2164"/>
      <c r="L24" s="2165"/>
      <c r="M24" s="2164"/>
      <c r="N24" s="2164"/>
      <c r="O24" s="2165"/>
      <c r="P24" s="2164"/>
      <c r="Q24" s="2164"/>
      <c r="R24" s="2166"/>
    </row>
    <row r="25" spans="1:18" s="2136" customFormat="1">
      <c r="B25" s="2164"/>
      <c r="C25" s="2164"/>
      <c r="D25" s="2164"/>
      <c r="H25" s="2164"/>
      <c r="I25" s="2165"/>
      <c r="J25" s="2164"/>
      <c r="K25" s="2164"/>
      <c r="L25" s="2165"/>
      <c r="M25" s="2164"/>
      <c r="N25" s="2164"/>
      <c r="O25" s="2165"/>
      <c r="P25" s="2164"/>
      <c r="Q25" s="2164"/>
      <c r="R25" s="2166"/>
    </row>
    <row r="26" spans="1:18" s="2136" customFormat="1">
      <c r="B26" s="2164"/>
      <c r="C26" s="2164"/>
      <c r="D26" s="2164"/>
      <c r="H26" s="2164"/>
      <c r="I26" s="2165"/>
      <c r="J26" s="2164"/>
      <c r="K26" s="2164"/>
      <c r="L26" s="2165"/>
      <c r="M26" s="2164"/>
      <c r="N26" s="2164"/>
      <c r="O26" s="2165"/>
      <c r="P26" s="2164"/>
      <c r="Q26" s="2164"/>
      <c r="R26" s="2166"/>
    </row>
    <row r="27" spans="1:18" s="2136" customFormat="1">
      <c r="B27" s="2164"/>
      <c r="C27" s="2164"/>
      <c r="D27" s="2164"/>
      <c r="H27" s="2164"/>
      <c r="I27" s="2165"/>
      <c r="J27" s="2164"/>
      <c r="K27" s="2164"/>
      <c r="L27" s="2165"/>
      <c r="M27" s="2164"/>
      <c r="N27" s="2164"/>
      <c r="O27" s="2165"/>
      <c r="P27" s="2164"/>
      <c r="Q27" s="2164"/>
      <c r="R27" s="2166"/>
    </row>
    <row r="28" spans="1:18" s="2136" customFormat="1">
      <c r="B28" s="2164"/>
      <c r="C28" s="2164"/>
      <c r="D28" s="2164"/>
      <c r="H28" s="2164"/>
      <c r="I28" s="2165"/>
      <c r="J28" s="2164"/>
      <c r="K28" s="2164"/>
      <c r="L28" s="2165"/>
      <c r="M28" s="2164"/>
      <c r="N28" s="2164"/>
      <c r="O28" s="2165"/>
      <c r="P28" s="2164"/>
      <c r="Q28" s="2164"/>
      <c r="R28" s="2166"/>
    </row>
    <row r="29" spans="1:18" s="2136" customFormat="1">
      <c r="B29" s="2164"/>
      <c r="C29" s="2164"/>
      <c r="D29" s="2164"/>
      <c r="H29" s="2164"/>
      <c r="I29" s="2165"/>
      <c r="J29" s="2164"/>
      <c r="K29" s="2164"/>
      <c r="L29" s="2165"/>
      <c r="M29" s="2164"/>
      <c r="N29" s="2164"/>
      <c r="O29" s="2165"/>
      <c r="P29" s="2164"/>
      <c r="Q29" s="2164"/>
      <c r="R29" s="2166"/>
    </row>
    <row r="30" spans="1:18" s="2136" customFormat="1">
      <c r="B30" s="2164"/>
      <c r="C30" s="2164"/>
      <c r="D30" s="2164"/>
      <c r="H30" s="2164"/>
      <c r="I30" s="2165"/>
      <c r="J30" s="2164"/>
      <c r="K30" s="2164"/>
      <c r="L30" s="2165"/>
      <c r="M30" s="2164"/>
      <c r="N30" s="2164"/>
      <c r="O30" s="2165"/>
      <c r="P30" s="2164"/>
      <c r="Q30" s="2164"/>
      <c r="R30" s="2166"/>
    </row>
    <row r="31" spans="1:18" s="2136" customFormat="1">
      <c r="B31" s="2164"/>
      <c r="C31" s="2164"/>
      <c r="D31" s="2164"/>
      <c r="H31" s="2164"/>
      <c r="I31" s="2165"/>
      <c r="J31" s="2164"/>
      <c r="K31" s="2164"/>
      <c r="L31" s="2165"/>
      <c r="M31" s="2164"/>
      <c r="N31" s="2164"/>
      <c r="O31" s="2165"/>
      <c r="P31" s="2164"/>
      <c r="Q31" s="2164"/>
      <c r="R31" s="2166"/>
    </row>
    <row r="32" spans="1:18" s="2136" customFormat="1">
      <c r="B32" s="2164"/>
      <c r="C32" s="2164"/>
      <c r="D32" s="2164"/>
      <c r="H32" s="2164"/>
      <c r="I32" s="2165"/>
      <c r="J32" s="2164"/>
      <c r="K32" s="2164"/>
      <c r="L32" s="2165"/>
      <c r="M32" s="2164"/>
      <c r="N32" s="2164"/>
      <c r="O32" s="2165"/>
      <c r="P32" s="2164"/>
      <c r="Q32" s="2164"/>
      <c r="R32" s="2166"/>
    </row>
    <row r="33" spans="2:18" s="2136" customFormat="1">
      <c r="B33" s="2164"/>
      <c r="C33" s="2164"/>
      <c r="D33" s="2164"/>
      <c r="H33" s="2164"/>
      <c r="I33" s="2165"/>
      <c r="J33" s="2164"/>
      <c r="K33" s="2164"/>
      <c r="L33" s="2165"/>
      <c r="M33" s="2164"/>
      <c r="N33" s="2164"/>
      <c r="O33" s="2165"/>
      <c r="P33" s="2164"/>
      <c r="Q33" s="2164"/>
      <c r="R33" s="2166"/>
    </row>
    <row r="34" spans="2:18" s="2136" customFormat="1">
      <c r="B34" s="2164"/>
      <c r="C34" s="2164"/>
      <c r="D34" s="2164"/>
      <c r="H34" s="2164"/>
      <c r="I34" s="2165"/>
      <c r="J34" s="2164"/>
      <c r="K34" s="2164"/>
      <c r="L34" s="2165"/>
      <c r="M34" s="2164"/>
      <c r="N34" s="2164"/>
      <c r="O34" s="2165"/>
      <c r="P34" s="2164"/>
      <c r="Q34" s="2164"/>
      <c r="R34" s="2166"/>
    </row>
    <row r="35" spans="2:18" s="2136" customFormat="1">
      <c r="B35" s="2164"/>
      <c r="C35" s="2164"/>
      <c r="D35" s="2164"/>
      <c r="H35" s="2164"/>
      <c r="I35" s="2165"/>
      <c r="J35" s="2164"/>
      <c r="K35" s="2164"/>
      <c r="L35" s="2165"/>
      <c r="M35" s="2164"/>
      <c r="N35" s="2164"/>
      <c r="O35" s="2165"/>
      <c r="P35" s="2164"/>
      <c r="Q35" s="2164"/>
      <c r="R35" s="2166"/>
    </row>
    <row r="36" spans="2:18" s="2136" customFormat="1">
      <c r="B36" s="2164"/>
      <c r="C36" s="2164"/>
      <c r="D36" s="2164"/>
      <c r="H36" s="2164"/>
      <c r="I36" s="2165"/>
      <c r="J36" s="2164"/>
      <c r="K36" s="2164"/>
      <c r="L36" s="2165"/>
      <c r="M36" s="2164"/>
      <c r="N36" s="2164"/>
      <c r="O36" s="2165"/>
      <c r="P36" s="2164"/>
      <c r="Q36" s="2164"/>
      <c r="R36" s="2166"/>
    </row>
    <row r="37" spans="2:18" s="2136" customFormat="1">
      <c r="B37" s="2164"/>
      <c r="C37" s="2164"/>
      <c r="D37" s="2164"/>
      <c r="H37" s="2164"/>
      <c r="I37" s="2165"/>
      <c r="J37" s="2164"/>
      <c r="K37" s="2164"/>
      <c r="L37" s="2165"/>
      <c r="M37" s="2164"/>
      <c r="N37" s="2164"/>
      <c r="O37" s="2165"/>
      <c r="P37" s="2164"/>
      <c r="Q37" s="2164"/>
      <c r="R37" s="2166"/>
    </row>
    <row r="38" spans="2:18" s="2136" customFormat="1">
      <c r="B38" s="2164"/>
      <c r="C38" s="2164"/>
      <c r="D38" s="2164"/>
      <c r="E38" s="2164"/>
      <c r="F38" s="2164"/>
      <c r="G38" s="2165"/>
      <c r="H38" s="2164"/>
      <c r="I38" s="2165"/>
      <c r="J38" s="2164"/>
      <c r="K38" s="2164"/>
      <c r="L38" s="2165"/>
      <c r="M38" s="2164"/>
      <c r="N38" s="2164"/>
      <c r="O38" s="2165"/>
      <c r="P38" s="2164"/>
      <c r="Q38" s="2164"/>
      <c r="R38" s="2166"/>
    </row>
    <row r="39" spans="2:18" s="2136" customFormat="1">
      <c r="B39" s="2164"/>
      <c r="C39" s="2164"/>
      <c r="D39" s="2164"/>
      <c r="E39" s="2164"/>
      <c r="F39" s="2164"/>
      <c r="G39" s="2165"/>
      <c r="H39" s="2164"/>
      <c r="I39" s="2165"/>
      <c r="J39" s="2164"/>
      <c r="K39" s="2164"/>
      <c r="L39" s="2165"/>
      <c r="M39" s="2164"/>
      <c r="N39" s="2164"/>
      <c r="O39" s="2165"/>
      <c r="P39" s="2164"/>
      <c r="Q39" s="2164"/>
      <c r="R39" s="2166"/>
    </row>
    <row r="40" spans="2:18" s="2136" customFormat="1">
      <c r="B40" s="2164"/>
      <c r="C40" s="2164"/>
      <c r="D40" s="2164"/>
      <c r="E40" s="2164"/>
      <c r="F40" s="2164"/>
      <c r="G40" s="2165"/>
      <c r="H40" s="2164"/>
      <c r="I40" s="2165"/>
      <c r="J40" s="2164"/>
      <c r="K40" s="2164"/>
      <c r="L40" s="2165"/>
      <c r="M40" s="2164"/>
      <c r="N40" s="2164"/>
      <c r="O40" s="2165"/>
      <c r="P40" s="2164"/>
      <c r="Q40" s="2164"/>
      <c r="R40" s="2166"/>
    </row>
    <row r="41" spans="2:18" s="2136" customFormat="1">
      <c r="B41" s="2164"/>
      <c r="C41" s="2164"/>
      <c r="D41" s="2164"/>
      <c r="E41" s="2164"/>
      <c r="F41" s="2164"/>
      <c r="G41" s="2165"/>
      <c r="H41" s="2164"/>
      <c r="I41" s="2165"/>
      <c r="J41" s="2164"/>
      <c r="K41" s="2164"/>
      <c r="L41" s="2165"/>
      <c r="M41" s="2164"/>
      <c r="N41" s="2164"/>
      <c r="O41" s="2165"/>
      <c r="P41" s="2164"/>
      <c r="Q41" s="2164"/>
      <c r="R41" s="2166"/>
    </row>
    <row r="42" spans="2:18" s="2136" customFormat="1">
      <c r="B42" s="2164"/>
      <c r="C42" s="2164"/>
      <c r="D42" s="2164"/>
      <c r="E42" s="2164"/>
      <c r="F42" s="2164"/>
      <c r="G42" s="2165"/>
      <c r="H42" s="2164"/>
      <c r="I42" s="2165"/>
      <c r="J42" s="2164"/>
      <c r="K42" s="2164"/>
      <c r="L42" s="2165"/>
      <c r="M42" s="2164"/>
      <c r="N42" s="2164"/>
      <c r="O42" s="2165"/>
      <c r="P42" s="2164"/>
      <c r="Q42" s="2164"/>
      <c r="R42" s="2166"/>
    </row>
    <row r="43" spans="2:18" s="2136" customFormat="1">
      <c r="B43" s="2164"/>
      <c r="C43" s="2164"/>
      <c r="D43" s="2164"/>
      <c r="E43" s="2164"/>
      <c r="F43" s="2164"/>
      <c r="G43" s="2165"/>
      <c r="H43" s="2164"/>
      <c r="I43" s="2165"/>
      <c r="J43" s="2164"/>
      <c r="K43" s="2164"/>
      <c r="L43" s="2165"/>
      <c r="M43" s="2164"/>
      <c r="N43" s="2164"/>
      <c r="O43" s="2165"/>
      <c r="P43" s="2164"/>
      <c r="Q43" s="2164"/>
      <c r="R43" s="2166"/>
    </row>
    <row r="44" spans="2:18" s="2136" customFormat="1">
      <c r="B44" s="2164"/>
      <c r="C44" s="2164"/>
      <c r="D44" s="2164"/>
      <c r="E44" s="2164"/>
      <c r="F44" s="2164"/>
      <c r="G44" s="2165"/>
      <c r="H44" s="2164"/>
      <c r="I44" s="2165"/>
      <c r="J44" s="2164"/>
      <c r="K44" s="2164"/>
      <c r="L44" s="2165"/>
      <c r="M44" s="2164"/>
      <c r="N44" s="2164"/>
      <c r="O44" s="2165"/>
      <c r="P44" s="2164"/>
      <c r="Q44" s="2164"/>
      <c r="R44" s="2166"/>
    </row>
    <row r="45" spans="2:18" s="2136" customFormat="1">
      <c r="B45" s="2164"/>
      <c r="C45" s="2164"/>
      <c r="D45" s="2164"/>
      <c r="E45" s="2164"/>
      <c r="F45" s="2164"/>
      <c r="G45" s="2165"/>
      <c r="H45" s="2164"/>
      <c r="I45" s="2165"/>
      <c r="J45" s="2164"/>
      <c r="K45" s="2164"/>
      <c r="L45" s="2165"/>
      <c r="M45" s="2164"/>
      <c r="N45" s="2164"/>
      <c r="O45" s="2165"/>
      <c r="P45" s="2164"/>
      <c r="Q45" s="2164"/>
      <c r="R45" s="2166"/>
    </row>
    <row r="46" spans="2:18" s="2136" customFormat="1">
      <c r="B46" s="2164"/>
      <c r="C46" s="2164"/>
      <c r="D46" s="2164"/>
      <c r="E46" s="2164"/>
      <c r="F46" s="2164"/>
      <c r="G46" s="2165"/>
      <c r="H46" s="2164"/>
      <c r="I46" s="2165"/>
      <c r="J46" s="2164"/>
      <c r="K46" s="2164"/>
      <c r="L46" s="2165"/>
      <c r="M46" s="2164"/>
      <c r="N46" s="2164"/>
      <c r="O46" s="2165"/>
      <c r="P46" s="2164"/>
      <c r="Q46" s="2164"/>
      <c r="R46" s="2166"/>
    </row>
    <row r="47" spans="2:18" s="2136" customFormat="1">
      <c r="B47" s="2164"/>
      <c r="C47" s="2164"/>
      <c r="D47" s="2164"/>
      <c r="E47" s="2164"/>
      <c r="F47" s="2164"/>
      <c r="G47" s="2165"/>
      <c r="H47" s="2164"/>
      <c r="I47" s="2165"/>
      <c r="J47" s="2164"/>
      <c r="K47" s="2164"/>
      <c r="L47" s="2165"/>
      <c r="M47" s="2164"/>
      <c r="N47" s="2164"/>
      <c r="O47" s="2165"/>
      <c r="P47" s="2164"/>
      <c r="Q47" s="2164"/>
      <c r="R47" s="2166"/>
    </row>
    <row r="48" spans="2:18" s="2136" customFormat="1">
      <c r="B48" s="2164"/>
      <c r="C48" s="2164"/>
      <c r="D48" s="2164"/>
      <c r="E48" s="2164"/>
      <c r="F48" s="2164"/>
      <c r="G48" s="2165"/>
      <c r="H48" s="2164"/>
      <c r="I48" s="2165"/>
      <c r="J48" s="2164"/>
      <c r="K48" s="2164"/>
      <c r="L48" s="2165"/>
      <c r="M48" s="2164"/>
      <c r="N48" s="2164"/>
      <c r="O48" s="2165"/>
      <c r="P48" s="2164"/>
      <c r="Q48" s="2164"/>
      <c r="R48" s="2166"/>
    </row>
    <row r="49" spans="2:18" s="2136" customFormat="1">
      <c r="B49" s="2164"/>
      <c r="C49" s="2164"/>
      <c r="D49" s="2164"/>
      <c r="E49" s="2164"/>
      <c r="F49" s="2164"/>
      <c r="G49" s="2165"/>
      <c r="H49" s="2164"/>
      <c r="I49" s="2165"/>
      <c r="J49" s="2164"/>
      <c r="K49" s="2164"/>
      <c r="L49" s="2165"/>
      <c r="M49" s="2164"/>
      <c r="N49" s="2164"/>
      <c r="O49" s="2165"/>
      <c r="P49" s="2164"/>
      <c r="Q49" s="2164"/>
      <c r="R49" s="2166"/>
    </row>
    <row r="50" spans="2:18" s="2136" customFormat="1">
      <c r="B50" s="2164"/>
      <c r="C50" s="2164"/>
      <c r="D50" s="2164"/>
      <c r="E50" s="2164"/>
      <c r="F50" s="2164"/>
      <c r="G50" s="2165"/>
      <c r="H50" s="2164"/>
      <c r="I50" s="2165"/>
      <c r="J50" s="2164"/>
      <c r="K50" s="2164"/>
      <c r="L50" s="2165"/>
      <c r="M50" s="2164"/>
      <c r="N50" s="2164"/>
      <c r="O50" s="2165"/>
      <c r="P50" s="2164"/>
      <c r="Q50" s="2164"/>
      <c r="R50" s="2166"/>
    </row>
    <row r="51" spans="2:18" s="2136" customFormat="1">
      <c r="B51" s="2164"/>
      <c r="C51" s="2164"/>
      <c r="D51" s="2164"/>
      <c r="E51" s="2164"/>
      <c r="F51" s="2164"/>
      <c r="G51" s="2165"/>
      <c r="H51" s="2164"/>
      <c r="I51" s="2165"/>
      <c r="J51" s="2164"/>
      <c r="K51" s="2164"/>
      <c r="L51" s="2165"/>
      <c r="M51" s="2164"/>
      <c r="N51" s="2164"/>
      <c r="O51" s="2165"/>
      <c r="P51" s="2164"/>
      <c r="Q51" s="2164"/>
      <c r="R51" s="2166"/>
    </row>
    <row r="52" spans="2:18" s="2136" customFormat="1">
      <c r="B52" s="2164"/>
      <c r="C52" s="2164"/>
      <c r="D52" s="2164"/>
      <c r="E52" s="2164"/>
      <c r="F52" s="2164"/>
      <c r="G52" s="2165"/>
      <c r="H52" s="2164"/>
      <c r="I52" s="2165"/>
      <c r="J52" s="2164"/>
      <c r="K52" s="2164"/>
      <c r="L52" s="2165"/>
      <c r="M52" s="2164"/>
      <c r="N52" s="2164"/>
      <c r="O52" s="2165"/>
      <c r="P52" s="2164"/>
      <c r="Q52" s="2164"/>
      <c r="R52" s="2166"/>
    </row>
    <row r="53" spans="2:18" s="2136" customFormat="1">
      <c r="B53" s="2164"/>
      <c r="C53" s="2164"/>
      <c r="D53" s="2164"/>
      <c r="E53" s="2164"/>
      <c r="F53" s="2164"/>
      <c r="G53" s="2165"/>
      <c r="H53" s="2164"/>
      <c r="I53" s="2165"/>
      <c r="J53" s="2164"/>
      <c r="K53" s="2164"/>
      <c r="L53" s="2165"/>
      <c r="M53" s="2164"/>
      <c r="N53" s="2164"/>
      <c r="O53" s="2165"/>
      <c r="P53" s="2164"/>
      <c r="Q53" s="2164"/>
      <c r="R53" s="2166"/>
    </row>
    <row r="54" spans="2:18" s="2136" customFormat="1">
      <c r="B54" s="2164"/>
      <c r="C54" s="2164"/>
      <c r="D54" s="2164"/>
      <c r="E54" s="2164"/>
      <c r="F54" s="2164"/>
      <c r="G54" s="2165"/>
      <c r="H54" s="2164"/>
      <c r="I54" s="2165"/>
      <c r="J54" s="2164"/>
      <c r="K54" s="2164"/>
      <c r="L54" s="2165"/>
      <c r="M54" s="2164"/>
      <c r="N54" s="2164"/>
      <c r="O54" s="2165"/>
      <c r="P54" s="2164"/>
      <c r="Q54" s="2164"/>
      <c r="R54" s="2166"/>
    </row>
    <row r="55" spans="2:18" s="2136" customFormat="1">
      <c r="B55" s="2164"/>
      <c r="C55" s="2164"/>
      <c r="D55" s="2164"/>
      <c r="E55" s="2164"/>
      <c r="F55" s="2164"/>
      <c r="G55" s="2165"/>
      <c r="H55" s="2164"/>
      <c r="I55" s="2165"/>
      <c r="J55" s="2164"/>
      <c r="K55" s="2164"/>
      <c r="L55" s="2165"/>
      <c r="M55" s="2164"/>
      <c r="N55" s="2164"/>
      <c r="O55" s="2165"/>
      <c r="P55" s="2164"/>
      <c r="Q55" s="2164"/>
      <c r="R55" s="2166"/>
    </row>
    <row r="56" spans="2:18" s="2136" customFormat="1">
      <c r="B56" s="2164"/>
      <c r="C56" s="2164"/>
      <c r="D56" s="2164"/>
      <c r="E56" s="2164"/>
      <c r="F56" s="2164"/>
      <c r="G56" s="2165"/>
      <c r="H56" s="2164"/>
      <c r="I56" s="2165"/>
      <c r="J56" s="2164"/>
      <c r="K56" s="2164"/>
      <c r="L56" s="2165"/>
      <c r="M56" s="2164"/>
      <c r="N56" s="2164"/>
      <c r="O56" s="2165"/>
      <c r="P56" s="2164"/>
      <c r="Q56" s="2164"/>
      <c r="R56" s="2166"/>
    </row>
    <row r="57" spans="2:18" s="2136" customFormat="1">
      <c r="B57" s="2164"/>
      <c r="C57" s="2164"/>
      <c r="D57" s="2164"/>
      <c r="E57" s="2164"/>
      <c r="F57" s="2164"/>
      <c r="G57" s="2165"/>
      <c r="H57" s="2164"/>
      <c r="I57" s="2165"/>
      <c r="J57" s="2164"/>
      <c r="K57" s="2164"/>
      <c r="L57" s="2165"/>
      <c r="M57" s="2164"/>
      <c r="N57" s="2164"/>
      <c r="O57" s="2165"/>
      <c r="P57" s="2164"/>
      <c r="Q57" s="2164"/>
      <c r="R57" s="2166"/>
    </row>
    <row r="58" spans="2:18" s="2136" customFormat="1">
      <c r="B58" s="2164"/>
      <c r="C58" s="2164"/>
      <c r="D58" s="2164"/>
      <c r="E58" s="2164"/>
      <c r="F58" s="2164"/>
      <c r="G58" s="2165"/>
      <c r="H58" s="2164"/>
      <c r="I58" s="2165"/>
      <c r="J58" s="2164"/>
      <c r="K58" s="2164"/>
      <c r="L58" s="2165"/>
      <c r="M58" s="2164"/>
      <c r="N58" s="2164"/>
      <c r="O58" s="2165"/>
      <c r="P58" s="2164"/>
      <c r="Q58" s="2164"/>
      <c r="R58" s="2166"/>
    </row>
    <row r="59" spans="2:18" s="2136" customFormat="1">
      <c r="B59" s="2164"/>
      <c r="C59" s="2164"/>
      <c r="D59" s="2164"/>
      <c r="E59" s="2164"/>
      <c r="F59" s="2164"/>
      <c r="G59" s="2165"/>
      <c r="H59" s="2164"/>
      <c r="I59" s="2165"/>
      <c r="J59" s="2164"/>
      <c r="K59" s="2164"/>
      <c r="L59" s="2165"/>
      <c r="M59" s="2164"/>
      <c r="N59" s="2164"/>
      <c r="O59" s="2165"/>
      <c r="P59" s="2164"/>
      <c r="Q59" s="2164"/>
      <c r="R59" s="2166"/>
    </row>
    <row r="60" spans="2:18" s="2136" customFormat="1">
      <c r="B60" s="2164"/>
      <c r="C60" s="2164"/>
      <c r="D60" s="2164"/>
      <c r="E60" s="2164"/>
      <c r="F60" s="2164"/>
      <c r="G60" s="2165"/>
      <c r="H60" s="2164"/>
      <c r="I60" s="2165"/>
      <c r="J60" s="2164"/>
      <c r="K60" s="2164"/>
      <c r="L60" s="2165"/>
      <c r="M60" s="2164"/>
      <c r="N60" s="2164"/>
      <c r="O60" s="2165"/>
      <c r="P60" s="2164"/>
      <c r="Q60" s="2164"/>
      <c r="R60" s="2166"/>
    </row>
    <row r="61" spans="2:18" s="2136" customFormat="1">
      <c r="B61" s="2164"/>
      <c r="C61" s="2164"/>
      <c r="D61" s="2164"/>
      <c r="E61" s="2164"/>
      <c r="F61" s="2164"/>
      <c r="G61" s="2165"/>
      <c r="H61" s="2164"/>
      <c r="I61" s="2165"/>
      <c r="J61" s="2164"/>
      <c r="K61" s="2164"/>
      <c r="L61" s="2165"/>
      <c r="M61" s="2164"/>
      <c r="N61" s="2164"/>
      <c r="O61" s="2165"/>
      <c r="P61" s="2164"/>
      <c r="Q61" s="2164"/>
      <c r="R61" s="2166"/>
    </row>
    <row r="62" spans="2:18" s="2136" customFormat="1">
      <c r="B62" s="2164"/>
      <c r="C62" s="2164"/>
      <c r="D62" s="2164"/>
      <c r="E62" s="2164"/>
      <c r="F62" s="2164"/>
      <c r="G62" s="2165"/>
      <c r="H62" s="2164"/>
      <c r="I62" s="2165"/>
      <c r="J62" s="2164"/>
      <c r="K62" s="2164"/>
      <c r="L62" s="2165"/>
      <c r="M62" s="2164"/>
      <c r="N62" s="2164"/>
      <c r="O62" s="2165"/>
      <c r="P62" s="2164"/>
      <c r="Q62" s="2164"/>
      <c r="R62" s="2166"/>
    </row>
    <row r="63" spans="2:18" s="2136" customFormat="1">
      <c r="B63" s="2164"/>
      <c r="C63" s="2164"/>
      <c r="D63" s="2164"/>
      <c r="E63" s="2164"/>
      <c r="F63" s="2164"/>
      <c r="G63" s="2165"/>
      <c r="H63" s="2164"/>
      <c r="I63" s="2165"/>
      <c r="J63" s="2164"/>
      <c r="K63" s="2164"/>
      <c r="L63" s="2165"/>
      <c r="M63" s="2164"/>
      <c r="N63" s="2164"/>
      <c r="O63" s="2165"/>
      <c r="P63" s="2164"/>
      <c r="Q63" s="2164"/>
      <c r="R63" s="2166"/>
    </row>
    <row r="64" spans="2:18" s="2136" customFormat="1">
      <c r="B64" s="2164"/>
      <c r="C64" s="2164"/>
      <c r="D64" s="2164"/>
      <c r="E64" s="2164"/>
      <c r="F64" s="2164"/>
      <c r="G64" s="2165"/>
      <c r="H64" s="2164"/>
      <c r="I64" s="2165"/>
      <c r="J64" s="2164"/>
      <c r="K64" s="2164"/>
      <c r="L64" s="2165"/>
      <c r="M64" s="2164"/>
      <c r="N64" s="2164"/>
      <c r="O64" s="2165"/>
      <c r="P64" s="2164"/>
      <c r="Q64" s="2164"/>
      <c r="R64" s="2166"/>
    </row>
    <row r="65" spans="2:18" s="2136" customFormat="1">
      <c r="B65" s="2164"/>
      <c r="C65" s="2164"/>
      <c r="D65" s="2164"/>
      <c r="E65" s="2164"/>
      <c r="F65" s="2164"/>
      <c r="G65" s="2165"/>
      <c r="H65" s="2164"/>
      <c r="I65" s="2165"/>
      <c r="J65" s="2164"/>
      <c r="K65" s="2164"/>
      <c r="L65" s="2165"/>
      <c r="M65" s="2164"/>
      <c r="N65" s="2164"/>
      <c r="O65" s="2165"/>
      <c r="P65" s="2164"/>
      <c r="Q65" s="2164"/>
      <c r="R65" s="2166"/>
    </row>
    <row r="66" spans="2:18" s="2136" customFormat="1">
      <c r="B66" s="2164"/>
      <c r="C66" s="2164"/>
      <c r="D66" s="2164"/>
      <c r="E66" s="2164"/>
      <c r="F66" s="2164"/>
      <c r="G66" s="2165"/>
      <c r="H66" s="2164"/>
      <c r="I66" s="2165"/>
      <c r="J66" s="2164"/>
      <c r="K66" s="2164"/>
      <c r="L66" s="2165"/>
      <c r="M66" s="2164"/>
      <c r="N66" s="2164"/>
      <c r="O66" s="2165"/>
      <c r="P66" s="2164"/>
      <c r="Q66" s="2164"/>
      <c r="R66" s="2166"/>
    </row>
    <row r="67" spans="2:18" s="2136" customFormat="1">
      <c r="B67" s="2164"/>
      <c r="C67" s="2164"/>
      <c r="D67" s="2164"/>
      <c r="E67" s="2164"/>
      <c r="F67" s="2164"/>
      <c r="G67" s="2165"/>
      <c r="H67" s="2164"/>
      <c r="I67" s="2165"/>
      <c r="J67" s="2164"/>
      <c r="K67" s="2164"/>
      <c r="L67" s="2165"/>
      <c r="M67" s="2164"/>
      <c r="N67" s="2164"/>
      <c r="O67" s="2165"/>
      <c r="P67" s="2164"/>
      <c r="Q67" s="2164"/>
      <c r="R67" s="2166"/>
    </row>
    <row r="68" spans="2:18" s="2136" customFormat="1">
      <c r="B68" s="2164"/>
      <c r="C68" s="2164"/>
      <c r="D68" s="2164"/>
      <c r="E68" s="2164"/>
      <c r="F68" s="2164"/>
      <c r="G68" s="2165"/>
      <c r="H68" s="2164"/>
      <c r="I68" s="2165"/>
      <c r="J68" s="2164"/>
      <c r="K68" s="2164"/>
      <c r="L68" s="2165"/>
      <c r="M68" s="2164"/>
      <c r="N68" s="2164"/>
      <c r="O68" s="2165"/>
      <c r="P68" s="2164"/>
      <c r="Q68" s="2164"/>
      <c r="R68" s="2166"/>
    </row>
    <row r="69" spans="2:18" s="2136" customFormat="1">
      <c r="B69" s="2164"/>
      <c r="C69" s="2164"/>
      <c r="D69" s="2164"/>
      <c r="E69" s="2164"/>
      <c r="F69" s="2164"/>
      <c r="G69" s="2165"/>
      <c r="H69" s="2164"/>
      <c r="I69" s="2165"/>
      <c r="J69" s="2164"/>
      <c r="K69" s="2164"/>
      <c r="L69" s="2165"/>
      <c r="M69" s="2164"/>
      <c r="N69" s="2164"/>
      <c r="O69" s="2165"/>
      <c r="P69" s="2164"/>
      <c r="Q69" s="2164"/>
      <c r="R69" s="2166"/>
    </row>
    <row r="70" spans="2:18" s="2136" customFormat="1">
      <c r="B70" s="2164"/>
      <c r="C70" s="2164"/>
      <c r="D70" s="2164"/>
      <c r="E70" s="2164"/>
      <c r="F70" s="2164"/>
      <c r="G70" s="2165"/>
      <c r="H70" s="2164"/>
      <c r="I70" s="2165"/>
      <c r="J70" s="2164"/>
      <c r="K70" s="2164"/>
      <c r="L70" s="2165"/>
      <c r="M70" s="2164"/>
      <c r="N70" s="2164"/>
      <c r="O70" s="2165"/>
      <c r="P70" s="2164"/>
      <c r="Q70" s="2164"/>
      <c r="R70" s="2166"/>
    </row>
    <row r="71" spans="2:18" s="2136" customFormat="1">
      <c r="B71" s="2164"/>
      <c r="C71" s="2164"/>
      <c r="D71" s="2164"/>
      <c r="E71" s="2164"/>
      <c r="F71" s="2164"/>
      <c r="G71" s="2165"/>
      <c r="H71" s="2164"/>
      <c r="I71" s="2165"/>
      <c r="J71" s="2164"/>
      <c r="K71" s="2164"/>
      <c r="L71" s="2165"/>
      <c r="M71" s="2164"/>
      <c r="N71" s="2164"/>
      <c r="O71" s="2165"/>
      <c r="P71" s="2164"/>
      <c r="Q71" s="2164"/>
      <c r="R71" s="2166"/>
    </row>
    <row r="72" spans="2:18" s="2136" customFormat="1">
      <c r="B72" s="2164"/>
      <c r="C72" s="2164"/>
      <c r="D72" s="2164"/>
      <c r="E72" s="2164"/>
      <c r="F72" s="2164"/>
      <c r="G72" s="2165"/>
      <c r="H72" s="2164"/>
      <c r="I72" s="2165"/>
      <c r="J72" s="2164"/>
      <c r="K72" s="2164"/>
      <c r="L72" s="2165"/>
      <c r="M72" s="2164"/>
      <c r="N72" s="2164"/>
      <c r="O72" s="2165"/>
      <c r="P72" s="2164"/>
      <c r="Q72" s="2164"/>
      <c r="R72" s="2166"/>
    </row>
    <row r="73" spans="2:18" s="2136" customFormat="1">
      <c r="B73" s="2164"/>
      <c r="C73" s="2164"/>
      <c r="D73" s="2164"/>
      <c r="E73" s="2164"/>
      <c r="F73" s="2164"/>
      <c r="G73" s="2165"/>
      <c r="H73" s="2164"/>
      <c r="I73" s="2165"/>
      <c r="J73" s="2164"/>
      <c r="K73" s="2164"/>
      <c r="L73" s="2165"/>
      <c r="M73" s="2164"/>
      <c r="N73" s="2164"/>
      <c r="O73" s="2165"/>
      <c r="P73" s="2164"/>
      <c r="Q73" s="2164"/>
      <c r="R73" s="2166"/>
    </row>
    <row r="74" spans="2:18" s="2136" customFormat="1">
      <c r="B74" s="2164"/>
      <c r="C74" s="2164"/>
      <c r="D74" s="2164"/>
      <c r="E74" s="2164"/>
      <c r="F74" s="2164"/>
      <c r="G74" s="2165"/>
      <c r="H74" s="2164"/>
      <c r="I74" s="2165"/>
      <c r="J74" s="2164"/>
      <c r="K74" s="2164"/>
      <c r="L74" s="2165"/>
      <c r="M74" s="2164"/>
      <c r="N74" s="2164"/>
      <c r="O74" s="2165"/>
      <c r="P74" s="2164"/>
      <c r="Q74" s="2164"/>
      <c r="R74" s="2166"/>
    </row>
    <row r="75" spans="2:18" s="2136" customFormat="1">
      <c r="B75" s="2164"/>
      <c r="C75" s="2164"/>
      <c r="D75" s="2164"/>
      <c r="E75" s="2164"/>
      <c r="F75" s="2164"/>
      <c r="G75" s="2165"/>
      <c r="H75" s="2164"/>
      <c r="I75" s="2165"/>
      <c r="J75" s="2164"/>
      <c r="K75" s="2164"/>
      <c r="L75" s="2165"/>
      <c r="M75" s="2164"/>
      <c r="N75" s="2164"/>
      <c r="O75" s="2165"/>
      <c r="P75" s="2164"/>
      <c r="Q75" s="2164"/>
      <c r="R75" s="2166"/>
    </row>
    <row r="76" spans="2:18" s="2136" customFormat="1">
      <c r="B76" s="2164"/>
      <c r="C76" s="2164"/>
      <c r="D76" s="2164"/>
      <c r="E76" s="2164"/>
      <c r="F76" s="2164"/>
      <c r="G76" s="2165"/>
      <c r="H76" s="2164"/>
      <c r="I76" s="2165"/>
      <c r="J76" s="2164"/>
      <c r="K76" s="2164"/>
      <c r="L76" s="2165"/>
      <c r="M76" s="2164"/>
      <c r="N76" s="2164"/>
      <c r="O76" s="2165"/>
      <c r="P76" s="2164"/>
      <c r="Q76" s="2164"/>
      <c r="R76" s="2166"/>
    </row>
    <row r="77" spans="2:18" s="2136" customFormat="1">
      <c r="B77" s="2164"/>
      <c r="C77" s="2164"/>
      <c r="D77" s="2164"/>
      <c r="E77" s="2164"/>
      <c r="F77" s="2164"/>
      <c r="G77" s="2165"/>
      <c r="H77" s="2164"/>
      <c r="I77" s="2165"/>
      <c r="J77" s="2164"/>
      <c r="K77" s="2164"/>
      <c r="L77" s="2165"/>
      <c r="M77" s="2164"/>
      <c r="N77" s="2164"/>
      <c r="O77" s="2165"/>
      <c r="P77" s="2164"/>
      <c r="Q77" s="2164"/>
      <c r="R77" s="2166"/>
    </row>
    <row r="78" spans="2:18" s="2136" customFormat="1">
      <c r="B78" s="2164"/>
      <c r="C78" s="2164"/>
      <c r="D78" s="2164"/>
      <c r="E78" s="2164"/>
      <c r="F78" s="2164"/>
      <c r="G78" s="2165"/>
      <c r="H78" s="2164"/>
      <c r="I78" s="2165"/>
      <c r="J78" s="2164"/>
      <c r="K78" s="2164"/>
      <c r="L78" s="2165"/>
      <c r="M78" s="2164"/>
      <c r="N78" s="2164"/>
      <c r="O78" s="2165"/>
      <c r="P78" s="2164"/>
      <c r="Q78" s="2164"/>
      <c r="R78" s="2166"/>
    </row>
    <row r="79" spans="2:18" s="2136" customFormat="1">
      <c r="B79" s="2164"/>
      <c r="C79" s="2164"/>
      <c r="D79" s="2164"/>
      <c r="E79" s="2164"/>
      <c r="F79" s="2164"/>
      <c r="G79" s="2165"/>
      <c r="H79" s="2164"/>
      <c r="I79" s="2165"/>
      <c r="J79" s="2164"/>
      <c r="K79" s="2164"/>
      <c r="L79" s="2165"/>
      <c r="M79" s="2164"/>
      <c r="N79" s="2164"/>
      <c r="O79" s="2165"/>
      <c r="P79" s="2164"/>
      <c r="Q79" s="2164"/>
      <c r="R79" s="2166"/>
    </row>
    <row r="80" spans="2:18" s="2136" customFormat="1">
      <c r="B80" s="2164"/>
      <c r="C80" s="2164"/>
      <c r="D80" s="2164"/>
      <c r="E80" s="2164"/>
      <c r="F80" s="2164"/>
      <c r="G80" s="2165"/>
      <c r="H80" s="2164"/>
      <c r="I80" s="2165"/>
      <c r="J80" s="2164"/>
      <c r="K80" s="2164"/>
      <c r="L80" s="2165"/>
      <c r="M80" s="2164"/>
      <c r="N80" s="2164"/>
      <c r="O80" s="2165"/>
      <c r="P80" s="2164"/>
      <c r="Q80" s="2164"/>
      <c r="R80" s="2166"/>
    </row>
    <row r="81" spans="2:18" s="2136" customFormat="1">
      <c r="B81" s="2164"/>
      <c r="C81" s="2164"/>
      <c r="D81" s="2164"/>
      <c r="E81" s="2164"/>
      <c r="F81" s="2164"/>
      <c r="G81" s="2165"/>
      <c r="H81" s="2164"/>
      <c r="I81" s="2165"/>
      <c r="J81" s="2164"/>
      <c r="K81" s="2164"/>
      <c r="L81" s="2165"/>
      <c r="M81" s="2164"/>
      <c r="N81" s="2164"/>
      <c r="O81" s="2165"/>
      <c r="P81" s="2164"/>
      <c r="Q81" s="2164"/>
      <c r="R81" s="2166"/>
    </row>
    <row r="82" spans="2:18" s="2136" customFormat="1">
      <c r="B82" s="2164"/>
      <c r="C82" s="2164"/>
      <c r="D82" s="2164"/>
      <c r="E82" s="2164"/>
      <c r="F82" s="2164"/>
      <c r="G82" s="2165"/>
      <c r="H82" s="2164"/>
      <c r="I82" s="2165"/>
      <c r="J82" s="2164"/>
      <c r="K82" s="2164"/>
      <c r="L82" s="2165"/>
      <c r="M82" s="2164"/>
      <c r="N82" s="2164"/>
      <c r="O82" s="2165"/>
      <c r="P82" s="2164"/>
      <c r="Q82" s="2164"/>
      <c r="R82" s="2166"/>
    </row>
    <row r="83" spans="2:18" s="2136" customFormat="1">
      <c r="B83" s="2164"/>
      <c r="C83" s="2164"/>
      <c r="D83" s="2164"/>
      <c r="E83" s="2164"/>
      <c r="F83" s="2164"/>
      <c r="G83" s="2165"/>
      <c r="H83" s="2164"/>
      <c r="I83" s="2165"/>
      <c r="J83" s="2164"/>
      <c r="K83" s="2164"/>
      <c r="L83" s="2165"/>
      <c r="M83" s="2164"/>
      <c r="N83" s="2164"/>
      <c r="O83" s="2165"/>
      <c r="P83" s="2164"/>
      <c r="Q83" s="2164"/>
      <c r="R83" s="2166"/>
    </row>
    <row r="84" spans="2:18" s="2136" customFormat="1">
      <c r="B84" s="2164"/>
      <c r="C84" s="2164"/>
      <c r="D84" s="2164"/>
      <c r="E84" s="2164"/>
      <c r="F84" s="2164"/>
      <c r="G84" s="2165"/>
      <c r="H84" s="2164"/>
      <c r="I84" s="2165"/>
      <c r="J84" s="2164"/>
      <c r="K84" s="2164"/>
      <c r="L84" s="2165"/>
      <c r="M84" s="2164"/>
      <c r="N84" s="2164"/>
      <c r="O84" s="2165"/>
      <c r="P84" s="2164"/>
      <c r="Q84" s="2164"/>
      <c r="R84" s="2166"/>
    </row>
    <row r="85" spans="2:18" s="2136" customFormat="1">
      <c r="B85" s="2164"/>
      <c r="C85" s="2164"/>
      <c r="D85" s="2164"/>
      <c r="E85" s="2164"/>
      <c r="F85" s="2164"/>
      <c r="G85" s="2165"/>
      <c r="H85" s="2164"/>
      <c r="I85" s="2165"/>
      <c r="J85" s="2164"/>
      <c r="K85" s="2164"/>
      <c r="L85" s="2165"/>
      <c r="M85" s="2164"/>
      <c r="N85" s="2164"/>
      <c r="O85" s="2165"/>
      <c r="P85" s="2164"/>
      <c r="Q85" s="2164"/>
      <c r="R85" s="2166"/>
    </row>
    <row r="86" spans="2:18" s="2136" customFormat="1">
      <c r="B86" s="2164"/>
      <c r="C86" s="2164"/>
      <c r="D86" s="2164"/>
      <c r="E86" s="2164"/>
      <c r="F86" s="2164"/>
      <c r="G86" s="2165"/>
      <c r="H86" s="2164"/>
      <c r="I86" s="2165"/>
      <c r="J86" s="2164"/>
      <c r="K86" s="2164"/>
      <c r="L86" s="2165"/>
      <c r="M86" s="2164"/>
      <c r="N86" s="2164"/>
      <c r="O86" s="2165"/>
      <c r="P86" s="2164"/>
      <c r="Q86" s="2164"/>
      <c r="R86" s="2166"/>
    </row>
    <row r="87" spans="2:18" s="2136" customFormat="1">
      <c r="B87" s="2164"/>
      <c r="C87" s="2164"/>
      <c r="D87" s="2164"/>
      <c r="E87" s="2164"/>
      <c r="F87" s="2164"/>
      <c r="G87" s="2165"/>
      <c r="H87" s="2164"/>
      <c r="I87" s="2165"/>
      <c r="J87" s="2164"/>
      <c r="K87" s="2164"/>
      <c r="L87" s="2165"/>
      <c r="M87" s="2164"/>
      <c r="N87" s="2164"/>
      <c r="O87" s="2165"/>
      <c r="P87" s="2164"/>
      <c r="Q87" s="2164"/>
      <c r="R87" s="2166"/>
    </row>
    <row r="88" spans="2:18" s="2136" customFormat="1">
      <c r="B88" s="2164"/>
      <c r="C88" s="2164"/>
      <c r="D88" s="2164"/>
      <c r="E88" s="2164"/>
      <c r="F88" s="2164"/>
      <c r="G88" s="2165"/>
      <c r="H88" s="2164"/>
      <c r="I88" s="2165"/>
      <c r="J88" s="2164"/>
      <c r="K88" s="2164"/>
      <c r="L88" s="2165"/>
      <c r="M88" s="2164"/>
      <c r="N88" s="2164"/>
      <c r="O88" s="2165"/>
      <c r="P88" s="2164"/>
      <c r="Q88" s="2164"/>
      <c r="R88" s="2166"/>
    </row>
    <row r="89" spans="2:18" s="2136" customFormat="1">
      <c r="B89" s="2164"/>
      <c r="C89" s="2164"/>
      <c r="D89" s="2164"/>
      <c r="E89" s="2164"/>
      <c r="F89" s="2164"/>
      <c r="G89" s="2165"/>
      <c r="H89" s="2164"/>
      <c r="I89" s="2165"/>
      <c r="J89" s="2164"/>
      <c r="K89" s="2164"/>
      <c r="L89" s="2165"/>
      <c r="M89" s="2164"/>
      <c r="N89" s="2164"/>
      <c r="O89" s="2165"/>
      <c r="P89" s="2164"/>
      <c r="Q89" s="2164"/>
      <c r="R89" s="2166"/>
    </row>
    <row r="90" spans="2:18" s="2136" customFormat="1">
      <c r="B90" s="2164"/>
      <c r="C90" s="2164"/>
      <c r="D90" s="2164"/>
      <c r="E90" s="2164"/>
      <c r="F90" s="2164"/>
      <c r="G90" s="2165"/>
      <c r="H90" s="2164"/>
      <c r="I90" s="2165"/>
      <c r="J90" s="2164"/>
      <c r="K90" s="2164"/>
      <c r="L90" s="2165"/>
      <c r="M90" s="2164"/>
      <c r="N90" s="2164"/>
      <c r="O90" s="2165"/>
      <c r="P90" s="2164"/>
      <c r="Q90" s="2164"/>
      <c r="R90" s="2166"/>
    </row>
    <row r="91" spans="2:18" s="2136" customFormat="1">
      <c r="B91" s="2164"/>
      <c r="C91" s="2164"/>
      <c r="D91" s="2164"/>
      <c r="E91" s="2164"/>
      <c r="F91" s="2164"/>
      <c r="G91" s="2165"/>
      <c r="H91" s="2164"/>
      <c r="I91" s="2165"/>
      <c r="J91" s="2164"/>
      <c r="K91" s="2164"/>
      <c r="L91" s="2165"/>
      <c r="M91" s="2164"/>
      <c r="N91" s="2164"/>
      <c r="O91" s="2165"/>
      <c r="P91" s="2164"/>
      <c r="Q91" s="2164"/>
      <c r="R91" s="2166"/>
    </row>
    <row r="92" spans="2:18" s="2136" customFormat="1">
      <c r="B92" s="2164"/>
      <c r="C92" s="2164"/>
      <c r="D92" s="2164"/>
      <c r="E92" s="2164"/>
      <c r="F92" s="2164"/>
      <c r="G92" s="2165"/>
      <c r="H92" s="2164"/>
      <c r="I92" s="2165"/>
      <c r="J92" s="2164"/>
      <c r="K92" s="2164"/>
      <c r="L92" s="2165"/>
      <c r="M92" s="2164"/>
      <c r="N92" s="2164"/>
      <c r="O92" s="2165"/>
      <c r="P92" s="2164"/>
      <c r="Q92" s="2164"/>
      <c r="R92" s="2166"/>
    </row>
    <row r="93" spans="2:18" s="2136" customFormat="1">
      <c r="B93" s="2164"/>
      <c r="C93" s="2164"/>
      <c r="D93" s="2164"/>
      <c r="E93" s="2164"/>
      <c r="F93" s="2164"/>
      <c r="G93" s="2165"/>
      <c r="H93" s="2164"/>
      <c r="I93" s="2165"/>
      <c r="J93" s="2164"/>
      <c r="K93" s="2164"/>
      <c r="L93" s="2165"/>
      <c r="M93" s="2164"/>
      <c r="N93" s="2164"/>
      <c r="O93" s="2165"/>
      <c r="P93" s="2164"/>
      <c r="Q93" s="2164"/>
      <c r="R93" s="2166"/>
    </row>
    <row r="94" spans="2:18" s="2136" customFormat="1">
      <c r="B94" s="2164"/>
      <c r="C94" s="2164"/>
      <c r="D94" s="2164"/>
      <c r="E94" s="2164"/>
      <c r="F94" s="2164"/>
      <c r="G94" s="2165"/>
      <c r="H94" s="2164"/>
      <c r="I94" s="2165"/>
      <c r="J94" s="2164"/>
      <c r="K94" s="2164"/>
      <c r="L94" s="2165"/>
      <c r="M94" s="2164"/>
      <c r="N94" s="2164"/>
      <c r="O94" s="2165"/>
      <c r="P94" s="2164"/>
      <c r="Q94" s="2164"/>
      <c r="R94" s="2166"/>
    </row>
    <row r="95" spans="2:18" s="2136" customFormat="1">
      <c r="B95" s="2164"/>
      <c r="C95" s="2164"/>
      <c r="D95" s="2164"/>
      <c r="E95" s="2164"/>
      <c r="F95" s="2164"/>
      <c r="G95" s="2165"/>
      <c r="H95" s="2164"/>
      <c r="I95" s="2165"/>
      <c r="J95" s="2164"/>
      <c r="K95" s="2164"/>
      <c r="L95" s="2165"/>
      <c r="M95" s="2164"/>
      <c r="N95" s="2164"/>
      <c r="O95" s="2165"/>
      <c r="P95" s="2164"/>
      <c r="Q95" s="2164"/>
      <c r="R95" s="2166"/>
    </row>
    <row r="96" spans="2:18" s="2136" customFormat="1">
      <c r="B96" s="2164"/>
      <c r="C96" s="2164"/>
      <c r="D96" s="2164"/>
      <c r="E96" s="2164"/>
      <c r="F96" s="2164"/>
      <c r="G96" s="2165"/>
      <c r="H96" s="2164"/>
      <c r="I96" s="2165"/>
      <c r="J96" s="2164"/>
      <c r="K96" s="2164"/>
      <c r="L96" s="2165"/>
      <c r="M96" s="2164"/>
      <c r="N96" s="2164"/>
      <c r="O96" s="2165"/>
      <c r="P96" s="2164"/>
      <c r="Q96" s="2164"/>
      <c r="R96" s="2166"/>
    </row>
    <row r="97" spans="2:18" s="2136" customFormat="1">
      <c r="B97" s="2164"/>
      <c r="C97" s="2164"/>
      <c r="D97" s="2164"/>
      <c r="E97" s="2164"/>
      <c r="F97" s="2164"/>
      <c r="G97" s="2165"/>
      <c r="H97" s="2164"/>
      <c r="I97" s="2165"/>
      <c r="J97" s="2164"/>
      <c r="K97" s="2164"/>
      <c r="L97" s="2165"/>
      <c r="M97" s="2164"/>
      <c r="N97" s="2164"/>
      <c r="O97" s="2165"/>
      <c r="P97" s="2164"/>
      <c r="Q97" s="2164"/>
      <c r="R97" s="2166"/>
    </row>
    <row r="98" spans="2:18" s="2136" customFormat="1">
      <c r="B98" s="2164"/>
      <c r="C98" s="2164"/>
      <c r="D98" s="2164"/>
      <c r="E98" s="2164"/>
      <c r="F98" s="2164"/>
      <c r="G98" s="2165"/>
      <c r="H98" s="2164"/>
      <c r="I98" s="2165"/>
      <c r="J98" s="2164"/>
      <c r="K98" s="2164"/>
      <c r="L98" s="2165"/>
      <c r="M98" s="2164"/>
      <c r="N98" s="2164"/>
      <c r="O98" s="2165"/>
      <c r="P98" s="2164"/>
      <c r="Q98" s="2164"/>
      <c r="R98" s="2166"/>
    </row>
    <row r="99" spans="2:18" s="2136" customFormat="1">
      <c r="B99" s="2164"/>
      <c r="C99" s="2164"/>
      <c r="D99" s="2164"/>
      <c r="E99" s="2164"/>
      <c r="F99" s="2164"/>
      <c r="G99" s="2165"/>
      <c r="H99" s="2164"/>
      <c r="I99" s="2165"/>
      <c r="J99" s="2164"/>
      <c r="K99" s="2164"/>
      <c r="L99" s="2165"/>
      <c r="M99" s="2164"/>
      <c r="N99" s="2164"/>
      <c r="O99" s="2165"/>
      <c r="P99" s="2164"/>
      <c r="Q99" s="2164"/>
      <c r="R99" s="2166"/>
    </row>
    <row r="100" spans="2:18" s="2136" customFormat="1">
      <c r="B100" s="2164"/>
      <c r="C100" s="2164"/>
      <c r="D100" s="2164"/>
      <c r="E100" s="2164"/>
      <c r="F100" s="2164"/>
      <c r="G100" s="2165"/>
      <c r="H100" s="2164"/>
      <c r="I100" s="2165"/>
      <c r="J100" s="2164"/>
      <c r="K100" s="2164"/>
      <c r="L100" s="2165"/>
      <c r="M100" s="2164"/>
      <c r="N100" s="2164"/>
      <c r="O100" s="2165"/>
      <c r="P100" s="2164"/>
      <c r="Q100" s="2164"/>
      <c r="R100" s="2166"/>
    </row>
    <row r="101" spans="2:18" s="2136" customFormat="1">
      <c r="B101" s="2164"/>
      <c r="C101" s="2164"/>
      <c r="D101" s="2164"/>
      <c r="E101" s="2164"/>
      <c r="F101" s="2164"/>
      <c r="G101" s="2165"/>
      <c r="H101" s="2164"/>
      <c r="I101" s="2165"/>
      <c r="J101" s="2164"/>
      <c r="K101" s="2164"/>
      <c r="L101" s="2165"/>
      <c r="M101" s="2164"/>
      <c r="N101" s="2164"/>
      <c r="O101" s="2165"/>
      <c r="P101" s="2164"/>
      <c r="Q101" s="2164"/>
      <c r="R101" s="2166"/>
    </row>
    <row r="102" spans="2:18" s="2136" customFormat="1">
      <c r="B102" s="2164"/>
      <c r="C102" s="2164"/>
      <c r="D102" s="2164"/>
      <c r="E102" s="2164"/>
      <c r="F102" s="2164"/>
      <c r="G102" s="2165"/>
      <c r="H102" s="2164"/>
      <c r="I102" s="2165"/>
      <c r="J102" s="2164"/>
      <c r="K102" s="2164"/>
      <c r="L102" s="2165"/>
      <c r="M102" s="2164"/>
      <c r="N102" s="2164"/>
      <c r="O102" s="2165"/>
      <c r="P102" s="2164"/>
      <c r="Q102" s="2164"/>
      <c r="R102" s="2166"/>
    </row>
    <row r="103" spans="2:18" s="2136" customFormat="1">
      <c r="B103" s="2164"/>
      <c r="C103" s="2164"/>
      <c r="D103" s="2164"/>
      <c r="E103" s="2164"/>
      <c r="F103" s="2164"/>
      <c r="G103" s="2165"/>
      <c r="H103" s="2164"/>
      <c r="I103" s="2165"/>
      <c r="J103" s="2164"/>
      <c r="K103" s="2164"/>
      <c r="L103" s="2165"/>
      <c r="M103" s="2164"/>
      <c r="N103" s="2164"/>
      <c r="O103" s="2165"/>
      <c r="P103" s="2164"/>
      <c r="Q103" s="2164"/>
      <c r="R103" s="2166"/>
    </row>
    <row r="104" spans="2:18" s="2136" customFormat="1">
      <c r="B104" s="2164"/>
      <c r="C104" s="2164"/>
      <c r="D104" s="2164"/>
      <c r="E104" s="2164"/>
      <c r="F104" s="2164"/>
      <c r="G104" s="2165"/>
      <c r="H104" s="2164"/>
      <c r="I104" s="2165"/>
      <c r="J104" s="2164"/>
      <c r="K104" s="2164"/>
      <c r="L104" s="2165"/>
      <c r="M104" s="2164"/>
      <c r="N104" s="2164"/>
      <c r="O104" s="2165"/>
      <c r="P104" s="2164"/>
      <c r="Q104" s="2164"/>
      <c r="R104" s="2166"/>
    </row>
    <row r="105" spans="2:18" s="2136" customFormat="1">
      <c r="B105" s="2164"/>
      <c r="C105" s="2164"/>
      <c r="D105" s="2164"/>
      <c r="E105" s="2164"/>
      <c r="F105" s="2164"/>
      <c r="G105" s="2165"/>
      <c r="H105" s="2164"/>
      <c r="I105" s="2165"/>
      <c r="J105" s="2164"/>
      <c r="K105" s="2164"/>
      <c r="L105" s="2165"/>
      <c r="M105" s="2164"/>
      <c r="N105" s="2164"/>
      <c r="O105" s="2165"/>
      <c r="P105" s="2164"/>
      <c r="Q105" s="2164"/>
      <c r="R105" s="2166"/>
    </row>
    <row r="106" spans="2:18" s="2136" customFormat="1">
      <c r="B106" s="2164"/>
      <c r="C106" s="2164"/>
      <c r="D106" s="2164"/>
      <c r="E106" s="2164"/>
      <c r="F106" s="2164"/>
      <c r="G106" s="2165"/>
      <c r="H106" s="2164"/>
      <c r="I106" s="2165"/>
      <c r="J106" s="2164"/>
      <c r="K106" s="2164"/>
      <c r="L106" s="2165"/>
      <c r="M106" s="2164"/>
      <c r="N106" s="2164"/>
      <c r="O106" s="2165"/>
      <c r="P106" s="2164"/>
      <c r="Q106" s="2164"/>
      <c r="R106" s="2166"/>
    </row>
    <row r="107" spans="2:18" s="2136" customFormat="1">
      <c r="B107" s="2164"/>
      <c r="C107" s="2164"/>
      <c r="D107" s="2164"/>
      <c r="E107" s="2164"/>
      <c r="F107" s="2164"/>
      <c r="G107" s="2165"/>
      <c r="H107" s="2164"/>
      <c r="I107" s="2165"/>
      <c r="J107" s="2164"/>
      <c r="K107" s="2164"/>
      <c r="L107" s="2165"/>
      <c r="M107" s="2164"/>
      <c r="N107" s="2164"/>
      <c r="O107" s="2165"/>
      <c r="P107" s="2164"/>
      <c r="Q107" s="2164"/>
      <c r="R107" s="2166"/>
    </row>
    <row r="108" spans="2:18" s="2136" customFormat="1">
      <c r="B108" s="2164"/>
      <c r="C108" s="2164"/>
      <c r="D108" s="2164"/>
      <c r="E108" s="2164"/>
      <c r="F108" s="2164"/>
      <c r="G108" s="2165"/>
      <c r="H108" s="2164"/>
      <c r="I108" s="2165"/>
      <c r="J108" s="2164"/>
      <c r="K108" s="2164"/>
      <c r="L108" s="2165"/>
      <c r="M108" s="2164"/>
      <c r="N108" s="2164"/>
      <c r="O108" s="2165"/>
      <c r="P108" s="2164"/>
      <c r="Q108" s="2164"/>
      <c r="R108" s="2166"/>
    </row>
    <row r="109" spans="2:18" s="2136" customFormat="1">
      <c r="B109" s="2164"/>
      <c r="C109" s="2164"/>
      <c r="D109" s="2164"/>
      <c r="E109" s="2164"/>
      <c r="F109" s="2164"/>
      <c r="G109" s="2165"/>
      <c r="H109" s="2164"/>
      <c r="I109" s="2165"/>
      <c r="J109" s="2164"/>
      <c r="K109" s="2164"/>
      <c r="L109" s="2165"/>
      <c r="M109" s="2164"/>
      <c r="N109" s="2164"/>
      <c r="O109" s="2165"/>
      <c r="P109" s="2164"/>
      <c r="Q109" s="2164"/>
      <c r="R109" s="2166"/>
    </row>
    <row r="110" spans="2:18" s="2136" customFormat="1">
      <c r="B110" s="2164"/>
      <c r="C110" s="2164"/>
      <c r="D110" s="2164"/>
      <c r="E110" s="2164"/>
      <c r="F110" s="2164"/>
      <c r="G110" s="2165"/>
      <c r="H110" s="2164"/>
      <c r="I110" s="2165"/>
      <c r="J110" s="2164"/>
      <c r="K110" s="2164"/>
      <c r="L110" s="2165"/>
      <c r="M110" s="2164"/>
      <c r="N110" s="2164"/>
      <c r="O110" s="2165"/>
      <c r="P110" s="2164"/>
      <c r="Q110" s="2164"/>
      <c r="R110" s="2166"/>
    </row>
    <row r="111" spans="2:18" s="2136" customFormat="1">
      <c r="B111" s="2164"/>
      <c r="C111" s="2164"/>
      <c r="D111" s="2164"/>
      <c r="E111" s="2164"/>
      <c r="F111" s="2164"/>
      <c r="G111" s="2165"/>
      <c r="H111" s="2164"/>
      <c r="I111" s="2165"/>
      <c r="J111" s="2164"/>
      <c r="K111" s="2164"/>
      <c r="L111" s="2165"/>
      <c r="M111" s="2164"/>
      <c r="N111" s="2164"/>
      <c r="O111" s="2165"/>
      <c r="P111" s="2164"/>
      <c r="Q111" s="2164"/>
      <c r="R111" s="2166"/>
    </row>
    <row r="112" spans="2:18" s="2136" customFormat="1">
      <c r="B112" s="2164"/>
      <c r="C112" s="2164"/>
      <c r="D112" s="2164"/>
      <c r="E112" s="2164"/>
      <c r="F112" s="2164"/>
      <c r="G112" s="2165"/>
      <c r="H112" s="2164"/>
      <c r="I112" s="2165"/>
      <c r="J112" s="2164"/>
      <c r="K112" s="2164"/>
      <c r="L112" s="2165"/>
      <c r="M112" s="2164"/>
      <c r="N112" s="2164"/>
      <c r="O112" s="2165"/>
      <c r="P112" s="2164"/>
      <c r="Q112" s="2164"/>
      <c r="R112" s="2166"/>
    </row>
    <row r="113" spans="2:18" s="2136" customFormat="1">
      <c r="B113" s="2164"/>
      <c r="C113" s="2164"/>
      <c r="D113" s="2164"/>
      <c r="E113" s="2164"/>
      <c r="F113" s="2164"/>
      <c r="G113" s="2165"/>
      <c r="H113" s="2164"/>
      <c r="I113" s="2165"/>
      <c r="J113" s="2164"/>
      <c r="K113" s="2164"/>
      <c r="L113" s="2165"/>
      <c r="M113" s="2164"/>
      <c r="N113" s="2164"/>
      <c r="O113" s="2165"/>
      <c r="P113" s="2164"/>
      <c r="Q113" s="2164"/>
      <c r="R113" s="2166"/>
    </row>
    <row r="114" spans="2:18" s="2136" customFormat="1">
      <c r="B114" s="2164"/>
      <c r="C114" s="2164"/>
      <c r="D114" s="2164"/>
      <c r="E114" s="2164"/>
      <c r="F114" s="2164"/>
      <c r="G114" s="2165"/>
      <c r="H114" s="2164"/>
      <c r="I114" s="2165"/>
      <c r="J114" s="2164"/>
      <c r="K114" s="2164"/>
      <c r="L114" s="2165"/>
      <c r="M114" s="2164"/>
      <c r="N114" s="2164"/>
      <c r="O114" s="2165"/>
      <c r="P114" s="2164"/>
      <c r="Q114" s="2164"/>
      <c r="R114" s="2166"/>
    </row>
    <row r="115" spans="2:18" s="2136" customFormat="1">
      <c r="B115" s="2164"/>
      <c r="C115" s="2164"/>
      <c r="D115" s="2164"/>
      <c r="E115" s="2164"/>
      <c r="F115" s="2164"/>
      <c r="G115" s="2165"/>
      <c r="H115" s="2164"/>
      <c r="I115" s="2165"/>
      <c r="J115" s="2164"/>
      <c r="K115" s="2164"/>
      <c r="L115" s="2165"/>
      <c r="M115" s="2164"/>
      <c r="N115" s="2164"/>
      <c r="O115" s="2165"/>
      <c r="P115" s="2164"/>
      <c r="Q115" s="2164"/>
      <c r="R115" s="2166"/>
    </row>
    <row r="116" spans="2:18" s="2136" customFormat="1">
      <c r="B116" s="2164"/>
      <c r="C116" s="2164"/>
      <c r="D116" s="2164"/>
      <c r="E116" s="2164"/>
      <c r="F116" s="2164"/>
      <c r="G116" s="2165"/>
      <c r="H116" s="2164"/>
      <c r="I116" s="2165"/>
      <c r="J116" s="2164"/>
      <c r="K116" s="2164"/>
      <c r="L116" s="2165"/>
      <c r="M116" s="2164"/>
      <c r="N116" s="2164"/>
      <c r="O116" s="2165"/>
      <c r="P116" s="2164"/>
      <c r="Q116" s="2164"/>
      <c r="R116" s="2166"/>
    </row>
    <row r="117" spans="2:18" s="2136" customFormat="1">
      <c r="B117" s="2164"/>
      <c r="C117" s="2164"/>
      <c r="D117" s="2164"/>
      <c r="E117" s="2164"/>
      <c r="F117" s="2164"/>
      <c r="G117" s="2165"/>
      <c r="H117" s="2164"/>
      <c r="I117" s="2165"/>
      <c r="J117" s="2164"/>
      <c r="K117" s="2164"/>
      <c r="L117" s="2165"/>
      <c r="M117" s="2164"/>
      <c r="N117" s="2164"/>
      <c r="O117" s="2165"/>
      <c r="P117" s="2164"/>
      <c r="Q117" s="2164"/>
      <c r="R117" s="2166"/>
    </row>
    <row r="118" spans="2:18" s="2136" customFormat="1">
      <c r="B118" s="2164"/>
      <c r="C118" s="2164"/>
      <c r="D118" s="2164"/>
      <c r="E118" s="2164"/>
      <c r="F118" s="2164"/>
      <c r="G118" s="2165"/>
      <c r="H118" s="2164"/>
      <c r="I118" s="2165"/>
      <c r="J118" s="2164"/>
      <c r="K118" s="2164"/>
      <c r="L118" s="2165"/>
      <c r="M118" s="2164"/>
      <c r="N118" s="2164"/>
      <c r="O118" s="2165"/>
      <c r="P118" s="2164"/>
      <c r="Q118" s="2164"/>
      <c r="R118" s="2166"/>
    </row>
    <row r="119" spans="2:18" s="2136" customFormat="1">
      <c r="B119" s="2164"/>
      <c r="C119" s="2164"/>
      <c r="D119" s="2164"/>
      <c r="E119" s="2164"/>
      <c r="F119" s="2164"/>
      <c r="G119" s="2165"/>
      <c r="H119" s="2164"/>
      <c r="I119" s="2165"/>
      <c r="J119" s="2164"/>
      <c r="K119" s="2164"/>
      <c r="L119" s="2165"/>
      <c r="M119" s="2164"/>
      <c r="N119" s="2164"/>
      <c r="O119" s="2165"/>
      <c r="P119" s="2164"/>
      <c r="Q119" s="2164"/>
      <c r="R119" s="2166"/>
    </row>
    <row r="120" spans="2:18" s="2136" customFormat="1">
      <c r="B120" s="2164"/>
      <c r="C120" s="2164"/>
      <c r="D120" s="2164"/>
      <c r="E120" s="2164"/>
      <c r="F120" s="2164"/>
      <c r="G120" s="2165"/>
      <c r="H120" s="2164"/>
      <c r="I120" s="2165"/>
      <c r="J120" s="2164"/>
      <c r="K120" s="2164"/>
      <c r="L120" s="2165"/>
      <c r="M120" s="2164"/>
      <c r="N120" s="2164"/>
      <c r="O120" s="2165"/>
      <c r="P120" s="2164"/>
      <c r="Q120" s="2164"/>
      <c r="R120" s="2166"/>
    </row>
    <row r="121" spans="2:18" s="2136" customFormat="1">
      <c r="B121" s="2164"/>
      <c r="C121" s="2164"/>
      <c r="D121" s="2164"/>
      <c r="E121" s="2164"/>
      <c r="F121" s="2164"/>
      <c r="G121" s="2165"/>
      <c r="H121" s="2164"/>
      <c r="I121" s="2165"/>
      <c r="J121" s="2164"/>
      <c r="K121" s="2164"/>
      <c r="L121" s="2165"/>
      <c r="M121" s="2164"/>
      <c r="N121" s="2164"/>
      <c r="O121" s="2165"/>
      <c r="P121" s="2164"/>
      <c r="Q121" s="2164"/>
      <c r="R121" s="2166"/>
    </row>
    <row r="122" spans="2:18" s="2136" customFormat="1">
      <c r="B122" s="2164"/>
      <c r="C122" s="2164"/>
      <c r="D122" s="2164"/>
      <c r="E122" s="2164"/>
      <c r="F122" s="2164"/>
      <c r="G122" s="2165"/>
      <c r="H122" s="2164"/>
      <c r="I122" s="2165"/>
      <c r="J122" s="2164"/>
      <c r="K122" s="2164"/>
      <c r="L122" s="2165"/>
      <c r="M122" s="2164"/>
      <c r="N122" s="2164"/>
      <c r="O122" s="2165"/>
      <c r="P122" s="2164"/>
      <c r="Q122" s="2164"/>
      <c r="R122" s="2166"/>
    </row>
    <row r="123" spans="2:18" s="2136" customFormat="1">
      <c r="B123" s="2164"/>
      <c r="C123" s="2164"/>
      <c r="D123" s="2164"/>
      <c r="E123" s="2164"/>
      <c r="F123" s="2164"/>
      <c r="G123" s="2165"/>
      <c r="H123" s="2164"/>
      <c r="I123" s="2165"/>
      <c r="J123" s="2164"/>
      <c r="K123" s="2164"/>
      <c r="L123" s="2165"/>
      <c r="M123" s="2164"/>
      <c r="N123" s="2164"/>
      <c r="O123" s="2165"/>
      <c r="P123" s="2164"/>
      <c r="Q123" s="2164"/>
      <c r="R123" s="2166"/>
    </row>
    <row r="124" spans="2:18" s="2136" customFormat="1">
      <c r="B124" s="2164"/>
      <c r="C124" s="2164"/>
      <c r="D124" s="2164"/>
      <c r="E124" s="2164"/>
      <c r="F124" s="2164"/>
      <c r="G124" s="2165"/>
      <c r="H124" s="2164"/>
      <c r="I124" s="2165"/>
      <c r="J124" s="2164"/>
      <c r="K124" s="2164"/>
      <c r="L124" s="2165"/>
      <c r="M124" s="2164"/>
      <c r="N124" s="2164"/>
      <c r="O124" s="2165"/>
      <c r="P124" s="2164"/>
      <c r="Q124" s="2164"/>
      <c r="R124" s="2166"/>
    </row>
    <row r="125" spans="2:18" s="2136" customFormat="1">
      <c r="B125" s="2164"/>
      <c r="C125" s="2164"/>
      <c r="D125" s="2164"/>
      <c r="E125" s="2164"/>
      <c r="F125" s="2164"/>
      <c r="G125" s="2165"/>
      <c r="H125" s="2164"/>
      <c r="I125" s="2165"/>
      <c r="J125" s="2164"/>
      <c r="K125" s="2164"/>
      <c r="L125" s="2165"/>
      <c r="M125" s="2164"/>
      <c r="N125" s="2164"/>
      <c r="O125" s="2165"/>
      <c r="P125" s="2164"/>
      <c r="Q125" s="2164"/>
      <c r="R125" s="2166"/>
    </row>
    <row r="126" spans="2:18" s="2136" customFormat="1">
      <c r="B126" s="2164"/>
      <c r="C126" s="2164"/>
      <c r="D126" s="2164"/>
      <c r="E126" s="2164"/>
      <c r="F126" s="2164"/>
      <c r="G126" s="2165"/>
      <c r="H126" s="2164"/>
      <c r="I126" s="2165"/>
      <c r="J126" s="2164"/>
      <c r="K126" s="2164"/>
      <c r="L126" s="2165"/>
      <c r="M126" s="2164"/>
      <c r="N126" s="2164"/>
      <c r="O126" s="2165"/>
      <c r="P126" s="2164"/>
      <c r="Q126" s="2164"/>
      <c r="R126" s="2166"/>
    </row>
    <row r="127" spans="2:18" s="2136" customFormat="1">
      <c r="B127" s="2164"/>
      <c r="C127" s="2164"/>
      <c r="D127" s="2164"/>
      <c r="E127" s="2164"/>
      <c r="F127" s="2164"/>
      <c r="G127" s="2165"/>
      <c r="H127" s="2164"/>
      <c r="I127" s="2165"/>
      <c r="J127" s="2164"/>
      <c r="K127" s="2164"/>
      <c r="L127" s="2165"/>
      <c r="M127" s="2164"/>
      <c r="N127" s="2164"/>
      <c r="O127" s="2165"/>
      <c r="P127" s="2164"/>
      <c r="Q127" s="2164"/>
      <c r="R127" s="2166"/>
    </row>
    <row r="128" spans="2:18" s="2136" customFormat="1">
      <c r="B128" s="2164"/>
      <c r="C128" s="2164"/>
      <c r="D128" s="2164"/>
      <c r="E128" s="2164"/>
      <c r="F128" s="2164"/>
      <c r="G128" s="2165"/>
      <c r="H128" s="2164"/>
      <c r="I128" s="2165"/>
      <c r="J128" s="2164"/>
      <c r="K128" s="2164"/>
      <c r="L128" s="2165"/>
      <c r="M128" s="2164"/>
      <c r="N128" s="2164"/>
      <c r="O128" s="2165"/>
      <c r="P128" s="2164"/>
      <c r="Q128" s="2164"/>
      <c r="R128" s="2166"/>
    </row>
    <row r="129" spans="2:18" s="2136" customFormat="1">
      <c r="B129" s="2164"/>
      <c r="C129" s="2164"/>
      <c r="D129" s="2164"/>
      <c r="E129" s="2164"/>
      <c r="F129" s="2164"/>
      <c r="G129" s="2165"/>
      <c r="H129" s="2164"/>
      <c r="I129" s="2165"/>
      <c r="J129" s="2164"/>
      <c r="K129" s="2164"/>
      <c r="L129" s="2165"/>
      <c r="M129" s="2164"/>
      <c r="N129" s="2164"/>
      <c r="O129" s="2165"/>
      <c r="P129" s="2164"/>
      <c r="Q129" s="2164"/>
      <c r="R129" s="2166"/>
    </row>
    <row r="130" spans="2:18" s="2136" customFormat="1">
      <c r="B130" s="2164"/>
      <c r="C130" s="2164"/>
      <c r="D130" s="2164"/>
      <c r="E130" s="2164"/>
      <c r="F130" s="2164"/>
      <c r="G130" s="2165"/>
      <c r="H130" s="2164"/>
      <c r="I130" s="2165"/>
      <c r="J130" s="2164"/>
      <c r="K130" s="2164"/>
      <c r="L130" s="2165"/>
      <c r="M130" s="2164"/>
      <c r="N130" s="2164"/>
      <c r="O130" s="2165"/>
      <c r="P130" s="2164"/>
      <c r="Q130" s="2164"/>
      <c r="R130" s="2166"/>
    </row>
    <row r="131" spans="2:18" s="2136" customFormat="1">
      <c r="B131" s="2164"/>
      <c r="C131" s="2164"/>
      <c r="D131" s="2164"/>
      <c r="E131" s="2164"/>
      <c r="F131" s="2164"/>
      <c r="G131" s="2165"/>
      <c r="H131" s="2164"/>
      <c r="I131" s="2165"/>
      <c r="J131" s="2164"/>
      <c r="K131" s="2164"/>
      <c r="L131" s="2165"/>
      <c r="M131" s="2164"/>
      <c r="N131" s="2164"/>
      <c r="O131" s="2165"/>
      <c r="P131" s="2164"/>
      <c r="Q131" s="2164"/>
      <c r="R131" s="2166"/>
    </row>
    <row r="132" spans="2:18" s="2136" customFormat="1">
      <c r="B132" s="2164"/>
      <c r="C132" s="2164"/>
      <c r="D132" s="2164"/>
      <c r="E132" s="2164"/>
      <c r="F132" s="2164"/>
      <c r="G132" s="2165"/>
      <c r="H132" s="2164"/>
      <c r="I132" s="2165"/>
      <c r="J132" s="2164"/>
      <c r="K132" s="2164"/>
      <c r="L132" s="2165"/>
      <c r="M132" s="2164"/>
      <c r="N132" s="2164"/>
      <c r="O132" s="2165"/>
      <c r="P132" s="2164"/>
      <c r="Q132" s="2164"/>
      <c r="R132" s="2166"/>
    </row>
    <row r="133" spans="2:18" s="2136" customFormat="1">
      <c r="B133" s="2164"/>
      <c r="C133" s="2164"/>
      <c r="D133" s="2164"/>
      <c r="E133" s="2164"/>
      <c r="F133" s="2164"/>
      <c r="G133" s="2165"/>
      <c r="H133" s="2164"/>
      <c r="I133" s="2165"/>
      <c r="J133" s="2164"/>
      <c r="K133" s="2164"/>
      <c r="L133" s="2165"/>
      <c r="M133" s="2164"/>
      <c r="N133" s="2164"/>
      <c r="O133" s="2165"/>
      <c r="P133" s="2164"/>
      <c r="Q133" s="2164"/>
      <c r="R133" s="2166"/>
    </row>
    <row r="134" spans="2:18" s="2136" customFormat="1">
      <c r="B134" s="2164"/>
      <c r="C134" s="2164"/>
      <c r="D134" s="2164"/>
      <c r="E134" s="2164"/>
      <c r="F134" s="2164"/>
      <c r="G134" s="2165"/>
      <c r="H134" s="2164"/>
      <c r="I134" s="2165"/>
      <c r="J134" s="2164"/>
      <c r="K134" s="2164"/>
      <c r="L134" s="2165"/>
      <c r="M134" s="2164"/>
      <c r="N134" s="2164"/>
      <c r="O134" s="2165"/>
      <c r="P134" s="2164"/>
      <c r="Q134" s="2164"/>
      <c r="R134" s="2166"/>
    </row>
    <row r="135" spans="2:18" s="2136" customFormat="1">
      <c r="B135" s="2164"/>
      <c r="C135" s="2164"/>
      <c r="D135" s="2164"/>
      <c r="E135" s="2164"/>
      <c r="F135" s="2164"/>
      <c r="G135" s="2165"/>
      <c r="H135" s="2164"/>
      <c r="I135" s="2165"/>
      <c r="J135" s="2164"/>
      <c r="K135" s="2164"/>
      <c r="L135" s="2165"/>
      <c r="M135" s="2164"/>
      <c r="N135" s="2164"/>
      <c r="O135" s="2165"/>
      <c r="P135" s="2164"/>
      <c r="Q135" s="2164"/>
      <c r="R135" s="2166"/>
    </row>
    <row r="136" spans="2:18" s="2136" customFormat="1">
      <c r="B136" s="2164"/>
      <c r="C136" s="2164"/>
      <c r="D136" s="2164"/>
      <c r="E136" s="2164"/>
      <c r="F136" s="2164"/>
      <c r="G136" s="2165"/>
      <c r="H136" s="2164"/>
      <c r="I136" s="2165"/>
      <c r="J136" s="2164"/>
      <c r="K136" s="2164"/>
      <c r="L136" s="2165"/>
      <c r="M136" s="2164"/>
      <c r="N136" s="2164"/>
      <c r="O136" s="2165"/>
      <c r="P136" s="2164"/>
      <c r="Q136" s="2164"/>
      <c r="R136" s="2166"/>
    </row>
    <row r="137" spans="2:18" s="2136" customFormat="1">
      <c r="B137" s="2164"/>
      <c r="C137" s="2164"/>
      <c r="D137" s="2164"/>
      <c r="E137" s="2164"/>
      <c r="F137" s="2164"/>
      <c r="G137" s="2165"/>
      <c r="H137" s="2164"/>
      <c r="I137" s="2165"/>
      <c r="J137" s="2164"/>
      <c r="K137" s="2164"/>
      <c r="L137" s="2165"/>
      <c r="M137" s="2164"/>
      <c r="N137" s="2164"/>
      <c r="O137" s="2165"/>
      <c r="P137" s="2164"/>
      <c r="Q137" s="2164"/>
      <c r="R137" s="2166"/>
    </row>
    <row r="138" spans="2:18" s="2136" customFormat="1">
      <c r="B138" s="2164"/>
      <c r="C138" s="2164"/>
      <c r="D138" s="2164"/>
      <c r="E138" s="2164"/>
      <c r="F138" s="2164"/>
      <c r="G138" s="2165"/>
      <c r="H138" s="2164"/>
      <c r="I138" s="2165"/>
      <c r="J138" s="2164"/>
      <c r="K138" s="2164"/>
      <c r="L138" s="2165"/>
      <c r="M138" s="2164"/>
      <c r="N138" s="2164"/>
      <c r="O138" s="2165"/>
      <c r="P138" s="2164"/>
      <c r="Q138" s="2164"/>
      <c r="R138" s="2166"/>
    </row>
    <row r="139" spans="2:18" s="2136" customFormat="1">
      <c r="B139" s="2164"/>
      <c r="C139" s="2164"/>
      <c r="D139" s="2164"/>
      <c r="E139" s="2164"/>
      <c r="F139" s="2164"/>
      <c r="G139" s="2165"/>
      <c r="H139" s="2164"/>
      <c r="I139" s="2165"/>
      <c r="J139" s="2164"/>
      <c r="K139" s="2164"/>
      <c r="L139" s="2165"/>
      <c r="M139" s="2164"/>
      <c r="N139" s="2164"/>
      <c r="O139" s="2165"/>
      <c r="P139" s="2164"/>
      <c r="Q139" s="2164"/>
      <c r="R139" s="2166"/>
    </row>
    <row r="140" spans="2:18" s="2136" customFormat="1">
      <c r="B140" s="2164"/>
      <c r="C140" s="2164"/>
      <c r="D140" s="2164"/>
      <c r="E140" s="2164"/>
      <c r="F140" s="2164"/>
      <c r="G140" s="2165"/>
      <c r="H140" s="2164"/>
      <c r="I140" s="2165"/>
      <c r="J140" s="2164"/>
      <c r="K140" s="2164"/>
      <c r="L140" s="2165"/>
      <c r="M140" s="2164"/>
      <c r="N140" s="2164"/>
      <c r="O140" s="2165"/>
      <c r="P140" s="2164"/>
      <c r="Q140" s="2164"/>
      <c r="R140" s="2166"/>
    </row>
    <row r="141" spans="2:18" s="2136" customFormat="1">
      <c r="B141" s="2164"/>
      <c r="C141" s="2164"/>
      <c r="D141" s="2164"/>
      <c r="E141" s="2164"/>
      <c r="F141" s="2164"/>
      <c r="G141" s="2165"/>
      <c r="H141" s="2164"/>
      <c r="I141" s="2165"/>
      <c r="J141" s="2164"/>
      <c r="K141" s="2164"/>
      <c r="L141" s="2165"/>
      <c r="M141" s="2164"/>
      <c r="N141" s="2164"/>
      <c r="O141" s="2165"/>
      <c r="P141" s="2164"/>
      <c r="Q141" s="2164"/>
      <c r="R141" s="2166"/>
    </row>
    <row r="142" spans="2:18" s="2136" customFormat="1">
      <c r="B142" s="2164"/>
      <c r="C142" s="2164"/>
      <c r="D142" s="2164"/>
      <c r="E142" s="2164"/>
      <c r="F142" s="2164"/>
      <c r="G142" s="2165"/>
      <c r="H142" s="2164"/>
      <c r="I142" s="2165"/>
      <c r="J142" s="2164"/>
      <c r="K142" s="2164"/>
      <c r="L142" s="2165"/>
      <c r="M142" s="2164"/>
      <c r="N142" s="2164"/>
      <c r="O142" s="2165"/>
      <c r="P142" s="2164"/>
      <c r="Q142" s="2164"/>
      <c r="R142" s="2166"/>
    </row>
    <row r="143" spans="2:18" s="2136" customFormat="1">
      <c r="B143" s="2164"/>
      <c r="C143" s="2164"/>
      <c r="D143" s="2164"/>
      <c r="E143" s="2164"/>
      <c r="F143" s="2164"/>
      <c r="G143" s="2165"/>
      <c r="H143" s="2164"/>
      <c r="I143" s="2165"/>
      <c r="J143" s="2164"/>
      <c r="K143" s="2164"/>
      <c r="L143" s="2165"/>
      <c r="M143" s="2164"/>
      <c r="N143" s="2164"/>
      <c r="O143" s="2165"/>
      <c r="P143" s="2164"/>
      <c r="Q143" s="2164"/>
      <c r="R143" s="2166"/>
    </row>
    <row r="144" spans="2:18" s="2136" customFormat="1">
      <c r="B144" s="2164"/>
      <c r="C144" s="2164"/>
      <c r="D144" s="2164"/>
      <c r="E144" s="2164"/>
      <c r="F144" s="2164"/>
      <c r="G144" s="2165"/>
      <c r="H144" s="2164"/>
      <c r="I144" s="2165"/>
      <c r="J144" s="2164"/>
      <c r="K144" s="2164"/>
      <c r="L144" s="2165"/>
      <c r="M144" s="2164"/>
      <c r="N144" s="2164"/>
      <c r="O144" s="2165"/>
      <c r="P144" s="2164"/>
      <c r="Q144" s="2164"/>
      <c r="R144" s="2166"/>
    </row>
    <row r="145" spans="2:18" s="2136" customFormat="1">
      <c r="B145" s="2164"/>
      <c r="C145" s="2164"/>
      <c r="D145" s="2164"/>
      <c r="E145" s="2164"/>
      <c r="F145" s="2164"/>
      <c r="G145" s="2165"/>
      <c r="H145" s="2164"/>
      <c r="I145" s="2165"/>
      <c r="J145" s="2164"/>
      <c r="K145" s="2164"/>
      <c r="L145" s="2165"/>
      <c r="M145" s="2164"/>
      <c r="N145" s="2164"/>
      <c r="O145" s="2165"/>
      <c r="P145" s="2164"/>
      <c r="Q145" s="2164"/>
      <c r="R145" s="2166"/>
    </row>
    <row r="146" spans="2:18" s="2136" customFormat="1">
      <c r="B146" s="2164"/>
      <c r="C146" s="2164"/>
      <c r="D146" s="2164"/>
      <c r="E146" s="2164"/>
      <c r="F146" s="2164"/>
      <c r="G146" s="2165"/>
      <c r="H146" s="2164"/>
      <c r="I146" s="2165"/>
      <c r="J146" s="2164"/>
      <c r="K146" s="2164"/>
      <c r="L146" s="2165"/>
      <c r="M146" s="2164"/>
      <c r="N146" s="2164"/>
      <c r="O146" s="2165"/>
      <c r="P146" s="2164"/>
      <c r="Q146" s="2164"/>
      <c r="R146" s="2166"/>
    </row>
    <row r="147" spans="2:18" s="2136" customFormat="1">
      <c r="B147" s="2164"/>
      <c r="C147" s="2164"/>
      <c r="D147" s="2164"/>
      <c r="E147" s="2164"/>
      <c r="F147" s="2164"/>
      <c r="G147" s="2165"/>
      <c r="H147" s="2164"/>
      <c r="I147" s="2165"/>
      <c r="J147" s="2164"/>
      <c r="K147" s="2164"/>
      <c r="L147" s="2165"/>
      <c r="M147" s="2164"/>
      <c r="N147" s="2164"/>
      <c r="O147" s="2165"/>
      <c r="P147" s="2164"/>
      <c r="Q147" s="2164"/>
      <c r="R147" s="2166"/>
    </row>
    <row r="148" spans="2:18" s="2136" customFormat="1">
      <c r="B148" s="2164"/>
      <c r="C148" s="2164"/>
      <c r="D148" s="2164"/>
      <c r="E148" s="2164"/>
      <c r="F148" s="2164"/>
      <c r="G148" s="2165"/>
      <c r="H148" s="2164"/>
      <c r="I148" s="2165"/>
      <c r="J148" s="2164"/>
      <c r="K148" s="2164"/>
      <c r="L148" s="2165"/>
      <c r="M148" s="2164"/>
      <c r="N148" s="2164"/>
      <c r="O148" s="2165"/>
      <c r="P148" s="2164"/>
      <c r="Q148" s="2164"/>
      <c r="R148" s="2166"/>
    </row>
    <row r="149" spans="2:18" s="2136" customFormat="1">
      <c r="B149" s="2164"/>
      <c r="C149" s="2164"/>
      <c r="D149" s="2164"/>
      <c r="E149" s="2164"/>
      <c r="F149" s="2164"/>
      <c r="G149" s="2165"/>
      <c r="H149" s="2164"/>
      <c r="I149" s="2165"/>
      <c r="J149" s="2164"/>
      <c r="K149" s="2164"/>
      <c r="L149" s="2165"/>
      <c r="M149" s="2164"/>
      <c r="N149" s="2164"/>
      <c r="O149" s="2165"/>
      <c r="P149" s="2164"/>
      <c r="Q149" s="2164"/>
      <c r="R149" s="2166"/>
    </row>
    <row r="150" spans="2:18" s="2136" customFormat="1">
      <c r="B150" s="2164"/>
      <c r="C150" s="2164"/>
      <c r="D150" s="2164"/>
      <c r="E150" s="2164"/>
      <c r="F150" s="2164"/>
      <c r="G150" s="2165"/>
      <c r="H150" s="2164"/>
      <c r="I150" s="2165"/>
      <c r="J150" s="2164"/>
      <c r="K150" s="2164"/>
      <c r="L150" s="2165"/>
      <c r="M150" s="2164"/>
      <c r="N150" s="2164"/>
      <c r="O150" s="2165"/>
      <c r="P150" s="2164"/>
      <c r="Q150" s="2164"/>
      <c r="R150" s="2166"/>
    </row>
    <row r="151" spans="2:18" s="2136" customFormat="1">
      <c r="B151" s="2164"/>
      <c r="C151" s="2164"/>
      <c r="D151" s="2164"/>
      <c r="E151" s="2164"/>
      <c r="F151" s="2164"/>
      <c r="G151" s="2165"/>
      <c r="H151" s="2164"/>
      <c r="I151" s="2165"/>
      <c r="J151" s="2164"/>
      <c r="K151" s="2164"/>
      <c r="L151" s="2165"/>
      <c r="M151" s="2164"/>
      <c r="N151" s="2164"/>
      <c r="O151" s="2165"/>
      <c r="P151" s="2164"/>
      <c r="Q151" s="2164"/>
      <c r="R151" s="2166"/>
    </row>
    <row r="152" spans="2:18" s="2136" customFormat="1">
      <c r="B152" s="2164"/>
      <c r="C152" s="2164"/>
      <c r="D152" s="2164"/>
      <c r="E152" s="2164"/>
      <c r="F152" s="2164"/>
      <c r="G152" s="2165"/>
      <c r="H152" s="2164"/>
      <c r="I152" s="2165"/>
      <c r="J152" s="2164"/>
      <c r="K152" s="2164"/>
      <c r="L152" s="2165"/>
      <c r="M152" s="2164"/>
      <c r="N152" s="2164"/>
      <c r="O152" s="2165"/>
      <c r="P152" s="2164"/>
      <c r="Q152" s="2164"/>
      <c r="R152" s="2166"/>
    </row>
    <row r="153" spans="2:18" s="2136" customFormat="1">
      <c r="B153" s="2164"/>
      <c r="C153" s="2164"/>
      <c r="D153" s="2164"/>
      <c r="E153" s="2164"/>
      <c r="F153" s="2164"/>
      <c r="G153" s="2165"/>
      <c r="H153" s="2164"/>
      <c r="I153" s="2165"/>
      <c r="J153" s="2164"/>
      <c r="K153" s="2164"/>
      <c r="L153" s="2165"/>
      <c r="M153" s="2164"/>
      <c r="N153" s="2164"/>
      <c r="O153" s="2165"/>
      <c r="P153" s="2164"/>
      <c r="Q153" s="2164"/>
      <c r="R153" s="2166"/>
    </row>
    <row r="154" spans="2:18" s="2136" customFormat="1">
      <c r="B154" s="2164"/>
      <c r="C154" s="2164"/>
      <c r="D154" s="2164"/>
      <c r="E154" s="2164"/>
      <c r="F154" s="2164"/>
      <c r="G154" s="2165"/>
      <c r="H154" s="2164"/>
      <c r="I154" s="2165"/>
      <c r="J154" s="2164"/>
      <c r="K154" s="2164"/>
      <c r="L154" s="2165"/>
      <c r="M154" s="2164"/>
      <c r="N154" s="2164"/>
      <c r="O154" s="2165"/>
      <c r="P154" s="2164"/>
      <c r="Q154" s="2164"/>
      <c r="R154" s="2166"/>
    </row>
    <row r="155" spans="2:18" s="2136" customFormat="1">
      <c r="B155" s="2164"/>
      <c r="C155" s="2164"/>
      <c r="D155" s="2164"/>
      <c r="E155" s="2164"/>
      <c r="F155" s="2164"/>
      <c r="G155" s="2165"/>
      <c r="H155" s="2164"/>
      <c r="I155" s="2165"/>
      <c r="J155" s="2164"/>
      <c r="K155" s="2164"/>
      <c r="L155" s="2165"/>
      <c r="M155" s="2164"/>
      <c r="N155" s="2164"/>
      <c r="O155" s="2165"/>
      <c r="P155" s="2164"/>
      <c r="Q155" s="2164"/>
      <c r="R155" s="2166"/>
    </row>
    <row r="156" spans="2:18" s="2136" customFormat="1">
      <c r="B156" s="2164"/>
      <c r="C156" s="2164"/>
      <c r="D156" s="2164"/>
      <c r="E156" s="2164"/>
      <c r="F156" s="2164"/>
      <c r="G156" s="2165"/>
      <c r="H156" s="2164"/>
      <c r="I156" s="2165"/>
      <c r="J156" s="2164"/>
      <c r="K156" s="2164"/>
      <c r="L156" s="2165"/>
      <c r="M156" s="2164"/>
      <c r="N156" s="2164"/>
      <c r="O156" s="2165"/>
      <c r="P156" s="2164"/>
      <c r="Q156" s="2164"/>
      <c r="R156" s="2166"/>
    </row>
    <row r="157" spans="2:18" s="2136" customFormat="1">
      <c r="B157" s="2164"/>
      <c r="C157" s="2164"/>
      <c r="D157" s="2164"/>
      <c r="E157" s="2164"/>
      <c r="F157" s="2164"/>
      <c r="G157" s="2165"/>
      <c r="H157" s="2164"/>
      <c r="I157" s="2165"/>
      <c r="J157" s="2164"/>
      <c r="K157" s="2164"/>
      <c r="L157" s="2165"/>
      <c r="M157" s="2164"/>
      <c r="N157" s="2164"/>
      <c r="O157" s="2165"/>
      <c r="P157" s="2164"/>
      <c r="Q157" s="2164"/>
      <c r="R157" s="2166"/>
    </row>
    <row r="158" spans="2:18" s="2136" customFormat="1">
      <c r="B158" s="2164"/>
      <c r="C158" s="2164"/>
      <c r="D158" s="2164"/>
      <c r="E158" s="2164"/>
      <c r="F158" s="2164"/>
      <c r="G158" s="2165"/>
      <c r="H158" s="2164"/>
      <c r="I158" s="2165"/>
      <c r="J158" s="2164"/>
      <c r="K158" s="2164"/>
      <c r="L158" s="2165"/>
      <c r="M158" s="2164"/>
      <c r="N158" s="2164"/>
      <c r="O158" s="2165"/>
      <c r="P158" s="2164"/>
      <c r="Q158" s="2164"/>
      <c r="R158" s="2166"/>
    </row>
    <row r="159" spans="2:18" s="2136" customFormat="1">
      <c r="B159" s="2164"/>
      <c r="C159" s="2164"/>
      <c r="D159" s="2164"/>
      <c r="E159" s="2164"/>
      <c r="F159" s="2164"/>
      <c r="G159" s="2165"/>
      <c r="H159" s="2164"/>
      <c r="I159" s="2165"/>
      <c r="J159" s="2164"/>
      <c r="K159" s="2164"/>
      <c r="L159" s="2165"/>
      <c r="M159" s="2164"/>
      <c r="N159" s="2164"/>
      <c r="O159" s="2165"/>
      <c r="P159" s="2164"/>
      <c r="Q159" s="2164"/>
      <c r="R159" s="2166"/>
    </row>
    <row r="160" spans="2:18" s="2136" customFormat="1">
      <c r="B160" s="2164"/>
      <c r="C160" s="2164"/>
      <c r="D160" s="2164"/>
      <c r="E160" s="2164"/>
      <c r="F160" s="2164"/>
      <c r="G160" s="2165"/>
      <c r="H160" s="2164"/>
      <c r="I160" s="2165"/>
      <c r="J160" s="2164"/>
      <c r="K160" s="2164"/>
      <c r="L160" s="2165"/>
      <c r="M160" s="2164"/>
      <c r="N160" s="2164"/>
      <c r="O160" s="2165"/>
      <c r="P160" s="2164"/>
      <c r="Q160" s="2164"/>
      <c r="R160" s="2166"/>
    </row>
    <row r="161" spans="2:18" s="2136" customFormat="1">
      <c r="B161" s="2164"/>
      <c r="C161" s="2164"/>
      <c r="D161" s="2164"/>
      <c r="E161" s="2164"/>
      <c r="F161" s="2164"/>
      <c r="G161" s="2165"/>
      <c r="H161" s="2164"/>
      <c r="I161" s="2165"/>
      <c r="J161" s="2164"/>
      <c r="K161" s="2164"/>
      <c r="L161" s="2165"/>
      <c r="M161" s="2164"/>
      <c r="N161" s="2164"/>
      <c r="O161" s="2165"/>
      <c r="P161" s="2164"/>
      <c r="Q161" s="2164"/>
      <c r="R161" s="2166"/>
    </row>
    <row r="162" spans="2:18" s="2136" customFormat="1">
      <c r="B162" s="2164"/>
      <c r="C162" s="2164"/>
      <c r="D162" s="2164"/>
      <c r="E162" s="2164"/>
      <c r="F162" s="2164"/>
      <c r="G162" s="2165"/>
      <c r="H162" s="2164"/>
      <c r="I162" s="2165"/>
      <c r="J162" s="2164"/>
      <c r="K162" s="2164"/>
      <c r="L162" s="2165"/>
      <c r="M162" s="2164"/>
      <c r="N162" s="2164"/>
      <c r="O162" s="2165"/>
      <c r="P162" s="2164"/>
      <c r="Q162" s="2164"/>
      <c r="R162" s="2166"/>
    </row>
    <row r="163" spans="2:18" s="2136" customFormat="1">
      <c r="B163" s="2164"/>
      <c r="C163" s="2164"/>
      <c r="D163" s="2164"/>
      <c r="E163" s="2164"/>
      <c r="F163" s="2164"/>
      <c r="G163" s="2165"/>
      <c r="H163" s="2164"/>
      <c r="I163" s="2165"/>
      <c r="J163" s="2164"/>
      <c r="K163" s="2164"/>
      <c r="L163" s="2165"/>
      <c r="M163" s="2164"/>
      <c r="N163" s="2164"/>
      <c r="O163" s="2165"/>
      <c r="P163" s="2164"/>
      <c r="Q163" s="2164"/>
      <c r="R163" s="2166"/>
    </row>
    <row r="164" spans="2:18" s="2136" customFormat="1">
      <c r="B164" s="2164"/>
      <c r="C164" s="2164"/>
      <c r="D164" s="2164"/>
      <c r="E164" s="2164"/>
      <c r="F164" s="2164"/>
      <c r="G164" s="2165"/>
      <c r="H164" s="2164"/>
      <c r="I164" s="2165"/>
      <c r="J164" s="2164"/>
      <c r="K164" s="2164"/>
      <c r="L164" s="2165"/>
      <c r="M164" s="2164"/>
      <c r="N164" s="2164"/>
      <c r="O164" s="2165"/>
      <c r="P164" s="2164"/>
      <c r="Q164" s="2164"/>
      <c r="R164" s="2166"/>
    </row>
    <row r="165" spans="2:18" s="2136" customFormat="1">
      <c r="B165" s="2164"/>
      <c r="C165" s="2164"/>
      <c r="D165" s="2164"/>
      <c r="E165" s="2164"/>
      <c r="F165" s="2164"/>
      <c r="G165" s="2165"/>
      <c r="H165" s="2164"/>
      <c r="I165" s="2165"/>
      <c r="J165" s="2164"/>
      <c r="K165" s="2164"/>
      <c r="L165" s="2165"/>
      <c r="M165" s="2164"/>
      <c r="N165" s="2164"/>
      <c r="O165" s="2165"/>
      <c r="P165" s="2164"/>
      <c r="Q165" s="2164"/>
      <c r="R165" s="2166"/>
    </row>
    <row r="166" spans="2:18" s="2136" customFormat="1">
      <c r="B166" s="2164"/>
      <c r="C166" s="2164"/>
      <c r="D166" s="2164"/>
      <c r="E166" s="2164"/>
      <c r="F166" s="2164"/>
      <c r="G166" s="2165"/>
      <c r="H166" s="2164"/>
      <c r="I166" s="2165"/>
      <c r="J166" s="2164"/>
      <c r="K166" s="2164"/>
      <c r="L166" s="2165"/>
      <c r="M166" s="2164"/>
      <c r="N166" s="2164"/>
      <c r="O166" s="2165"/>
      <c r="P166" s="2164"/>
      <c r="Q166" s="2164"/>
      <c r="R166" s="2166"/>
    </row>
    <row r="167" spans="2:18" s="2136" customFormat="1">
      <c r="B167" s="2164"/>
      <c r="C167" s="2164"/>
      <c r="D167" s="2164"/>
      <c r="E167" s="2164"/>
      <c r="F167" s="2164"/>
      <c r="G167" s="2165"/>
      <c r="H167" s="2164"/>
      <c r="I167" s="2165"/>
      <c r="J167" s="2164"/>
      <c r="K167" s="2164"/>
      <c r="L167" s="2165"/>
      <c r="M167" s="2164"/>
      <c r="N167" s="2164"/>
      <c r="O167" s="2165"/>
      <c r="P167" s="2164"/>
      <c r="Q167" s="2164"/>
      <c r="R167" s="2166"/>
    </row>
    <row r="168" spans="2:18" s="2136" customFormat="1">
      <c r="B168" s="2164"/>
      <c r="C168" s="2164"/>
      <c r="D168" s="2164"/>
      <c r="E168" s="2164"/>
      <c r="F168" s="2164"/>
      <c r="G168" s="2165"/>
      <c r="H168" s="2164"/>
      <c r="I168" s="2165"/>
      <c r="J168" s="2164"/>
      <c r="K168" s="2164"/>
      <c r="L168" s="2165"/>
      <c r="M168" s="2164"/>
      <c r="N168" s="2164"/>
      <c r="O168" s="2165"/>
      <c r="P168" s="2164"/>
      <c r="Q168" s="2164"/>
      <c r="R168" s="2166"/>
    </row>
    <row r="169" spans="2:18" s="2136" customFormat="1">
      <c r="B169" s="2164"/>
      <c r="C169" s="2164"/>
      <c r="D169" s="2164"/>
      <c r="E169" s="2164"/>
      <c r="F169" s="2164"/>
      <c r="G169" s="2165"/>
      <c r="H169" s="2164"/>
      <c r="I169" s="2165"/>
      <c r="J169" s="2164"/>
      <c r="K169" s="2164"/>
      <c r="L169" s="2165"/>
      <c r="M169" s="2164"/>
      <c r="N169" s="2164"/>
      <c r="O169" s="2165"/>
      <c r="P169" s="2164"/>
      <c r="Q169" s="2164"/>
      <c r="R169" s="2166"/>
    </row>
    <row r="170" spans="2:18" s="2136" customFormat="1">
      <c r="B170" s="2164"/>
      <c r="C170" s="2164"/>
      <c r="D170" s="2164"/>
      <c r="E170" s="2164"/>
      <c r="F170" s="2164"/>
      <c r="G170" s="2165"/>
      <c r="H170" s="2164"/>
      <c r="I170" s="2165"/>
      <c r="J170" s="2164"/>
      <c r="K170" s="2164"/>
      <c r="L170" s="2165"/>
      <c r="M170" s="2164"/>
      <c r="N170" s="2164"/>
      <c r="O170" s="2165"/>
      <c r="P170" s="2164"/>
      <c r="Q170" s="2164"/>
      <c r="R170" s="2166"/>
    </row>
    <row r="171" spans="2:18" s="2136" customFormat="1">
      <c r="B171" s="2164"/>
      <c r="C171" s="2164"/>
      <c r="D171" s="2164"/>
      <c r="E171" s="2164"/>
      <c r="F171" s="2164"/>
      <c r="G171" s="2165"/>
      <c r="H171" s="2164"/>
      <c r="I171" s="2165"/>
      <c r="J171" s="2164"/>
      <c r="K171" s="2164"/>
      <c r="L171" s="2165"/>
      <c r="M171" s="2164"/>
      <c r="N171" s="2164"/>
      <c r="O171" s="2165"/>
      <c r="P171" s="2164"/>
      <c r="Q171" s="2164"/>
      <c r="R171" s="2166"/>
    </row>
    <row r="172" spans="2:18" s="2136" customFormat="1">
      <c r="B172" s="2164"/>
      <c r="C172" s="2164"/>
      <c r="D172" s="2164"/>
      <c r="E172" s="2164"/>
      <c r="F172" s="2164"/>
      <c r="G172" s="2165"/>
      <c r="H172" s="2164"/>
      <c r="I172" s="2165"/>
      <c r="J172" s="2164"/>
      <c r="K172" s="2164"/>
      <c r="L172" s="2165"/>
      <c r="M172" s="2164"/>
      <c r="N172" s="2164"/>
      <c r="O172" s="2165"/>
      <c r="P172" s="2164"/>
      <c r="Q172" s="2164"/>
      <c r="R172" s="2166"/>
    </row>
    <row r="173" spans="2:18" s="2136" customFormat="1">
      <c r="B173" s="2164"/>
      <c r="C173" s="2164"/>
      <c r="D173" s="2164"/>
      <c r="E173" s="2164"/>
      <c r="F173" s="2164"/>
      <c r="G173" s="2165"/>
      <c r="H173" s="2164"/>
      <c r="I173" s="2165"/>
      <c r="J173" s="2164"/>
      <c r="K173" s="2164"/>
      <c r="L173" s="2165"/>
      <c r="M173" s="2164"/>
      <c r="N173" s="2164"/>
      <c r="O173" s="2165"/>
      <c r="P173" s="2164"/>
      <c r="Q173" s="2164"/>
      <c r="R173" s="2166"/>
    </row>
    <row r="174" spans="2:18" s="2136" customFormat="1">
      <c r="B174" s="2164"/>
      <c r="C174" s="2164"/>
      <c r="D174" s="2164"/>
      <c r="E174" s="2164"/>
      <c r="F174" s="2164"/>
      <c r="G174" s="2165"/>
      <c r="H174" s="2164"/>
      <c r="I174" s="2165"/>
      <c r="J174" s="2164"/>
      <c r="K174" s="2164"/>
      <c r="L174" s="2165"/>
      <c r="M174" s="2164"/>
      <c r="N174" s="2164"/>
      <c r="O174" s="2165"/>
      <c r="P174" s="2164"/>
      <c r="Q174" s="2164"/>
      <c r="R174" s="2166"/>
    </row>
    <row r="175" spans="2:18" s="2136" customFormat="1">
      <c r="B175" s="2164"/>
      <c r="C175" s="2164"/>
      <c r="D175" s="2164"/>
      <c r="E175" s="2164"/>
      <c r="F175" s="2164"/>
      <c r="G175" s="2165"/>
      <c r="H175" s="2164"/>
      <c r="I175" s="2165"/>
      <c r="J175" s="2164"/>
      <c r="K175" s="2164"/>
      <c r="L175" s="2165"/>
      <c r="M175" s="2164"/>
      <c r="N175" s="2164"/>
      <c r="O175" s="2165"/>
      <c r="P175" s="2164"/>
      <c r="Q175" s="2164"/>
      <c r="R175" s="2166"/>
    </row>
    <row r="176" spans="2:18" s="2136" customFormat="1">
      <c r="B176" s="2164"/>
      <c r="C176" s="2164"/>
      <c r="D176" s="2164"/>
      <c r="E176" s="2164"/>
      <c r="F176" s="2164"/>
      <c r="G176" s="2165"/>
      <c r="H176" s="2164"/>
      <c r="I176" s="2165"/>
      <c r="J176" s="2164"/>
      <c r="K176" s="2164"/>
      <c r="L176" s="2165"/>
      <c r="M176" s="2164"/>
      <c r="N176" s="2164"/>
      <c r="O176" s="2165"/>
      <c r="P176" s="2164"/>
      <c r="Q176" s="2164"/>
      <c r="R176" s="2166"/>
    </row>
    <row r="177" spans="1:18" s="2136" customFormat="1">
      <c r="B177" s="2164"/>
      <c r="C177" s="2164"/>
      <c r="D177" s="2164"/>
      <c r="E177" s="2164"/>
      <c r="F177" s="2164"/>
      <c r="G177" s="2165"/>
      <c r="H177" s="2164"/>
      <c r="I177" s="2165"/>
      <c r="J177" s="2164"/>
      <c r="K177" s="2164"/>
      <c r="L177" s="2165"/>
      <c r="M177" s="2164"/>
      <c r="N177" s="2164"/>
      <c r="O177" s="2165"/>
      <c r="P177" s="2164"/>
      <c r="Q177" s="2164"/>
      <c r="R177" s="2166"/>
    </row>
    <row r="178" spans="1:18" s="2136" customFormat="1">
      <c r="B178" s="2164"/>
      <c r="C178" s="2164"/>
      <c r="D178" s="2164"/>
      <c r="E178" s="2164"/>
      <c r="F178" s="2164"/>
      <c r="G178" s="2165"/>
      <c r="H178" s="2164"/>
      <c r="I178" s="2165"/>
      <c r="J178" s="2164"/>
      <c r="K178" s="2164"/>
      <c r="L178" s="2165"/>
      <c r="M178" s="2164"/>
      <c r="N178" s="2164"/>
      <c r="O178" s="2165"/>
      <c r="P178" s="2164"/>
      <c r="Q178" s="2164"/>
      <c r="R178" s="2166"/>
    </row>
    <row r="179" spans="1:18" s="2136" customFormat="1">
      <c r="B179" s="2164"/>
      <c r="C179" s="2164"/>
      <c r="D179" s="2164"/>
      <c r="E179" s="2164"/>
      <c r="F179" s="2164"/>
      <c r="G179" s="2165"/>
      <c r="H179" s="2164"/>
      <c r="I179" s="2165"/>
      <c r="J179" s="2164"/>
      <c r="K179" s="2164"/>
      <c r="L179" s="2165"/>
      <c r="M179" s="2164"/>
      <c r="N179" s="2164"/>
      <c r="O179" s="2165"/>
      <c r="P179" s="2164"/>
      <c r="Q179" s="2164"/>
      <c r="R179" s="2166"/>
    </row>
    <row r="180" spans="1:18" s="2136" customFormat="1">
      <c r="B180" s="2164"/>
      <c r="C180" s="2164"/>
      <c r="D180" s="2164"/>
      <c r="E180" s="2164"/>
      <c r="F180" s="2164"/>
      <c r="G180" s="2165"/>
      <c r="H180" s="2164"/>
      <c r="I180" s="2165"/>
      <c r="J180" s="2164"/>
      <c r="K180" s="2164"/>
      <c r="L180" s="2165"/>
      <c r="M180" s="2164"/>
      <c r="N180" s="2164"/>
      <c r="O180" s="2165"/>
      <c r="P180" s="2164"/>
      <c r="Q180" s="2164"/>
      <c r="R180" s="2166"/>
    </row>
    <row r="181" spans="1:18" s="2136" customFormat="1">
      <c r="B181" s="2164"/>
      <c r="C181" s="2164"/>
      <c r="D181" s="2164"/>
      <c r="E181" s="2164"/>
      <c r="F181" s="2164"/>
      <c r="G181" s="2165"/>
      <c r="H181" s="2164"/>
      <c r="I181" s="2165"/>
      <c r="J181" s="2164"/>
      <c r="K181" s="2164"/>
      <c r="L181" s="2165"/>
      <c r="M181" s="2164"/>
      <c r="N181" s="2164"/>
      <c r="O181" s="2165"/>
      <c r="P181" s="2164"/>
      <c r="Q181" s="2164"/>
      <c r="R181" s="2166"/>
    </row>
    <row r="182" spans="1:18" s="2136" customFormat="1">
      <c r="B182" s="2164"/>
      <c r="C182" s="2164"/>
      <c r="D182" s="2164"/>
      <c r="E182" s="2164"/>
      <c r="F182" s="2164"/>
      <c r="G182" s="2165"/>
      <c r="H182" s="2164"/>
      <c r="I182" s="2165"/>
      <c r="J182" s="2164"/>
      <c r="K182" s="2164"/>
      <c r="L182" s="2165"/>
      <c r="M182" s="2164"/>
      <c r="N182" s="2164"/>
      <c r="O182" s="2165"/>
      <c r="P182" s="2164"/>
      <c r="Q182" s="2164"/>
      <c r="R182" s="2166"/>
    </row>
    <row r="183" spans="1:18" s="2136" customFormat="1">
      <c r="B183" s="2164"/>
      <c r="C183" s="2164"/>
      <c r="D183" s="2164"/>
      <c r="E183" s="2164"/>
      <c r="F183" s="2164"/>
      <c r="G183" s="2165"/>
      <c r="H183" s="2164"/>
      <c r="I183" s="2165"/>
      <c r="J183" s="2164"/>
      <c r="K183" s="2164"/>
      <c r="L183" s="2165"/>
      <c r="M183" s="2164"/>
      <c r="N183" s="2164"/>
      <c r="O183" s="2165"/>
      <c r="P183" s="2164"/>
      <c r="Q183" s="2164"/>
      <c r="R183" s="2166"/>
    </row>
    <row r="184" spans="1:18" s="2136" customFormat="1">
      <c r="B184" s="2164"/>
      <c r="C184" s="2164"/>
      <c r="D184" s="2164"/>
      <c r="E184" s="2164"/>
      <c r="F184" s="2164"/>
      <c r="G184" s="2165"/>
      <c r="H184" s="2164"/>
      <c r="I184" s="2165"/>
      <c r="J184" s="2164"/>
      <c r="K184" s="2164"/>
      <c r="L184" s="2165"/>
      <c r="M184" s="2164"/>
      <c r="N184" s="2164"/>
      <c r="O184" s="2165"/>
      <c r="P184" s="2164"/>
      <c r="Q184" s="2164"/>
      <c r="R184" s="2166"/>
    </row>
    <row r="185" spans="1:18" s="2136"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6"/>
      <c r="B186" s="2164"/>
      <c r="C186" s="2164"/>
      <c r="E186" s="2164"/>
      <c r="F186" s="2164"/>
      <c r="G186" s="2165"/>
    </row>
    <row r="187" spans="1:18">
      <c r="A187" s="2136"/>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6" sqref="B6"/>
    </sheetView>
  </sheetViews>
  <sheetFormatPr defaultColWidth="14.625" defaultRowHeight="13.5"/>
  <cols>
    <col min="1" max="1" width="24.375" customWidth="1"/>
  </cols>
  <sheetData>
    <row r="1" spans="1:9" ht="16.5">
      <c r="A1" s="1826" t="s">
        <v>1219</v>
      </c>
      <c r="B1" s="1826">
        <f>SUM(B14:B23)</f>
        <v>392.22</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44134</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'收益法 (倒)'!C3/10000</f>
        <v>1162.8145999999999</v>
      </c>
      <c r="C5" s="1826">
        <f>ROUND(B5*10000/$B$1,0)</f>
        <v>29647</v>
      </c>
      <c r="D5" s="1826" t="e">
        <f>ROUND(B5*10000/$B$2,0)</f>
        <v>#DIV/0!</v>
      </c>
      <c r="E5" s="1827"/>
      <c r="F5" s="1831"/>
      <c r="G5" s="1831"/>
    </row>
    <row r="6" spans="1:9" ht="16.5">
      <c r="A6" s="1826" t="s">
        <v>1227</v>
      </c>
      <c r="B6" s="1826" t="e">
        <f ca="1">SUM(G14:G23)</f>
        <v>#REF!</v>
      </c>
      <c r="C6" s="1826" t="e">
        <f t="shared" ref="C6:C8" ca="1" si="0">ROUND(B6*10000/$B$1,0)</f>
        <v>#REF!</v>
      </c>
      <c r="D6" s="1826" t="e">
        <f t="shared" ref="D6:D8" ca="1" si="1">ROUND(B6*10000/$B$2,0)</f>
        <v>#REF!</v>
      </c>
      <c r="E6" s="1827"/>
      <c r="F6" s="1831"/>
      <c r="G6" s="1831"/>
    </row>
    <row r="7" spans="1:9" ht="16.5">
      <c r="A7" s="1826" t="s">
        <v>1228</v>
      </c>
      <c r="B7" s="1826" t="e">
        <f>SUM(H14:H23)</f>
        <v>#VALUE!</v>
      </c>
      <c r="C7" s="1826" t="e">
        <f>ROUND(B7*10000/$B$1,0)</f>
        <v>#VALUE!</v>
      </c>
      <c r="D7" s="1826" t="e">
        <f t="shared" si="1"/>
        <v>#VALUE!</v>
      </c>
      <c r="E7" s="1827"/>
      <c r="F7" s="1831"/>
      <c r="G7" s="1831"/>
    </row>
    <row r="8" spans="1:9" ht="16.5">
      <c r="A8" s="1826" t="s">
        <v>1229</v>
      </c>
      <c r="B8" s="1826" t="e">
        <f>SUM(I14:I23)</f>
        <v>#VALUE!</v>
      </c>
      <c r="C8" s="1826" t="e">
        <f t="shared" si="0"/>
        <v>#VALUE!</v>
      </c>
      <c r="D8" s="1826" t="e">
        <f t="shared" si="1"/>
        <v>#VALUE!</v>
      </c>
      <c r="E8" s="1827"/>
      <c r="F8" s="1831"/>
      <c r="G8" s="1831"/>
    </row>
    <row r="9" spans="1:9" ht="16.5">
      <c r="A9" s="1826" t="s">
        <v>1230</v>
      </c>
      <c r="B9" s="1832"/>
      <c r="C9" s="1827"/>
      <c r="D9" s="1827"/>
      <c r="E9" s="1827"/>
      <c r="F9" s="1831"/>
      <c r="G9" s="1831"/>
    </row>
    <row r="10" spans="1:9" ht="16.5">
      <c r="A10" s="1826" t="s">
        <v>1231</v>
      </c>
      <c r="B10" s="1832">
        <f>B5</f>
        <v>1162.8145999999999</v>
      </c>
      <c r="C10" s="1827"/>
      <c r="D10" s="1827"/>
      <c r="E10" s="1827"/>
      <c r="F10" s="1831"/>
      <c r="G10" s="1831"/>
    </row>
    <row r="11" spans="1:9" ht="16.5">
      <c r="A11" s="1826" t="s">
        <v>1246</v>
      </c>
      <c r="B11" s="1832"/>
      <c r="C11" s="1827"/>
      <c r="D11" s="1827"/>
      <c r="E11" s="1827"/>
      <c r="F11" s="1831"/>
      <c r="G11" s="1831"/>
    </row>
    <row r="12" spans="1:9" ht="16.5">
      <c r="A12" s="1827"/>
      <c r="B12" s="1827"/>
      <c r="C12" s="1827"/>
      <c r="D12" s="1827"/>
      <c r="E12" s="1827"/>
      <c r="F12" s="1831"/>
      <c r="G12" s="1831"/>
    </row>
    <row r="13" spans="1:9" ht="33">
      <c r="A13" s="1836" t="s">
        <v>1245</v>
      </c>
      <c r="B13" s="1830" t="s">
        <v>1219</v>
      </c>
      <c r="C13" s="1830" t="s">
        <v>1220</v>
      </c>
      <c r="D13" s="1830" t="s">
        <v>1232</v>
      </c>
      <c r="E13" s="1826" t="s">
        <v>1224</v>
      </c>
      <c r="F13" s="1826" t="s">
        <v>1225</v>
      </c>
      <c r="G13" s="1830" t="s">
        <v>1233</v>
      </c>
      <c r="H13" s="1830" t="s">
        <v>1234</v>
      </c>
      <c r="I13" s="1830" t="s">
        <v>1235</v>
      </c>
    </row>
    <row r="14" spans="1:9" ht="16.5">
      <c r="A14" s="1833" t="s">
        <v>3114</v>
      </c>
      <c r="B14" s="1830">
        <f>项目基本情况!C12</f>
        <v>392.22</v>
      </c>
      <c r="C14" s="1830">
        <f>项目基本情况!C13</f>
        <v>0</v>
      </c>
      <c r="D14" s="1830">
        <f>B5</f>
        <v>1162.8145999999999</v>
      </c>
      <c r="E14" s="1830">
        <f>ROUND(D14*10000/B14,0)</f>
        <v>29647</v>
      </c>
      <c r="F14" s="1830" t="e">
        <f>ROUND(D14*10000/C14,0)</f>
        <v>#DIV/0!</v>
      </c>
      <c r="G14" s="1830" t="e">
        <f ca="1">IF('数据-取费表'!B3="万元",IF(A14="估价对象1（结果表）",结果表!D125,'结果表 (1修多)'!D128),IF(A14="估价对象1（结果表）",结果表!D125,'结果表 (1修多)'!D128)/10000)</f>
        <v>#REF!</v>
      </c>
      <c r="H14" s="1830" t="e">
        <f>IF('数据-取费表'!B3="万元",IF(A14="估价对象1（结果表）",结果表!D127,'结果表 (1修多)'!D130),IF(A14="估价对象1（结果表）",结果表!D127,'结果表 (1修多)'!D130)/10000)</f>
        <v>#VALUE!</v>
      </c>
      <c r="I14" s="1830" t="e">
        <f>IF('数据-取费表'!B3="万元",IF(A14="估价对象1（结果表）",结果表!D129,'结果表 (1修多)'!D132),IF(A14="估价对象1（结果表）",结果表!D129,'结果表 (1修多)'!D132)/10000)</f>
        <v>#VALUE!</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M49" sqref="M49:O49"/>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1763</v>
      </c>
      <c r="B1" s="2190"/>
      <c r="C1" s="2190"/>
      <c r="D1" s="2190"/>
      <c r="E1" s="2190"/>
      <c r="F1" s="2190"/>
      <c r="G1" s="2190"/>
      <c r="H1" s="2190"/>
      <c r="I1" s="2190"/>
    </row>
    <row r="2" spans="1:12" ht="21.75" customHeight="1">
      <c r="A2" s="3040" t="str">
        <f>项目基本情况!B1</f>
        <v>北京市房地产市场价值预评估</v>
      </c>
      <c r="B2" s="3040"/>
      <c r="C2" s="3040"/>
      <c r="D2" s="3040"/>
      <c r="E2" s="3040"/>
      <c r="F2" s="3040"/>
      <c r="G2" s="3040"/>
      <c r="H2" s="3040"/>
      <c r="I2" s="3040"/>
    </row>
    <row r="3" spans="1:12" ht="12.75">
      <c r="A3" s="3043" t="s">
        <v>1764</v>
      </c>
      <c r="B3" s="3044"/>
      <c r="C3" s="3044"/>
      <c r="D3" s="3044"/>
      <c r="E3" s="3044"/>
      <c r="F3" s="3044"/>
      <c r="G3" s="3044"/>
      <c r="H3" s="3044"/>
      <c r="I3" s="3044"/>
    </row>
    <row r="4" spans="1:12" ht="14.25">
      <c r="A4" s="2192" t="s">
        <v>1765</v>
      </c>
      <c r="B4" s="2193" t="s">
        <v>1766</v>
      </c>
      <c r="C4" s="2194"/>
      <c r="D4" s="2194"/>
      <c r="E4" s="3024" t="s">
        <v>1767</v>
      </c>
      <c r="F4" s="3025"/>
      <c r="G4" s="3025"/>
      <c r="H4" s="3025"/>
      <c r="I4" s="3035"/>
      <c r="K4" s="1841" t="str">
        <f>IF(ISNUMBER(FIND("比较法",结果表!C4)),"比较法",IF(ISNUMBER(FIND("成本法",结果表!C4)),"成本法",IF(ISNUMBER(FIND("假设开发法",结果表!C4)),"假设开发法",IF(ISNUMBER(FIND("收益法",结果表!C4)),"收益法","基准地价系数修正法"))))</f>
        <v>基准地价系数修正法</v>
      </c>
      <c r="L4" s="184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17" t="s">
        <v>1768</v>
      </c>
      <c r="B5" s="2979">
        <v>25</v>
      </c>
      <c r="C5" s="3028"/>
      <c r="D5" s="3042"/>
      <c r="E5" s="56" t="s">
        <v>1769</v>
      </c>
      <c r="F5" s="2195"/>
      <c r="G5" s="2195"/>
      <c r="H5" s="2195"/>
      <c r="I5" s="2196"/>
    </row>
    <row r="6" spans="1:12" ht="12.75">
      <c r="A6" s="3017"/>
      <c r="B6" s="2979"/>
      <c r="C6" s="3045"/>
      <c r="D6" s="3042"/>
      <c r="E6" s="56" t="s">
        <v>1770</v>
      </c>
      <c r="F6" s="2195"/>
      <c r="G6" s="2195"/>
      <c r="H6" s="2195"/>
      <c r="I6" s="2196"/>
    </row>
    <row r="7" spans="1:12" ht="12.75">
      <c r="A7" s="3017"/>
      <c r="B7" s="2979"/>
      <c r="C7" s="3029"/>
      <c r="D7" s="3042"/>
      <c r="E7" s="56" t="s">
        <v>1771</v>
      </c>
      <c r="F7" s="2195"/>
      <c r="G7" s="2195"/>
      <c r="H7" s="2195"/>
      <c r="I7" s="2196"/>
    </row>
    <row r="8" spans="1:12" ht="12.75">
      <c r="A8" s="3017" t="s">
        <v>1772</v>
      </c>
      <c r="B8" s="2979">
        <v>15</v>
      </c>
      <c r="C8" s="3028"/>
      <c r="D8" s="3042"/>
      <c r="E8" s="56" t="s">
        <v>1773</v>
      </c>
      <c r="F8" s="2195"/>
      <c r="G8" s="2195"/>
      <c r="H8" s="2195"/>
      <c r="I8" s="2196"/>
    </row>
    <row r="9" spans="1:12" ht="12.75">
      <c r="A9" s="3017"/>
      <c r="B9" s="2979"/>
      <c r="C9" s="3029"/>
      <c r="D9" s="3042"/>
      <c r="E9" s="56" t="s">
        <v>1774</v>
      </c>
      <c r="F9" s="2195"/>
      <c r="G9" s="2195"/>
      <c r="H9" s="2195"/>
      <c r="I9" s="2196"/>
    </row>
    <row r="10" spans="1:12" ht="12.75">
      <c r="A10" s="3017" t="s">
        <v>1775</v>
      </c>
      <c r="B10" s="2979">
        <v>15</v>
      </c>
      <c r="C10" s="3028"/>
      <c r="D10" s="3042"/>
      <c r="E10" s="56" t="s">
        <v>1776</v>
      </c>
      <c r="F10" s="2195"/>
      <c r="G10" s="2195"/>
      <c r="H10" s="2195"/>
      <c r="I10" s="2196"/>
    </row>
    <row r="11" spans="1:12" ht="12.75">
      <c r="A11" s="3017"/>
      <c r="B11" s="2979"/>
      <c r="C11" s="3029"/>
      <c r="D11" s="3042"/>
      <c r="E11" s="56" t="s">
        <v>1777</v>
      </c>
      <c r="F11" s="2195"/>
      <c r="G11" s="2195"/>
      <c r="H11" s="2195"/>
      <c r="I11" s="2196"/>
    </row>
    <row r="12" spans="1:12" ht="12.75">
      <c r="A12" s="3017" t="s">
        <v>1778</v>
      </c>
      <c r="B12" s="2979">
        <v>15</v>
      </c>
      <c r="C12" s="3028"/>
      <c r="D12" s="3042"/>
      <c r="E12" s="56" t="s">
        <v>1779</v>
      </c>
      <c r="F12" s="2195"/>
      <c r="G12" s="2195"/>
      <c r="H12" s="2195"/>
      <c r="I12" s="2196"/>
    </row>
    <row r="13" spans="1:12" ht="12.75">
      <c r="A13" s="3017"/>
      <c r="B13" s="2979"/>
      <c r="C13" s="3029"/>
      <c r="D13" s="3042"/>
      <c r="E13" s="56" t="s">
        <v>1780</v>
      </c>
      <c r="F13" s="2195"/>
      <c r="G13" s="2195"/>
      <c r="H13" s="2195"/>
      <c r="I13" s="2196"/>
    </row>
    <row r="14" spans="1:12" ht="12.75">
      <c r="A14" s="3017" t="s">
        <v>1781</v>
      </c>
      <c r="B14" s="2979">
        <v>30</v>
      </c>
      <c r="C14" s="3028"/>
      <c r="D14" s="3042"/>
      <c r="E14" s="56" t="s">
        <v>1782</v>
      </c>
      <c r="F14" s="2195"/>
      <c r="G14" s="2195"/>
      <c r="H14" s="2195"/>
      <c r="I14" s="2196"/>
    </row>
    <row r="15" spans="1:12" ht="12.75">
      <c r="A15" s="3017"/>
      <c r="B15" s="2979"/>
      <c r="C15" s="3045"/>
      <c r="D15" s="3042"/>
      <c r="E15" s="56" t="s">
        <v>1783</v>
      </c>
      <c r="F15" s="2195"/>
      <c r="G15" s="2195"/>
      <c r="H15" s="2195"/>
      <c r="I15" s="2196"/>
    </row>
    <row r="16" spans="1:12" ht="12.75">
      <c r="A16" s="3017"/>
      <c r="B16" s="2979"/>
      <c r="C16" s="3029"/>
      <c r="D16" s="3042"/>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SUMIF(INDIRECT("'"&amp;C4&amp;"'"&amp;"!A:A"),结果表!B19,INDIRECT("'"&amp;C4&amp;"'"&amp;"!B:B"))</f>
        <v>#REF!</v>
      </c>
      <c r="D19" s="60" t="e">
        <f ca="1">SUMIF(INDIRECT("'"&amp;D4&amp;"'"&amp;"!A:A"),结果表!B19,INDIRECT("'"&amp;D4&amp;"'"&amp;"!B:B"))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SUMIF(INDIRECT("'"&amp;C4&amp;"'"&amp;"!A:A"),结果表!B20,INDIRECT("'"&amp;C4&amp;"'"&amp;"!B:B"))</f>
        <v>#REF!</v>
      </c>
      <c r="D20" s="63" t="e">
        <f ca="1">SUMIF(INDIRECT("'"&amp;D4&amp;"'"&amp;"!A:A"),结果表!B20,INDIRECT("'"&amp;D4&amp;"'"&amp;"!B:B"))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48" t="s">
        <v>1793</v>
      </c>
      <c r="B24" s="2202" t="s">
        <v>1788</v>
      </c>
      <c r="C24" s="61">
        <f>D30</f>
        <v>0</v>
      </c>
      <c r="D24" s="990"/>
      <c r="E24" s="2190"/>
      <c r="F24" s="2190"/>
      <c r="G24" s="2190"/>
      <c r="H24" s="2190"/>
      <c r="I24" s="2190"/>
    </row>
    <row r="25" spans="1:35" ht="21.75" customHeight="1">
      <c r="A25" s="3049"/>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1798</v>
      </c>
      <c r="B30" s="67"/>
      <c r="C30" s="67"/>
      <c r="D30" s="67"/>
      <c r="E30" s="2698" t="s">
        <v>2793</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8" t="s">
        <v>1799</v>
      </c>
      <c r="B32" s="2219" t="str">
        <f>'数据-取费表'!B4</f>
        <v>楼面单价</v>
      </c>
      <c r="C32" s="1141" t="e">
        <f ca="1">IF(B32="总价",G19-C24,G20-C25)</f>
        <v>#REF!</v>
      </c>
      <c r="D32" s="2190" t="str">
        <f>IF(B32="楼面单价","元/平方米",H19)</f>
        <v>元/平方米</v>
      </c>
      <c r="E32" s="2190"/>
      <c r="F32" s="2190"/>
      <c r="G32" s="2190"/>
      <c r="H32" s="2190"/>
      <c r="I32" s="2190"/>
    </row>
    <row r="33" spans="1:16" ht="15">
      <c r="A33" s="2220" t="s">
        <v>1800</v>
      </c>
      <c r="B33" s="2221"/>
      <c r="C33" s="2222"/>
      <c r="D33" s="2223"/>
      <c r="E33" s="2224" t="s">
        <v>1801</v>
      </c>
      <c r="F33" s="2225" t="str">
        <f>IF(B32="楼面单价","取值（单价）","取值（总价）")</f>
        <v>取值（单价）</v>
      </c>
      <c r="G33" s="2190"/>
      <c r="H33" s="2190"/>
      <c r="I33" s="2190"/>
    </row>
    <row r="34" spans="1:16" ht="15">
      <c r="A34" s="2226"/>
      <c r="B34" s="2227" t="s">
        <v>1802</v>
      </c>
      <c r="C34" s="72" t="e">
        <f ca="1">IF(D33="自定义",F34,C32-C35)</f>
        <v>#REF!</v>
      </c>
      <c r="D34" s="1087">
        <f ca="1">IF(D33="自定义",ROUND(C34/C32,3),1-D35)</f>
        <v>-3.0999999999999996</v>
      </c>
      <c r="E34" s="2228" t="s">
        <v>1803</v>
      </c>
      <c r="F34" s="1824">
        <v>2000</v>
      </c>
      <c r="G34" s="2190"/>
      <c r="H34" s="2190"/>
      <c r="I34" s="2190"/>
    </row>
    <row r="35" spans="1:16" ht="15.75" thickBot="1">
      <c r="A35" s="2229"/>
      <c r="B35" s="2230" t="s">
        <v>1804</v>
      </c>
      <c r="C35" s="73" t="e">
        <f ca="1">IF(D33="自定义",F35,ROUND(C32*D35,0))</f>
        <v>#REF!</v>
      </c>
      <c r="D35" s="1086">
        <f ca="1">IF(D33="自定义",ROUND(C35/C32,3),IF(D33="成本法成本比率",成本法!C56,IF(D33="收益法收益比率",收益法!J38,收益法!J41)))</f>
        <v>4.0999999999999996</v>
      </c>
      <c r="E35" s="2231" t="s">
        <v>1805</v>
      </c>
      <c r="F35" s="79">
        <v>4460</v>
      </c>
      <c r="G35" s="2190"/>
      <c r="H35" s="2190"/>
      <c r="I35" s="2190"/>
    </row>
    <row r="36" spans="1:16" ht="15.75" thickBot="1">
      <c r="A36" s="3030" t="s">
        <v>1806</v>
      </c>
      <c r="B36" s="2232" t="s">
        <v>1807</v>
      </c>
      <c r="C36" s="69">
        <v>0</v>
      </c>
      <c r="D36" s="2233"/>
      <c r="E36" s="2234"/>
      <c r="F36" s="2234"/>
      <c r="G36" s="2190"/>
      <c r="H36" s="2190"/>
      <c r="I36" s="2190"/>
    </row>
    <row r="37" spans="1:16" ht="15.75" thickBot="1">
      <c r="A37" s="3031"/>
      <c r="B37" s="2235" t="s">
        <v>1808</v>
      </c>
      <c r="C37" s="71">
        <v>0</v>
      </c>
      <c r="D37" s="2200"/>
      <c r="E37" s="2200"/>
      <c r="F37" s="2234"/>
      <c r="G37" s="2200"/>
      <c r="H37" s="2200"/>
      <c r="I37" s="2200"/>
    </row>
    <row r="38" spans="1:16" ht="15.75" thickBot="1">
      <c r="A38" s="3032"/>
      <c r="B38" s="2236" t="s">
        <v>1809</v>
      </c>
      <c r="C38" s="712">
        <v>0</v>
      </c>
      <c r="D38" s="2237" t="s">
        <v>1810</v>
      </c>
      <c r="E38" s="2200"/>
      <c r="F38" s="2234"/>
      <c r="G38" s="2200"/>
      <c r="H38" s="2200"/>
      <c r="I38" s="2200"/>
    </row>
    <row r="39" spans="1:16" ht="15">
      <c r="A39" s="2204" t="s">
        <v>1811</v>
      </c>
      <c r="B39" s="2238" t="s">
        <v>1795</v>
      </c>
      <c r="C39" s="2239" t="s">
        <v>1796</v>
      </c>
      <c r="D39" s="2239" t="s">
        <v>1812</v>
      </c>
      <c r="E39" s="2240" t="s">
        <v>1797</v>
      </c>
      <c r="F39" s="2234"/>
      <c r="G39" s="2200"/>
      <c r="H39" s="2200"/>
      <c r="I39" s="2200"/>
    </row>
    <row r="40" spans="1:16" ht="14.25">
      <c r="A40" s="2241" t="s">
        <v>1813</v>
      </c>
      <c r="B40" s="74"/>
      <c r="C40" s="75"/>
      <c r="D40" s="75"/>
      <c r="E40" s="76"/>
      <c r="F40" s="2234"/>
      <c r="G40" s="2200"/>
      <c r="H40" s="2200"/>
      <c r="I40" s="2200"/>
    </row>
    <row r="41" spans="1:16" ht="14.25">
      <c r="A41" s="2241" t="s">
        <v>1814</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1815</v>
      </c>
      <c r="B44" s="2247"/>
      <c r="C44" s="2247"/>
      <c r="D44" s="2248"/>
      <c r="E44" s="2248"/>
      <c r="F44" s="2249"/>
      <c r="G44" s="2249"/>
      <c r="H44" s="2249"/>
      <c r="I44" s="2249"/>
      <c r="J44" s="2250" t="s">
        <v>1816</v>
      </c>
      <c r="K44" s="2251"/>
      <c r="L44" s="2251"/>
      <c r="M44" s="2251"/>
      <c r="N44" s="2251"/>
      <c r="O44" s="2251"/>
      <c r="P44" s="1841"/>
    </row>
    <row r="45" spans="1:16" ht="14.25" customHeight="1" thickBot="1">
      <c r="A45" s="3036" t="s">
        <v>1817</v>
      </c>
      <c r="B45" s="3037"/>
      <c r="C45" s="3038"/>
      <c r="D45" s="80" t="e">
        <f ca="1">ROUND(I102*F45,0)</f>
        <v>#REF!</v>
      </c>
      <c r="E45" s="81" t="s">
        <v>1818</v>
      </c>
      <c r="F45" s="82">
        <v>1</v>
      </c>
      <c r="G45" s="83" t="s">
        <v>1819</v>
      </c>
      <c r="H45" s="2190"/>
      <c r="I45" s="2190"/>
      <c r="J45" s="3098" t="s">
        <v>1820</v>
      </c>
      <c r="K45" s="3098"/>
      <c r="L45" s="3098"/>
      <c r="M45" s="3098"/>
      <c r="N45" s="3098"/>
      <c r="O45" s="3098"/>
      <c r="P45" s="1841"/>
    </row>
    <row r="46" spans="1:16" ht="14.25" customHeight="1">
      <c r="A46" s="3021" t="s">
        <v>1821</v>
      </c>
      <c r="B46" s="3022"/>
      <c r="C46" s="3022"/>
      <c r="D46" s="3022"/>
      <c r="E46" s="3022"/>
      <c r="F46" s="3022"/>
      <c r="G46" s="3023"/>
      <c r="H46" s="2252"/>
      <c r="I46" s="1140"/>
      <c r="J46" s="1878">
        <v>1</v>
      </c>
      <c r="K46" s="3098" t="s">
        <v>1822</v>
      </c>
      <c r="L46" s="3098"/>
      <c r="M46" s="3099" t="str">
        <f>项目基本情况!B1</f>
        <v>北京市房地产市场价值预评估</v>
      </c>
      <c r="N46" s="3099"/>
      <c r="O46" s="3099"/>
      <c r="P46" s="1841"/>
    </row>
    <row r="47" spans="1:16" ht="12" customHeight="1">
      <c r="A47" s="85" t="s">
        <v>1823</v>
      </c>
      <c r="B47" s="86"/>
      <c r="C47" s="87"/>
      <c r="D47" s="88" t="s">
        <v>1824</v>
      </c>
      <c r="E47" s="14" t="s">
        <v>1825</v>
      </c>
      <c r="F47" s="89" t="s">
        <v>1826</v>
      </c>
      <c r="G47" s="90" t="s">
        <v>1827</v>
      </c>
      <c r="H47" s="2252"/>
      <c r="I47" s="1140"/>
      <c r="J47" s="1878">
        <v>2</v>
      </c>
      <c r="K47" s="3098" t="s">
        <v>1828</v>
      </c>
      <c r="L47" s="3098"/>
      <c r="M47" s="3100">
        <f>'数据-取费表'!B2</f>
        <v>44134</v>
      </c>
      <c r="N47" s="3100"/>
      <c r="O47" s="3100"/>
      <c r="P47" s="1841"/>
    </row>
    <row r="48" spans="1:16" ht="25.5">
      <c r="A48" s="3033" t="s">
        <v>1829</v>
      </c>
      <c r="B48" s="3034"/>
      <c r="C48" s="3034"/>
      <c r="D48" s="56" t="e">
        <f ca="1">IF(H48="情况1",0,IF(H48="情况2",D52,IF(H48="情况3",D53,IF(H48="情况4",D54))))</f>
        <v>#REF!</v>
      </c>
      <c r="E48" s="1888" t="str">
        <f>IF(H48="情况4","(销售额-原购置价)×税（费）率","销售额×税（费）率")</f>
        <v>销售额×税（费）率</v>
      </c>
      <c r="F48" s="91">
        <f>IF(H48="情况1","免征",'数据-取费表'!E29)</f>
        <v>5.6000000000000001E-2</v>
      </c>
      <c r="G48" s="2253" t="s">
        <v>1830</v>
      </c>
      <c r="H48" s="2254" t="s">
        <v>1831</v>
      </c>
      <c r="I48" s="2252"/>
      <c r="J48" s="1878">
        <v>3</v>
      </c>
      <c r="K48" s="3098" t="s">
        <v>1832</v>
      </c>
      <c r="L48" s="3098"/>
      <c r="M48" s="3099" t="e">
        <f ca="1">I102</f>
        <v>#REF!</v>
      </c>
      <c r="N48" s="3099"/>
      <c r="O48" s="3099"/>
      <c r="P48" s="1841"/>
    </row>
    <row r="49" spans="1:16" ht="25.5" customHeight="1">
      <c r="A49" s="92" t="s">
        <v>1833</v>
      </c>
      <c r="B49" s="3026" t="s">
        <v>1834</v>
      </c>
      <c r="C49" s="3026"/>
      <c r="D49" s="93">
        <v>0</v>
      </c>
      <c r="E49" s="13" t="s">
        <v>1835</v>
      </c>
      <c r="F49" s="18" t="s">
        <v>48</v>
      </c>
      <c r="G49" s="3091"/>
      <c r="H49" s="2190"/>
      <c r="I49" s="2255"/>
      <c r="J49" s="1878">
        <v>4</v>
      </c>
      <c r="K49" s="3098" t="str">
        <f>IF(项目基本情况!F5="房地产抵押价值","房地产抵押价值","抵押担保权已注销时的房地产抵押价值")</f>
        <v>抵押担保权已注销时的房地产抵押价值</v>
      </c>
      <c r="L49" s="3098"/>
      <c r="M49" s="3099" t="str">
        <f>IF(项目基本情况!F5="房地产抵押价值",I110,I112)</f>
        <v>——</v>
      </c>
      <c r="N49" s="3099"/>
      <c r="O49" s="3099"/>
      <c r="P49" s="1841"/>
    </row>
    <row r="50" spans="1:16" ht="25.5" customHeight="1">
      <c r="A50" s="94"/>
      <c r="B50" s="3026" t="s">
        <v>1836</v>
      </c>
      <c r="C50" s="3026"/>
      <c r="D50" s="95"/>
      <c r="E50" s="21"/>
      <c r="F50" s="96"/>
      <c r="G50" s="3092"/>
      <c r="H50" s="2190"/>
      <c r="I50" s="2255"/>
      <c r="J50" s="3098" t="s">
        <v>1837</v>
      </c>
      <c r="K50" s="3098"/>
      <c r="L50" s="3098"/>
      <c r="M50" s="3098"/>
      <c r="N50" s="3098"/>
      <c r="O50" s="3098"/>
      <c r="P50" s="1841"/>
    </row>
    <row r="51" spans="1:16" ht="12" customHeight="1">
      <c r="A51" s="97"/>
      <c r="B51" s="3026" t="s">
        <v>1838</v>
      </c>
      <c r="C51" s="3026"/>
      <c r="D51" s="98"/>
      <c r="E51" s="20"/>
      <c r="F51" s="96"/>
      <c r="G51" s="3093"/>
      <c r="H51" s="2190"/>
      <c r="I51" s="2255"/>
      <c r="J51" s="2256" t="s">
        <v>1839</v>
      </c>
      <c r="K51" s="3098" t="s">
        <v>1840</v>
      </c>
      <c r="L51" s="3098"/>
      <c r="M51" s="2256" t="s">
        <v>1841</v>
      </c>
      <c r="N51" s="2256" t="s">
        <v>1842</v>
      </c>
      <c r="O51" s="2256" t="s">
        <v>1843</v>
      </c>
      <c r="P51" s="1841"/>
    </row>
    <row r="52" spans="1:16" ht="24" customHeight="1">
      <c r="A52" s="99" t="s">
        <v>1844</v>
      </c>
      <c r="B52" s="3026" t="s">
        <v>1845</v>
      </c>
      <c r="C52" s="3026"/>
      <c r="D52" s="98" t="e">
        <f ca="1">ROUND(D45*'数据-取费表'!E29/(1+'数据-取费表'!F30),0)</f>
        <v>#REF!</v>
      </c>
      <c r="E52" s="10" t="s">
        <v>1846</v>
      </c>
      <c r="F52" s="100">
        <f>'数据-取费表'!E29</f>
        <v>5.6000000000000001E-2</v>
      </c>
      <c r="G52" s="2257"/>
      <c r="H52" s="2190"/>
      <c r="I52" s="2255"/>
      <c r="J52" s="1878">
        <v>1</v>
      </c>
      <c r="K52" s="3058" t="s">
        <v>1847</v>
      </c>
      <c r="L52" s="3058"/>
      <c r="M52" s="778" t="e">
        <f ca="1">D48</f>
        <v>#REF!</v>
      </c>
      <c r="N52" s="1878" t="str">
        <f>E48</f>
        <v>销售额×税（费）率</v>
      </c>
      <c r="O52" s="779">
        <f>F48</f>
        <v>5.6000000000000001E-2</v>
      </c>
      <c r="P52" s="1841"/>
    </row>
    <row r="53" spans="1:16" ht="12" customHeight="1">
      <c r="A53" s="99" t="s">
        <v>1848</v>
      </c>
      <c r="B53" s="3027" t="s">
        <v>1849</v>
      </c>
      <c r="C53" s="2952"/>
      <c r="D53" s="98" t="e">
        <f ca="1">ROUND(D45*'数据-取费表'!E29/(1+'数据-取费表'!F30),0)</f>
        <v>#REF!</v>
      </c>
      <c r="E53" s="10" t="s">
        <v>1846</v>
      </c>
      <c r="F53" s="100">
        <f>'数据-取费表'!E29</f>
        <v>5.6000000000000001E-2</v>
      </c>
      <c r="G53" s="2257"/>
      <c r="H53" s="2190"/>
      <c r="I53" s="2255"/>
      <c r="J53" s="1878">
        <v>2</v>
      </c>
      <c r="K53" s="3058" t="s">
        <v>1850</v>
      </c>
      <c r="L53" s="3058"/>
      <c r="M53" s="778" t="e">
        <f t="shared" ref="M53:O54" ca="1" si="1">D55</f>
        <v>#REF!</v>
      </c>
      <c r="N53" s="1878" t="str">
        <f t="shared" si="1"/>
        <v>销售额×税（费）率</v>
      </c>
      <c r="O53" s="779">
        <f t="shared" si="1"/>
        <v>5.0000000000000001E-4</v>
      </c>
      <c r="P53" s="1841"/>
    </row>
    <row r="54" spans="1:16" ht="12" customHeight="1">
      <c r="A54" s="99" t="s">
        <v>1851</v>
      </c>
      <c r="B54" s="3027" t="s">
        <v>1852</v>
      </c>
      <c r="C54" s="2952"/>
      <c r="D54" s="98" t="e">
        <f ca="1">C68</f>
        <v>#REF!</v>
      </c>
      <c r="E54" s="20" t="s">
        <v>1853</v>
      </c>
      <c r="F54" s="100">
        <f>'数据-取费表'!E29</f>
        <v>5.6000000000000001E-2</v>
      </c>
      <c r="G54" s="2257"/>
      <c r="H54" s="2258"/>
      <c r="I54" s="2255"/>
      <c r="J54" s="1878">
        <v>3</v>
      </c>
      <c r="K54" s="3058" t="s">
        <v>1854</v>
      </c>
      <c r="L54" s="3058"/>
      <c r="M54" s="778" t="e">
        <f t="shared" ca="1" si="1"/>
        <v>#REF!</v>
      </c>
      <c r="N54" s="1878" t="str">
        <f t="shared" si="1"/>
        <v>增值额×税（费）率</v>
      </c>
      <c r="O54" s="780" t="str">
        <f t="shared" si="1"/>
        <v>——</v>
      </c>
      <c r="P54" s="1841"/>
    </row>
    <row r="55" spans="1:16" ht="24" customHeight="1">
      <c r="A55" s="2944" t="s">
        <v>1855</v>
      </c>
      <c r="B55" s="3034"/>
      <c r="C55" s="3034"/>
      <c r="D55" s="101" t="e">
        <f ca="1">IF(H55="个人住宅",0,ROUND(D45*I55,0))</f>
        <v>#REF!</v>
      </c>
      <c r="E55" s="10" t="s">
        <v>1856</v>
      </c>
      <c r="F55" s="100">
        <f>IF(H55="正常",I55,"免征")</f>
        <v>5.0000000000000001E-4</v>
      </c>
      <c r="G55" s="2257"/>
      <c r="H55" s="2254" t="s">
        <v>1857</v>
      </c>
      <c r="I55" s="102">
        <f>'数据-取费表'!E37</f>
        <v>5.0000000000000001E-4</v>
      </c>
      <c r="J55" s="1878">
        <f>IF(H59="非个人房产","",4)</f>
        <v>4</v>
      </c>
      <c r="K55" s="3058" t="str">
        <f>IF(H59="非个人房产","——","个人所得税")</f>
        <v>个人所得税</v>
      </c>
      <c r="L55" s="3058"/>
      <c r="M55" s="781" t="e">
        <f ca="1">D59</f>
        <v>#REF!</v>
      </c>
      <c r="N55" s="1881" t="str">
        <f>E59</f>
        <v>销售额×税（费）率</v>
      </c>
      <c r="O55" s="782">
        <f>F59</f>
        <v>0.01</v>
      </c>
      <c r="P55" s="1841"/>
    </row>
    <row r="56" spans="1:16" ht="24.75">
      <c r="A56" s="2944" t="s">
        <v>1858</v>
      </c>
      <c r="B56" s="3034"/>
      <c r="C56" s="3034"/>
      <c r="D56" s="101" t="e">
        <f ca="1">IF(H56="个人住宅",D57,D58)</f>
        <v>#REF!</v>
      </c>
      <c r="E56" s="10" t="s">
        <v>1859</v>
      </c>
      <c r="F56" s="100" t="str">
        <f>IF(H56="正常",F58,"免征")</f>
        <v>——</v>
      </c>
      <c r="G56" s="2259" t="s">
        <v>1860</v>
      </c>
      <c r="H56" s="2260" t="s">
        <v>1857</v>
      </c>
      <c r="I56" s="1018"/>
      <c r="J56" s="1878" t="str">
        <f>IF(项目基本情况!I6="上海银行",IF(J55="",4,J55+1),"")</f>
        <v/>
      </c>
      <c r="K56" s="3076" t="str">
        <f>IF(项目基本情况!I6="上海银行","其他处置费用","")</f>
        <v/>
      </c>
      <c r="L56" s="3077"/>
      <c r="M56" s="778" t="str">
        <f>IF(项目基本情况!I6="上海银行",M69,"")</f>
        <v/>
      </c>
      <c r="N56" s="3089" t="str">
        <f>IF(项目基本情况!I6="上海银行","包含处置中涉及的律师、诉讼、拍卖、评估等费用","")</f>
        <v/>
      </c>
      <c r="O56" s="3090"/>
      <c r="P56" s="1841"/>
    </row>
    <row r="57" spans="1:16" ht="12.75">
      <c r="A57" s="99" t="s">
        <v>1833</v>
      </c>
      <c r="B57" s="3024" t="s">
        <v>1861</v>
      </c>
      <c r="C57" s="3035"/>
      <c r="D57" s="103">
        <v>0</v>
      </c>
      <c r="E57" s="13" t="s">
        <v>1835</v>
      </c>
      <c r="F57" s="70"/>
      <c r="G57" s="2257"/>
      <c r="H57" s="1018"/>
      <c r="I57" s="1018"/>
      <c r="J57" s="3058">
        <f>IF(AND(J55="",J56=""),4,IF(项目基本情况!I6="上海银行",J56+1,J55+1))</f>
        <v>5</v>
      </c>
      <c r="K57" s="3058" t="s">
        <v>1862</v>
      </c>
      <c r="L57" s="2261" t="s">
        <v>1863</v>
      </c>
      <c r="M57" s="783"/>
      <c r="N57" s="784">
        <f ca="1">SUMIF(M52:M56,"&lt;9e307")</f>
        <v>0</v>
      </c>
      <c r="O57" s="2262"/>
      <c r="P57" s="1837" t="e">
        <f ca="1">N57/M49</f>
        <v>#VALUE!</v>
      </c>
    </row>
    <row r="58" spans="1:16" ht="24.75">
      <c r="A58" s="99" t="s">
        <v>1844</v>
      </c>
      <c r="B58" s="3024" t="s">
        <v>1864</v>
      </c>
      <c r="C58" s="3025"/>
      <c r="D58" s="101" t="e">
        <f ca="1">IF(H58="转让取得",C81,C97)</f>
        <v>#REF!</v>
      </c>
      <c r="E58" s="10" t="s">
        <v>1859</v>
      </c>
      <c r="F58" s="14" t="s">
        <v>48</v>
      </c>
      <c r="G58" s="2257"/>
      <c r="H58" s="2260" t="s">
        <v>1865</v>
      </c>
      <c r="I58" s="1018"/>
      <c r="J58" s="3058"/>
      <c r="K58" s="3058"/>
      <c r="L58" s="2261" t="s">
        <v>1866</v>
      </c>
      <c r="M58" s="785"/>
      <c r="N58" s="2263" t="str">
        <f ca="1">IF(H19="元",NUMBERSTRING(INT(N57),2)&amp;"元整",NUMBERSTRING(INT(N57*10000),2)&amp;"元整")</f>
        <v>零元整</v>
      </c>
      <c r="O58" s="2264"/>
      <c r="P58" s="1841"/>
    </row>
    <row r="59" spans="1:16" ht="26.25" thickBot="1">
      <c r="A59" s="2945" t="s">
        <v>1867</v>
      </c>
      <c r="B59" s="2948"/>
      <c r="C59" s="2948"/>
      <c r="D59" s="104" t="e">
        <f ca="1">IF(H59="非个人房产","——",IF(H59="个人住宅",0,ROUND(D45*I59,0)))</f>
        <v>#REF!</v>
      </c>
      <c r="E59" s="105" t="str">
        <f>IF(H59="非个人房产","——","销售额×税（费）率")</f>
        <v>销售额×税（费）率</v>
      </c>
      <c r="F59" s="106">
        <f>IF(H59="非个人房产","——",IF(H59="个人住宅","免征",I59))</f>
        <v>0.01</v>
      </c>
      <c r="G59" s="2265" t="s">
        <v>1860</v>
      </c>
      <c r="H59" s="2260" t="s">
        <v>1868</v>
      </c>
      <c r="I59" s="107">
        <v>0.01</v>
      </c>
      <c r="J59" s="3056">
        <f>J57+1</f>
        <v>6</v>
      </c>
      <c r="K59" s="3058" t="s">
        <v>1869</v>
      </c>
      <c r="L59" s="1878" t="s">
        <v>1863</v>
      </c>
      <c r="M59" s="786"/>
      <c r="N59" s="787" t="e">
        <f ca="1">M49-N57</f>
        <v>#VALUE!</v>
      </c>
      <c r="O59" s="2266"/>
      <c r="P59" s="1841"/>
    </row>
    <row r="60" spans="1:16" ht="12" customHeight="1">
      <c r="A60" s="2062"/>
      <c r="B60" s="2190"/>
      <c r="C60" s="2190"/>
      <c r="D60" s="2190"/>
      <c r="E60" s="1018"/>
      <c r="F60" s="1018"/>
      <c r="G60" s="1018"/>
      <c r="H60" s="2243"/>
      <c r="I60" s="2190"/>
      <c r="J60" s="3057"/>
      <c r="K60" s="3058"/>
      <c r="L60" s="2261" t="s">
        <v>1866</v>
      </c>
      <c r="M60" s="785"/>
      <c r="N60" s="2263" t="e">
        <f ca="1">IF(H19="元",NUMBERSTRING(INT(N59),2)&amp;"元整",NUMBERSTRING(INT(N59*10000),2)&amp;"元整")</f>
        <v>#VALUE!</v>
      </c>
      <c r="O60" s="2264"/>
      <c r="P60" s="1841"/>
    </row>
    <row r="61" spans="1:16" ht="13.5" thickBot="1">
      <c r="A61" s="3039" t="s">
        <v>1870</v>
      </c>
      <c r="B61" s="3039"/>
      <c r="C61" s="3039"/>
      <c r="D61" s="3039"/>
      <c r="E61" s="3039"/>
      <c r="F61" s="1018"/>
      <c r="G61" s="1018"/>
      <c r="H61" s="2243"/>
      <c r="I61" s="2190"/>
      <c r="J61" s="1878">
        <f>J59+1</f>
        <v>7</v>
      </c>
      <c r="K61" s="3058" t="s">
        <v>1871</v>
      </c>
      <c r="L61" s="3058"/>
      <c r="M61" s="788"/>
      <c r="N61" s="789" t="e">
        <f ca="1">IF(H19="元",ROUND(N59/项目基本情况!C12,0),ROUND(N59*10000/项目基本情况!C12,0))</f>
        <v>#VALUE!</v>
      </c>
      <c r="O61" s="2267"/>
      <c r="P61" s="1841"/>
    </row>
    <row r="62" spans="1:16" ht="12.75">
      <c r="A62" s="3046" t="s">
        <v>1872</v>
      </c>
      <c r="B62" s="3047"/>
      <c r="C62" s="1880"/>
      <c r="D62" s="1880" t="s">
        <v>1873</v>
      </c>
      <c r="E62" s="108" t="s">
        <v>1874</v>
      </c>
      <c r="F62" s="1018"/>
      <c r="G62" s="1018"/>
      <c r="H62" s="2243"/>
      <c r="I62" s="2190"/>
      <c r="J62" s="1841"/>
      <c r="K62" s="1841"/>
      <c r="L62" s="1841"/>
      <c r="M62" s="1841"/>
      <c r="N62" s="1841"/>
      <c r="O62" s="1841"/>
      <c r="P62" s="1841"/>
    </row>
    <row r="63" spans="1:16" ht="12.75">
      <c r="A63" s="109">
        <v>1</v>
      </c>
      <c r="B63" s="110" t="s">
        <v>1875</v>
      </c>
      <c r="C63" s="111" t="e">
        <f ca="1">ROUND((C64+C65)/(1+'数据-取费表'!F30),0)</f>
        <v>#REF!</v>
      </c>
      <c r="D63" s="112"/>
      <c r="E63" s="113"/>
      <c r="F63" s="1018"/>
      <c r="G63" s="1018"/>
      <c r="H63" s="2243"/>
      <c r="I63" s="2190"/>
      <c r="J63" s="3078" t="s">
        <v>1876</v>
      </c>
      <c r="K63" s="2268" t="s">
        <v>1877</v>
      </c>
      <c r="L63" s="1840" t="e">
        <f>IF(M49&gt;10000,M49*0.5%,IF(AND(M49&gt;1000,M49&lt;=10000),M49*1%,IF(AND(M49&gt;100,M49&lt;=1000),M49*3%,IF(AND(M49&gt;10,M49&lt;=100),M49*5%,M49*8%))))</f>
        <v>#VALUE!</v>
      </c>
      <c r="M63" s="14" t="e">
        <f>ROUND(L63,1)</f>
        <v>#VALUE!</v>
      </c>
      <c r="N63" s="1841"/>
      <c r="O63" s="1841"/>
      <c r="P63" s="1841"/>
    </row>
    <row r="64" spans="1:16" ht="12.75">
      <c r="A64" s="114" t="s">
        <v>71</v>
      </c>
      <c r="B64" s="115" t="s">
        <v>1878</v>
      </c>
      <c r="C64" s="116" t="e">
        <f ca="1">D45</f>
        <v>#REF!</v>
      </c>
      <c r="D64" s="117" t="s">
        <v>41</v>
      </c>
      <c r="E64" s="118"/>
      <c r="F64" s="1018"/>
      <c r="G64" s="1018"/>
      <c r="H64" s="2243"/>
      <c r="I64" s="2190"/>
      <c r="J64" s="3078"/>
      <c r="K64" s="2268" t="s">
        <v>1879</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1880</v>
      </c>
      <c r="O64" s="1841"/>
      <c r="P64" s="1841"/>
    </row>
    <row r="65" spans="1:35" ht="12.75">
      <c r="A65" s="114" t="s">
        <v>72</v>
      </c>
      <c r="B65" s="115" t="s">
        <v>1881</v>
      </c>
      <c r="C65" s="119"/>
      <c r="D65" s="117"/>
      <c r="E65" s="118"/>
      <c r="F65" s="1018"/>
      <c r="G65" s="1018"/>
      <c r="H65" s="2243"/>
      <c r="I65" s="2190"/>
      <c r="J65" s="3078"/>
      <c r="K65" s="2268" t="s">
        <v>1882</v>
      </c>
      <c r="L65" s="1840" t="e">
        <f>IF(M49&gt;1000,M49*0.1%,IF(AND(M49&gt;500,M49&lt;=1000),M49*0.5%,IF(AND(M49&gt;50,M49&lt;=500),M49*1%,IF(AND(M49&gt;1,M49&lt;=50),M49*1.5%))))</f>
        <v>#VALUE!</v>
      </c>
      <c r="M65" s="14" t="e">
        <f t="shared" si="2"/>
        <v>#VALUE!</v>
      </c>
      <c r="N65" s="1841" t="s">
        <v>1880</v>
      </c>
      <c r="O65" s="1841"/>
      <c r="P65" s="1841"/>
    </row>
    <row r="66" spans="1:35" ht="12.75">
      <c r="A66" s="120" t="s">
        <v>47</v>
      </c>
      <c r="B66" s="121" t="s">
        <v>1883</v>
      </c>
      <c r="C66" s="122"/>
      <c r="D66" s="123" t="s">
        <v>41</v>
      </c>
      <c r="E66" s="1857" t="s">
        <v>1884</v>
      </c>
      <c r="F66" s="1018"/>
      <c r="G66" s="1018"/>
      <c r="H66" s="2243"/>
      <c r="I66" s="2190"/>
      <c r="J66" s="3078"/>
      <c r="K66" s="2268" t="s">
        <v>1885</v>
      </c>
      <c r="L66" s="1840" t="e">
        <f>M49*0.5%</f>
        <v>#VALUE!</v>
      </c>
      <c r="M66" s="14" t="e">
        <f>IF(L66&gt;0.5,0.5,ROUND(L66,0))</f>
        <v>#VALUE!</v>
      </c>
      <c r="N66" s="1841" t="s">
        <v>1886</v>
      </c>
      <c r="O66" s="1841"/>
      <c r="P66" s="1841"/>
    </row>
    <row r="67" spans="1:35" ht="12.75">
      <c r="A67" s="120" t="s">
        <v>42</v>
      </c>
      <c r="B67" s="121" t="s">
        <v>1887</v>
      </c>
      <c r="C67" s="124" t="e">
        <f ca="1">C63-C66</f>
        <v>#REF!</v>
      </c>
      <c r="D67" s="117" t="s">
        <v>41</v>
      </c>
      <c r="E67" s="118"/>
      <c r="F67" s="1018"/>
      <c r="G67" s="1018"/>
      <c r="H67" s="2243"/>
      <c r="I67" s="2190"/>
      <c r="J67" s="3078"/>
      <c r="K67" s="2268" t="s">
        <v>1888</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1889</v>
      </c>
      <c r="C68" s="127" t="e">
        <f ca="1">IF(C67&lt;=0,0,ROUND(C67*D68,0))</f>
        <v>#REF!</v>
      </c>
      <c r="D68" s="128">
        <f>'数据-取费表'!E29</f>
        <v>5.6000000000000001E-2</v>
      </c>
      <c r="E68" s="129"/>
      <c r="F68" s="1018"/>
      <c r="G68" s="1018"/>
      <c r="H68" s="2243"/>
      <c r="I68" s="2190"/>
      <c r="J68" s="3078"/>
      <c r="K68" s="2268" t="s">
        <v>1890</v>
      </c>
      <c r="L68" s="1840" t="e">
        <f>IF(M49&gt;10000,M49*0.5%,IF(AND(M49&gt;5000,M49&lt;=10000),M49*1%,IF(AND(M49&gt;1000,M49&lt;=5000),M49*2%,IF(AND(M49&gt;200,M49&lt;=1000),M49*3%,M49*5%))))</f>
        <v>#VALUE!</v>
      </c>
      <c r="M68" s="14" t="e">
        <f>ROUND(L68,1)</f>
        <v>#VALUE!</v>
      </c>
      <c r="N68" s="1841"/>
      <c r="O68" s="1841"/>
      <c r="P68" s="1841"/>
    </row>
    <row r="69" spans="1:35" s="2217" customFormat="1" ht="7.5" customHeight="1">
      <c r="A69" s="2269"/>
      <c r="B69" s="2270"/>
      <c r="C69" s="2271"/>
      <c r="D69" s="2272"/>
      <c r="E69" s="2273"/>
      <c r="F69" s="1018"/>
      <c r="G69" s="1018"/>
      <c r="H69" s="2243"/>
      <c r="I69" s="2190"/>
      <c r="J69" s="3078"/>
      <c r="K69" s="2268" t="s">
        <v>1891</v>
      </c>
      <c r="L69" s="2274"/>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6" customFormat="1" ht="15" thickBot="1">
      <c r="A70" s="3050" t="s">
        <v>1892</v>
      </c>
      <c r="B70" s="3051"/>
      <c r="C70" s="3051"/>
      <c r="D70" s="3051"/>
      <c r="E70" s="3051"/>
      <c r="F70" s="3051"/>
      <c r="G70" s="3051"/>
      <c r="H70" s="3051"/>
      <c r="I70" s="2275"/>
      <c r="O70" s="1282"/>
      <c r="P70" s="1282"/>
      <c r="Q70" s="1282"/>
      <c r="R70" s="1282"/>
      <c r="S70" s="1282"/>
      <c r="T70" s="1282"/>
      <c r="U70" s="1282"/>
      <c r="V70" s="1282"/>
      <c r="W70" s="1282"/>
      <c r="X70" s="1282"/>
      <c r="Y70" s="1282"/>
      <c r="Z70" s="1282"/>
      <c r="AA70" s="2277"/>
      <c r="AB70" s="2277"/>
      <c r="AC70" s="2277"/>
      <c r="AD70" s="2277"/>
      <c r="AE70" s="2277"/>
      <c r="AF70" s="2277"/>
      <c r="AG70" s="2277"/>
      <c r="AH70" s="2277"/>
      <c r="AI70" s="2277"/>
    </row>
    <row r="71" spans="1:35" s="2276" customFormat="1" ht="14.25">
      <c r="A71" s="3046" t="s">
        <v>1872</v>
      </c>
      <c r="B71" s="3047"/>
      <c r="C71" s="1880"/>
      <c r="D71" s="1880" t="s">
        <v>1873</v>
      </c>
      <c r="E71" s="130" t="s">
        <v>1874</v>
      </c>
      <c r="F71" s="131"/>
      <c r="G71" s="131"/>
      <c r="H71" s="132"/>
      <c r="I71" s="2278"/>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133">
        <v>1</v>
      </c>
      <c r="B72" s="121" t="s">
        <v>1893</v>
      </c>
      <c r="C72" s="124" t="e">
        <f ca="1">ROUND(D45/(1+'数据-取费表'!F30),0)</f>
        <v>#REF!</v>
      </c>
      <c r="D72" s="117" t="s">
        <v>41</v>
      </c>
      <c r="E72" s="12" t="s">
        <v>1894</v>
      </c>
      <c r="F72" s="1884"/>
      <c r="G72" s="1884"/>
      <c r="H72" s="134"/>
      <c r="I72" s="2278"/>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5">
        <v>2</v>
      </c>
      <c r="B73" s="89" t="s">
        <v>1895</v>
      </c>
      <c r="C73" s="124" t="e">
        <f ca="1">C74+C78</f>
        <v>#REF!</v>
      </c>
      <c r="D73" s="117" t="s">
        <v>41</v>
      </c>
      <c r="E73" s="1883"/>
      <c r="F73" s="1884"/>
      <c r="G73" s="1884"/>
      <c r="H73" s="134"/>
      <c r="I73" s="2278"/>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24">
      <c r="A74" s="136" t="s">
        <v>73</v>
      </c>
      <c r="B74" s="115" t="s">
        <v>1896</v>
      </c>
      <c r="C74" s="117">
        <f>ROUND(IF(G77="2016年5月1日后购买",C75/(1+'数据-取费表'!F30)+C76+C77,C75+C76+C77),0)</f>
        <v>0</v>
      </c>
      <c r="D74" s="117" t="s">
        <v>41</v>
      </c>
      <c r="E74" s="1883"/>
      <c r="F74" s="1884"/>
      <c r="G74" s="1884"/>
      <c r="H74" s="134"/>
      <c r="I74" s="2278"/>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74</v>
      </c>
      <c r="B75" s="115" t="s">
        <v>1897</v>
      </c>
      <c r="C75" s="137"/>
      <c r="D75" s="117" t="s">
        <v>41</v>
      </c>
      <c r="E75" s="138" t="s">
        <v>1898</v>
      </c>
      <c r="F75" s="2279" t="s">
        <v>1899</v>
      </c>
      <c r="G75" s="138" t="s">
        <v>1900</v>
      </c>
      <c r="H75" s="139"/>
      <c r="I75" s="9"/>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24.75" customHeight="1">
      <c r="A76" s="136" t="s">
        <v>75</v>
      </c>
      <c r="B76" s="140" t="s">
        <v>1901</v>
      </c>
      <c r="C76" s="117">
        <f>IF(F75="购房发票",ROUND(C75*H75*D76,0),0)</f>
        <v>0</v>
      </c>
      <c r="D76" s="141">
        <v>0.05</v>
      </c>
      <c r="E76" s="3027" t="s">
        <v>1902</v>
      </c>
      <c r="F76" s="3026"/>
      <c r="G76" s="3026"/>
      <c r="H76" s="3041"/>
      <c r="I76" s="2278"/>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80" t="s">
        <v>1905</v>
      </c>
      <c r="H77" s="1885" t="str">
        <f>IF(G77="个人买卖住房","免征印花税"," ")</f>
        <v xml:space="preserve"> </v>
      </c>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77</v>
      </c>
      <c r="B78" s="115" t="s">
        <v>1906</v>
      </c>
      <c r="C78" s="144" t="e">
        <f ca="1">ROUND(D45*D78/(1+'数据-取费表'!F30),0)</f>
        <v>#REF!</v>
      </c>
      <c r="D78" s="145">
        <f>'数据-取费表'!E31</f>
        <v>6.000000000000001E-3</v>
      </c>
      <c r="E78" s="3018" t="s">
        <v>1907</v>
      </c>
      <c r="F78" s="3019"/>
      <c r="G78" s="3019"/>
      <c r="H78" s="3020"/>
      <c r="I78" s="2281"/>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14.25">
      <c r="A79" s="146" t="s">
        <v>42</v>
      </c>
      <c r="B79" s="121" t="s">
        <v>1908</v>
      </c>
      <c r="C79" s="124" t="e">
        <f ca="1">C72-C73</f>
        <v>#REF!</v>
      </c>
      <c r="D79" s="117" t="s">
        <v>41</v>
      </c>
      <c r="E79" s="1883"/>
      <c r="F79" s="1884"/>
      <c r="G79" s="1884"/>
      <c r="H79" s="134"/>
      <c r="I79" s="2278"/>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24">
      <c r="A80" s="146" t="s">
        <v>43</v>
      </c>
      <c r="B80" s="121" t="s">
        <v>1909</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24.75" thickBot="1">
      <c r="A81" s="148" t="s">
        <v>44</v>
      </c>
      <c r="B81" s="126" t="s">
        <v>1910</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15" thickBot="1">
      <c r="A83" s="3050" t="s">
        <v>1911</v>
      </c>
      <c r="B83" s="3051"/>
      <c r="C83" s="3051"/>
      <c r="D83" s="3051"/>
      <c r="E83" s="3051"/>
      <c r="F83" s="3051"/>
      <c r="G83" s="3051"/>
      <c r="H83" s="3051"/>
      <c r="I83" s="9"/>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4.25">
      <c r="A84" s="3046" t="s">
        <v>1872</v>
      </c>
      <c r="B84" s="3047"/>
      <c r="C84" s="1880"/>
      <c r="D84" s="1880" t="s">
        <v>1873</v>
      </c>
      <c r="E84" s="130" t="s">
        <v>1874</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24">
      <c r="A85" s="133">
        <v>1</v>
      </c>
      <c r="B85" s="121" t="s">
        <v>1893</v>
      </c>
      <c r="C85" s="124" t="e">
        <f ca="1">ROUND(D45/(1+'数据-取费表'!F30),0)</f>
        <v>#REF!</v>
      </c>
      <c r="D85" s="117" t="s">
        <v>41</v>
      </c>
      <c r="E85" s="1883" t="s">
        <v>1894</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5">
        <v>2</v>
      </c>
      <c r="B86" s="89" t="s">
        <v>1895</v>
      </c>
      <c r="C86" s="124" t="e">
        <f ca="1">IF(H88="仅含出让金",C87+C90+C91+C92+C93+C94,C87+C91+C92+C93+C94)</f>
        <v>#REF!</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6" t="s">
        <v>73</v>
      </c>
      <c r="B87" s="115" t="s">
        <v>1912</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74</v>
      </c>
      <c r="B88" s="115" t="s">
        <v>1913</v>
      </c>
      <c r="C88" s="157"/>
      <c r="D88" s="145"/>
      <c r="E88" s="158" t="s">
        <v>1914</v>
      </c>
      <c r="F88" s="1877"/>
      <c r="G88" s="159" t="s">
        <v>1915</v>
      </c>
      <c r="H88" s="2282"/>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75</v>
      </c>
      <c r="B89" s="115" t="s">
        <v>1903</v>
      </c>
      <c r="C89" s="144">
        <f>ROUND(C88*D89,0)</f>
        <v>0</v>
      </c>
      <c r="D89" s="145">
        <f>'数据-取费表'!E36+'数据-取费表'!E37</f>
        <v>3.0499999999999999E-2</v>
      </c>
      <c r="E89" s="158" t="s">
        <v>1916</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77</v>
      </c>
      <c r="B90" s="115" t="s">
        <v>1917</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30.75" customHeight="1">
      <c r="A91" s="136" t="s">
        <v>78</v>
      </c>
      <c r="B91" s="115" t="s">
        <v>1918</v>
      </c>
      <c r="C91" s="144">
        <f>IF(H91="——",成本法!C33,I91)</f>
        <v>0</v>
      </c>
      <c r="D91" s="145"/>
      <c r="E91" s="3018" t="s">
        <v>1919</v>
      </c>
      <c r="F91" s="3019"/>
      <c r="G91" s="3019"/>
      <c r="H91" s="2283" t="s">
        <v>1920</v>
      </c>
      <c r="I91" s="2284"/>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25.5" customHeight="1">
      <c r="A92" s="136" t="s">
        <v>79</v>
      </c>
      <c r="B92" s="115" t="s">
        <v>1921</v>
      </c>
      <c r="C92" s="144">
        <f>ROUND((C87+C90+C91)*D92,0)</f>
        <v>0</v>
      </c>
      <c r="D92" s="145">
        <v>0.1</v>
      </c>
      <c r="E92" s="3018" t="s">
        <v>1922</v>
      </c>
      <c r="F92" s="3019"/>
      <c r="G92" s="3019"/>
      <c r="H92" s="3020"/>
      <c r="I92" s="9"/>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80</v>
      </c>
      <c r="B93" s="115" t="s">
        <v>1906</v>
      </c>
      <c r="C93" s="144" t="e">
        <f ca="1">ROUND(D45*D93/(1+'数据-取费表'!F30),0)</f>
        <v>#REF!</v>
      </c>
      <c r="D93" s="145">
        <f>'数据-取费表'!E31</f>
        <v>6.000000000000001E-3</v>
      </c>
      <c r="E93" s="3018" t="s">
        <v>1907</v>
      </c>
      <c r="F93" s="3019"/>
      <c r="G93" s="3019"/>
      <c r="H93" s="3020"/>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81</v>
      </c>
      <c r="B94" s="115" t="s">
        <v>1923</v>
      </c>
      <c r="C94" s="144">
        <f>ROUND((C87+C90+C91)*D94,0)</f>
        <v>0</v>
      </c>
      <c r="D94" s="145">
        <v>0.2</v>
      </c>
      <c r="E94" s="3018" t="s">
        <v>1924</v>
      </c>
      <c r="F94" s="3019"/>
      <c r="G94" s="3019"/>
      <c r="H94" s="3020"/>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14.25">
      <c r="A95" s="146" t="s">
        <v>42</v>
      </c>
      <c r="B95" s="121" t="s">
        <v>1908</v>
      </c>
      <c r="C95" s="124" t="e">
        <f ca="1">ROUND(C85-C86,0)</f>
        <v>#REF!</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24">
      <c r="A96" s="146" t="s">
        <v>43</v>
      </c>
      <c r="B96" s="121" t="s">
        <v>1909</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24.75" thickBot="1">
      <c r="A97" s="148" t="s">
        <v>44</v>
      </c>
      <c r="B97" s="126" t="s">
        <v>1910</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ht="21.75" customHeight="1" thickBot="1">
      <c r="A98" s="2246" t="s">
        <v>1925</v>
      </c>
      <c r="B98" s="2190"/>
      <c r="C98" s="2190"/>
      <c r="D98" s="2190"/>
      <c r="E98" s="1018"/>
      <c r="F98" s="1018"/>
      <c r="G98" s="1018"/>
      <c r="H98" s="2243"/>
      <c r="I98" s="2190"/>
    </row>
    <row r="99" spans="1:35" ht="15.75">
      <c r="A99" s="3073" t="s">
        <v>1926</v>
      </c>
      <c r="B99" s="3074"/>
      <c r="C99" s="3074"/>
      <c r="D99" s="3075"/>
      <c r="E99" s="2190"/>
      <c r="F99" s="3084" t="s">
        <v>1927</v>
      </c>
      <c r="G99" s="3085"/>
      <c r="H99" s="3085"/>
      <c r="I99" s="3086"/>
    </row>
    <row r="100" spans="1:35" ht="15.75">
      <c r="A100" s="3087" t="s">
        <v>1928</v>
      </c>
      <c r="B100" s="3088"/>
      <c r="C100" s="720">
        <f>C4</f>
        <v>0</v>
      </c>
      <c r="D100" s="721">
        <f>D4</f>
        <v>0</v>
      </c>
      <c r="E100" s="2190"/>
      <c r="F100" s="2983" t="s">
        <v>1929</v>
      </c>
      <c r="G100" s="2984"/>
      <c r="H100" s="2983" t="s">
        <v>1930</v>
      </c>
      <c r="I100" s="2982"/>
    </row>
    <row r="101" spans="1:35" ht="15.75">
      <c r="A101" s="3065" t="s">
        <v>1931</v>
      </c>
      <c r="B101" s="2285" t="str">
        <f>IF(H19="元","总价（元）","总价（万元）")</f>
        <v>总价（元）</v>
      </c>
      <c r="C101" s="720" t="e">
        <f ca="1">C19</f>
        <v>#REF!</v>
      </c>
      <c r="D101" s="721" t="e">
        <f ca="1">D19</f>
        <v>#REF!</v>
      </c>
      <c r="E101" s="2190"/>
      <c r="F101" s="2983" t="str">
        <f>项目基本情况!I1</f>
        <v>北京市房地产</v>
      </c>
      <c r="G101" s="2984"/>
      <c r="H101" s="2981">
        <f>项目基本情况!C12</f>
        <v>392.22</v>
      </c>
      <c r="I101" s="2982"/>
    </row>
    <row r="102" spans="1:35" ht="15.75">
      <c r="A102" s="3065"/>
      <c r="B102" s="2285" t="s">
        <v>1932</v>
      </c>
      <c r="C102" s="722" t="e">
        <f ca="1">C20</f>
        <v>#REF!</v>
      </c>
      <c r="D102" s="723" t="e">
        <f ca="1">D20</f>
        <v>#REF!</v>
      </c>
      <c r="E102" s="2190"/>
      <c r="F102" s="3010" t="s">
        <v>1933</v>
      </c>
      <c r="G102" s="3011"/>
      <c r="H102" s="2286" t="str">
        <f>C106</f>
        <v>总价（元）</v>
      </c>
      <c r="I102" s="1858" t="e">
        <f ca="1">H121</f>
        <v>#REF!</v>
      </c>
    </row>
    <row r="103" spans="1:35" ht="15">
      <c r="A103" s="3065" t="s">
        <v>1934</v>
      </c>
      <c r="B103" s="2287" t="str">
        <f>B101</f>
        <v>总价（元）</v>
      </c>
      <c r="C103" s="724" t="e">
        <f ca="1">H121</f>
        <v>#REF!</v>
      </c>
      <c r="D103" s="725"/>
      <c r="E103" s="2190"/>
      <c r="F103" s="3010"/>
      <c r="G103" s="3011"/>
      <c r="H103" s="2286" t="s">
        <v>1932</v>
      </c>
      <c r="I103" s="1046" t="e">
        <f ca="1">I121</f>
        <v>#REF!</v>
      </c>
    </row>
    <row r="104" spans="1:35" ht="16.5" thickBot="1">
      <c r="A104" s="3066"/>
      <c r="B104" s="2288" t="s">
        <v>1932</v>
      </c>
      <c r="C104" s="726" t="e">
        <f ca="1">I121</f>
        <v>#REF!</v>
      </c>
      <c r="D104" s="727"/>
      <c r="E104" s="2190"/>
      <c r="F104" s="3082"/>
      <c r="G104" s="3083"/>
      <c r="H104" s="3067"/>
      <c r="I104" s="3068"/>
    </row>
    <row r="105" spans="1:35" ht="15.75">
      <c r="A105" s="3073" t="s">
        <v>1935</v>
      </c>
      <c r="B105" s="3074"/>
      <c r="C105" s="3074"/>
      <c r="D105" s="3075"/>
      <c r="E105" s="2190"/>
      <c r="F105" s="3071" t="s">
        <v>1936</v>
      </c>
      <c r="G105" s="3072"/>
      <c r="H105" s="2289" t="str">
        <f>C108</f>
        <v>总额（元）</v>
      </c>
      <c r="I105" s="1858">
        <f>SUMIF(I106:I108,"&lt;9E307")</f>
        <v>0</v>
      </c>
    </row>
    <row r="106" spans="1:35" ht="15">
      <c r="A106" s="2997" t="s">
        <v>1937</v>
      </c>
      <c r="B106" s="2998"/>
      <c r="C106" s="2286" t="str">
        <f>B101</f>
        <v>总价（元）</v>
      </c>
      <c r="D106" s="1047" t="e">
        <f ca="1">H121</f>
        <v>#REF!</v>
      </c>
      <c r="E106" s="2190"/>
      <c r="F106" s="2999" t="s">
        <v>1938</v>
      </c>
      <c r="G106" s="3000"/>
      <c r="H106" s="2289" t="str">
        <f>C109</f>
        <v>总额（元）</v>
      </c>
      <c r="I106" s="1046">
        <f>IF(D36="同一抵押权人同一抵押物续贷",C36&amp;"（未扣减，详见特别提示）",C36)</f>
        <v>0</v>
      </c>
      <c r="K106" s="2200" t="str">
        <f>IF(D123=0,"本次评估不存在"&amp;A123&amp;"。","本次评估"&amp;A123&amp;"为"&amp;D123&amp;"元人民币。")</f>
        <v>本次评估不存在——。</v>
      </c>
    </row>
    <row r="107" spans="1:35" ht="15">
      <c r="A107" s="2997"/>
      <c r="B107" s="2998"/>
      <c r="C107" s="2286" t="s">
        <v>1932</v>
      </c>
      <c r="D107" s="1048" t="e">
        <f ca="1">I121</f>
        <v>#REF!</v>
      </c>
      <c r="E107" s="2190"/>
      <c r="F107" s="2999" t="s">
        <v>1939</v>
      </c>
      <c r="G107" s="3000"/>
      <c r="H107" s="2289" t="str">
        <f>C110</f>
        <v>总额（元）</v>
      </c>
      <c r="I107" s="1046">
        <f>C37</f>
        <v>0</v>
      </c>
      <c r="K107" s="2290"/>
    </row>
    <row r="108" spans="1:35" ht="15">
      <c r="A108" s="3004" t="s">
        <v>1940</v>
      </c>
      <c r="B108" s="3005"/>
      <c r="C108" s="2289" t="str">
        <f>IF(H19="元","总额（元）","总额（万元）")</f>
        <v>总额（元）</v>
      </c>
      <c r="D108" s="1047">
        <f>IF(D36="正常操作",I106+I107+I108,I107+I108)</f>
        <v>0</v>
      </c>
      <c r="E108" s="2190"/>
      <c r="F108" s="2999" t="s">
        <v>1941</v>
      </c>
      <c r="G108" s="3000"/>
      <c r="H108" s="2289" t="str">
        <f>C111</f>
        <v>总额（元）</v>
      </c>
      <c r="I108" s="1046">
        <f>C38</f>
        <v>0</v>
      </c>
    </row>
    <row r="109" spans="1:35" ht="15.75">
      <c r="A109" s="2999" t="s">
        <v>1938</v>
      </c>
      <c r="B109" s="3000"/>
      <c r="C109" s="2289" t="str">
        <f>C108</f>
        <v>总额（元）</v>
      </c>
      <c r="D109" s="637">
        <f>IF(D36="同一抵押权人同一抵押物续贷",C36&amp;"（未扣减，详见特别提示）",C36)</f>
        <v>0</v>
      </c>
      <c r="E109" s="2190"/>
      <c r="F109" s="3082"/>
      <c r="G109" s="3083"/>
      <c r="H109" s="3069"/>
      <c r="I109" s="3070"/>
    </row>
    <row r="110" spans="1:35" ht="28.5" customHeight="1">
      <c r="A110" s="2999" t="s">
        <v>1939</v>
      </c>
      <c r="B110" s="3000"/>
      <c r="C110" s="2289" t="str">
        <f>C108</f>
        <v>总额（元）</v>
      </c>
      <c r="D110" s="637">
        <f>C37</f>
        <v>0</v>
      </c>
      <c r="E110" s="2190"/>
      <c r="F110" s="2985" t="str">
        <f>IF(项目基本情况!F5="已注销","——","3.房地产抵押价值")</f>
        <v>3.房地产抵押价值</v>
      </c>
      <c r="G110" s="2986"/>
      <c r="H110" s="2291" t="str">
        <f>C112</f>
        <v>总价（元）</v>
      </c>
      <c r="I110" s="1859" t="e">
        <f ca="1">IF(F110="——","——",I102-I105)</f>
        <v>#REF!</v>
      </c>
    </row>
    <row r="111" spans="1:35" ht="15">
      <c r="A111" s="2999" t="s">
        <v>1941</v>
      </c>
      <c r="B111" s="3000"/>
      <c r="C111" s="2289" t="str">
        <f>C108</f>
        <v>总额（元）</v>
      </c>
      <c r="D111" s="637">
        <f>C38</f>
        <v>0</v>
      </c>
      <c r="E111" s="2190"/>
      <c r="F111" s="3101"/>
      <c r="G111" s="3102"/>
      <c r="H111" s="2286" t="s">
        <v>1932</v>
      </c>
      <c r="I111" s="2292" t="e">
        <f ca="1">D113</f>
        <v>#REF!</v>
      </c>
    </row>
    <row r="112" spans="1:35" ht="26.25" customHeight="1">
      <c r="A112" s="2997" t="str">
        <f>IF(项目基本情况!F5="已注销","——","3.房地产抵押价值")</f>
        <v>3.房地产抵押价值</v>
      </c>
      <c r="B112" s="2998"/>
      <c r="C112" s="2286" t="str">
        <f>B101</f>
        <v>总价（元）</v>
      </c>
      <c r="D112" s="1047" t="e">
        <f ca="1">IF(A112="——","——",D106-D108)</f>
        <v>#REF!</v>
      </c>
      <c r="E112" s="2190"/>
      <c r="F112" s="2985" t="str">
        <f>IF(项目基本情况!F5="已注销及未注销","4.抵押担保权已注销时的房地产抵押价值",IF(项目基本情况!F5="已注销","3.抵押担保权已注销时的房地产抵押价值","——"))</f>
        <v>——</v>
      </c>
      <c r="G112" s="2986"/>
      <c r="H112" s="2291" t="str">
        <f>C114</f>
        <v>总价（元）</v>
      </c>
      <c r="I112" s="1859" t="str">
        <f>IF(F112="——","——",I102-I107-I108)</f>
        <v>——</v>
      </c>
    </row>
    <row r="113" spans="1:15" ht="15">
      <c r="A113" s="2997"/>
      <c r="B113" s="2998"/>
      <c r="C113" s="2286" t="s">
        <v>1932</v>
      </c>
      <c r="D113" s="1048" t="e">
        <f ca="1">ROUND(IF(D112=D106,D107,IF(H19="元",D112/项目基本情况!C12,D112*10000/项目基本情况!C12)),0)</f>
        <v>#REF!</v>
      </c>
      <c r="E113" s="2190"/>
      <c r="F113" s="3101"/>
      <c r="G113" s="3102"/>
      <c r="H113" s="2286" t="s">
        <v>1932</v>
      </c>
      <c r="I113" s="2293" t="str">
        <f>D115</f>
        <v>——</v>
      </c>
    </row>
    <row r="114" spans="1:15" ht="15.75">
      <c r="A114" s="2997" t="str">
        <f>IF(项目基本情况!F5="已注销及未注销","4.抵押担保权已注销时的房地产抵押价值",IF(项目基本情况!F5="已注销","3.抵押担保权已注销时的房地产抵押价值","——"))</f>
        <v>——</v>
      </c>
      <c r="B114" s="2998"/>
      <c r="C114" s="2286" t="str">
        <f>B101</f>
        <v>总价（元）</v>
      </c>
      <c r="D114" s="1047" t="str">
        <f>IF(A114="——","——",D106-D110-D111)</f>
        <v>——</v>
      </c>
      <c r="E114" s="2190"/>
      <c r="F114" s="2985" t="str">
        <f>IF(项目基本情况!G5="抵押净值",IF(OR(项目基本情况!F5="已注销",项目基本情况!F5="房地产抵押价值"),"4.抵押净值","5.抵押净值"),"——")</f>
        <v>——</v>
      </c>
      <c r="G114" s="2986"/>
      <c r="H114" s="2286" t="str">
        <f>C116</f>
        <v>总价（元）</v>
      </c>
      <c r="I114" s="1858" t="str">
        <f>IF(F114="——","——",N59)</f>
        <v>——</v>
      </c>
    </row>
    <row r="115" spans="1:15" ht="15.75" thickBot="1">
      <c r="A115" s="2997"/>
      <c r="B115" s="2998"/>
      <c r="C115" s="2286" t="s">
        <v>1932</v>
      </c>
      <c r="D115" s="1048" t="str">
        <f>IF(A114="——","——",ROUND(IF(D114=D106,D107,IF(H19="元",D114/项目基本情况!C12,D114*10000/项目基本情况!C12)),0))</f>
        <v>——</v>
      </c>
      <c r="E115" s="2190"/>
      <c r="F115" s="2987"/>
      <c r="G115" s="2988"/>
      <c r="H115" s="2294" t="s">
        <v>1932</v>
      </c>
      <c r="I115" s="1860" t="e">
        <f ca="1">D117</f>
        <v>#REF!</v>
      </c>
    </row>
    <row r="116" spans="1:15" ht="15.75">
      <c r="A116" s="2997" t="str">
        <f>IF(项目基本情况!G5="抵押净值",IF(OR(项目基本情况!F5="已注销",项目基本情况!F5="房地产抵押价值"),"4.抵押净值","5.抵押净值"),"——")</f>
        <v>——</v>
      </c>
      <c r="B116" s="2998"/>
      <c r="C116" s="2286" t="str">
        <f>B101</f>
        <v>总价（元）</v>
      </c>
      <c r="D116" s="1047" t="str">
        <f>IF(A116="——","——",N59)</f>
        <v>——</v>
      </c>
      <c r="E116" s="2190"/>
      <c r="F116" s="3097"/>
      <c r="G116" s="3097"/>
      <c r="H116" s="3053"/>
      <c r="I116" s="3053"/>
      <c r="N116" s="55"/>
      <c r="O116" s="55"/>
    </row>
    <row r="117" spans="1:15" ht="15.75" thickBot="1">
      <c r="A117" s="3002"/>
      <c r="B117" s="3003"/>
      <c r="C117" s="2294" t="s">
        <v>1932</v>
      </c>
      <c r="D117" s="1049" t="e">
        <f ca="1">IF(D116=D112,D113,IF(A116="——","——",N61))</f>
        <v>#REF!</v>
      </c>
      <c r="E117" s="2190"/>
      <c r="F117" s="2977" t="str">
        <f>IF(B32="总价","（以上估价结果中单价为总价除以建筑面积得出）","（以上估价结果中总价为楼面单价乘以建筑面积得出）")</f>
        <v>（以上估价结果中总价为楼面单价乘以建筑面积得出）</v>
      </c>
      <c r="G117" s="2977"/>
      <c r="H117" s="2977"/>
      <c r="I117" s="2977"/>
      <c r="N117" s="55"/>
      <c r="O117" s="55"/>
    </row>
    <row r="118" spans="1:15" ht="15">
      <c r="A118" s="3054" t="s">
        <v>1942</v>
      </c>
      <c r="B118" s="3055"/>
      <c r="C118" s="3055"/>
      <c r="D118" s="3055"/>
      <c r="E118" s="3055"/>
      <c r="F118" s="3055"/>
      <c r="G118" s="3055"/>
      <c r="H118" s="3055"/>
      <c r="I118" s="3055"/>
    </row>
    <row r="119" spans="1:15" ht="14.25">
      <c r="A119" s="2978" t="s">
        <v>1943</v>
      </c>
      <c r="B119" s="3008" t="s">
        <v>1944</v>
      </c>
      <c r="C119" s="3008" t="s">
        <v>1945</v>
      </c>
      <c r="D119" s="3080" t="s">
        <v>1946</v>
      </c>
      <c r="E119" s="3081"/>
      <c r="F119" s="2979" t="s">
        <v>1804</v>
      </c>
      <c r="G119" s="2979"/>
      <c r="H119" s="2979" t="s">
        <v>1947</v>
      </c>
      <c r="I119" s="3079"/>
    </row>
    <row r="120" spans="1:15" ht="14.25">
      <c r="A120" s="2978"/>
      <c r="B120" s="3009"/>
      <c r="C120" s="3009"/>
      <c r="D120" s="1882" t="s">
        <v>1948</v>
      </c>
      <c r="E120" s="1882" t="s">
        <v>1949</v>
      </c>
      <c r="F120" s="1882" t="s">
        <v>1948</v>
      </c>
      <c r="G120" s="1882" t="s">
        <v>1950</v>
      </c>
      <c r="H120" s="1882" t="s">
        <v>1948</v>
      </c>
      <c r="I120" s="637" t="s">
        <v>1950</v>
      </c>
    </row>
    <row r="121" spans="1:15" ht="14.25">
      <c r="A121" s="2176" t="str">
        <f>项目基本情况!I1</f>
        <v>北京市房地产</v>
      </c>
      <c r="B121" s="1882">
        <f>项目基本情况!C12</f>
        <v>392.22</v>
      </c>
      <c r="C121" s="1882">
        <f>项目基本情况!C13</f>
        <v>0</v>
      </c>
      <c r="D121" s="1882" t="e">
        <f ca="1">ROUND(IF(B32="总价",C34,IF('数据-取费表'!B3="万元",E121*B121/10000,E121*B121)),0)</f>
        <v>#REF!</v>
      </c>
      <c r="E121" s="1882" t="e">
        <f ca="1">ROUND(IF(B32="楼面单价",C34,IF(H19="元",D121/B121,D121*10000/B121)),0)</f>
        <v>#REF!</v>
      </c>
      <c r="F121" s="1882" t="e">
        <f ca="1">ROUND(IF(B32="总价",C35,IF('数据-取费表'!B3="万元",G121*B121/10000,G121*B121)),0)</f>
        <v>#REF!</v>
      </c>
      <c r="G121" s="1882" t="e">
        <f ca="1">ROUND(IF(B32="楼面单价",C35,IF(H19="元",F121/B121,F121*10000/B121)),0)</f>
        <v>#REF!</v>
      </c>
      <c r="H121" s="1882" t="e">
        <f ca="1">ROUND(IF(B32="总价",C32,IF('数据-取费表'!B3="万元",I121*B121/10000,I121*B121)),0)</f>
        <v>#REF!</v>
      </c>
      <c r="I121" s="637" t="e">
        <f ca="1">ROUND(IF(B32="楼面单价",C32,IF(H19="元",H121/B121,H121*10000/B121)),0)</f>
        <v>#REF!</v>
      </c>
    </row>
    <row r="122" spans="1:15" ht="14.25">
      <c r="A122" s="2978" t="s">
        <v>1951</v>
      </c>
      <c r="B122" s="2979"/>
      <c r="C122" s="2979"/>
      <c r="D122" s="3012" t="e">
        <f ca="1">IF(H19="元",NUMBERSTRING(INT(D121),2)&amp;"元整",NUMBERSTRING(INT(D121*10000),2)&amp;"元整")</f>
        <v>#REF!</v>
      </c>
      <c r="E122" s="3059"/>
      <c r="F122" s="3012" t="e">
        <f ca="1">IF(H19="元",NUMBERSTRING(INT(F121),2)&amp;"元整",NUMBERSTRING(INT(F121*10000),2)&amp;"元整")</f>
        <v>#REF!</v>
      </c>
      <c r="G122" s="3059"/>
      <c r="H122" s="3012" t="e">
        <f ca="1">IF(H19="元",NUMBERSTRING(INT(H121),2)&amp;"元整",NUMBERSTRING(INT(H121*10000),2)&amp;"元整")</f>
        <v>#REF!</v>
      </c>
      <c r="I122" s="3013"/>
    </row>
    <row r="123" spans="1:15" ht="15">
      <c r="A123" s="3060" t="str">
        <f>IF(项目基本情况!D5="房地产市场价值","——",MID(A108,3,LEN(A108)-2))</f>
        <v>——</v>
      </c>
      <c r="B123" s="2990"/>
      <c r="C123" s="3061"/>
      <c r="D123" s="2989">
        <f>I105</f>
        <v>0</v>
      </c>
      <c r="E123" s="2990"/>
      <c r="F123" s="2990"/>
      <c r="G123" s="2990"/>
      <c r="H123" s="2990"/>
      <c r="I123" s="2991"/>
    </row>
    <row r="124" spans="1:15" ht="14.25">
      <c r="A124" s="3062" t="s">
        <v>1951</v>
      </c>
      <c r="B124" s="3063"/>
      <c r="C124" s="3064"/>
      <c r="D124" s="2992">
        <f>H109</f>
        <v>0</v>
      </c>
      <c r="E124" s="2993"/>
      <c r="F124" s="2993"/>
      <c r="G124" s="2993"/>
      <c r="H124" s="2993"/>
      <c r="I124" s="2994"/>
    </row>
    <row r="125" spans="1:15" ht="15">
      <c r="A125" s="2995" t="str">
        <f>IF(项目基本情况!D5="房地产市场价值","——",MID(A112,3,LEN(A112)-2))</f>
        <v>——</v>
      </c>
      <c r="B125" s="2996"/>
      <c r="C125" s="2996"/>
      <c r="D125" s="2989" t="e">
        <f ca="1">I110</f>
        <v>#REF!</v>
      </c>
      <c r="E125" s="2990"/>
      <c r="F125" s="2990"/>
      <c r="G125" s="2990"/>
      <c r="H125" s="2990"/>
      <c r="I125" s="2991"/>
    </row>
    <row r="126" spans="1:15" ht="14.25">
      <c r="A126" s="2978" t="s">
        <v>1951</v>
      </c>
      <c r="B126" s="2979"/>
      <c r="C126" s="2979"/>
      <c r="D126" s="2992" t="e">
        <f ca="1">I111</f>
        <v>#REF!</v>
      </c>
      <c r="E126" s="2993"/>
      <c r="F126" s="2993"/>
      <c r="G126" s="2993"/>
      <c r="H126" s="2993"/>
      <c r="I126" s="2994"/>
    </row>
    <row r="127" spans="1:15" ht="15.75" thickBot="1">
      <c r="A127" s="2995" t="str">
        <f>IF(项目基本情况!D5="房地产市场价值","——",MID(A114,3,LEN(A114)-2))</f>
        <v>——</v>
      </c>
      <c r="B127" s="2996"/>
      <c r="C127" s="2996"/>
      <c r="D127" s="3094" t="str">
        <f>I112</f>
        <v>——</v>
      </c>
      <c r="E127" s="3095"/>
      <c r="F127" s="3095"/>
      <c r="G127" s="3095"/>
      <c r="H127" s="3095"/>
      <c r="I127" s="3096"/>
    </row>
    <row r="128" spans="1:15" ht="15.75" thickTop="1" thickBot="1">
      <c r="A128" s="2978" t="s">
        <v>1951</v>
      </c>
      <c r="B128" s="2979"/>
      <c r="C128" s="2980"/>
      <c r="D128" s="3052" t="str">
        <f>I113</f>
        <v>——</v>
      </c>
      <c r="E128" s="3052"/>
      <c r="F128" s="3052"/>
      <c r="G128" s="3052"/>
      <c r="H128" s="3052"/>
      <c r="I128" s="3052"/>
    </row>
    <row r="129" spans="1:9" ht="16.5" thickTop="1" thickBot="1">
      <c r="A129" s="2995" t="str">
        <f>IF(项目基本情况!D5="房地产市场价值","——",MID(F114,3,LEN(F114)-2))</f>
        <v>——</v>
      </c>
      <c r="B129" s="2996"/>
      <c r="C129" s="2989"/>
      <c r="D129" s="3001" t="str">
        <f>I114</f>
        <v>——</v>
      </c>
      <c r="E129" s="3001"/>
      <c r="F129" s="3001"/>
      <c r="G129" s="3001"/>
      <c r="H129" s="3001"/>
      <c r="I129" s="3001"/>
    </row>
    <row r="130" spans="1:9" ht="15.75" thickTop="1" thickBot="1">
      <c r="A130" s="3006" t="s">
        <v>1951</v>
      </c>
      <c r="B130" s="3007"/>
      <c r="C130" s="3007"/>
      <c r="D130" s="3014">
        <f>H116</f>
        <v>0</v>
      </c>
      <c r="E130" s="3015"/>
      <c r="F130" s="3015"/>
      <c r="G130" s="3015"/>
      <c r="H130" s="3015"/>
      <c r="I130" s="3016"/>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976" t="str">
        <f>IF(B32="总价","（以上估价结果中楼面单价为总价除以建筑面积得出）","（以上估价结果中总价为楼面单价乘以建筑面积得出）")</f>
        <v>（以上估价结果中总价为楼面单价乘以建筑面积得出）</v>
      </c>
      <c r="B132" s="2976"/>
      <c r="C132" s="2976"/>
      <c r="D132" s="2976"/>
      <c r="E132" s="2976"/>
      <c r="F132" s="2976"/>
      <c r="G132" s="2976"/>
      <c r="H132" s="2976"/>
      <c r="I132" s="2976"/>
    </row>
    <row r="133" spans="1:9" ht="21.75" customHeight="1">
      <c r="A133" s="2295" t="s">
        <v>1952</v>
      </c>
      <c r="B133" s="2296"/>
      <c r="C133" s="2297" t="s">
        <v>1953</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1954</v>
      </c>
      <c r="G139" s="2309"/>
      <c r="H139" s="2309"/>
      <c r="I139" s="2310" t="s">
        <v>1955</v>
      </c>
    </row>
    <row r="140" spans="1:9" ht="21.75" customHeight="1">
      <c r="A140" s="798"/>
      <c r="B140" s="2311" t="s">
        <v>1956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1957</v>
      </c>
    </row>
    <row r="143" spans="1:9" ht="21.75" customHeight="1">
      <c r="A143" s="798"/>
      <c r="B143" s="2311" t="s">
        <v>1958</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1957</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1959</v>
      </c>
      <c r="B1" s="2190"/>
      <c r="C1" s="2190"/>
      <c r="D1" s="2190"/>
      <c r="E1" s="2190"/>
      <c r="F1" s="2190"/>
      <c r="G1" s="2190"/>
      <c r="H1" s="2190"/>
      <c r="I1" s="2190"/>
    </row>
    <row r="2" spans="1:12" ht="21.75" customHeight="1">
      <c r="A2" s="3113" t="s">
        <v>1960</v>
      </c>
      <c r="B2" s="3113"/>
      <c r="C2" s="3113"/>
      <c r="D2" s="3113"/>
      <c r="E2" s="3113"/>
      <c r="F2" s="3113"/>
      <c r="G2" s="3113"/>
      <c r="H2" s="3113"/>
      <c r="I2" s="3113"/>
    </row>
    <row r="3" spans="1:12" ht="12.75">
      <c r="A3" s="3043" t="s">
        <v>1764</v>
      </c>
      <c r="B3" s="3044"/>
      <c r="C3" s="3044"/>
      <c r="D3" s="3044"/>
      <c r="E3" s="3044"/>
      <c r="F3" s="3044"/>
      <c r="G3" s="3044"/>
      <c r="H3" s="3044"/>
      <c r="I3" s="3044"/>
    </row>
    <row r="4" spans="1:12" ht="14.25">
      <c r="A4" s="2192" t="s">
        <v>1765</v>
      </c>
      <c r="B4" s="2193" t="s">
        <v>1766</v>
      </c>
      <c r="C4" s="2194"/>
      <c r="D4" s="2194"/>
      <c r="E4" s="3024" t="s">
        <v>1961</v>
      </c>
      <c r="F4" s="3025"/>
      <c r="G4" s="3025"/>
      <c r="H4" s="3025"/>
      <c r="I4" s="3035"/>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17" t="s">
        <v>1768</v>
      </c>
      <c r="B5" s="2979">
        <v>25</v>
      </c>
      <c r="C5" s="3028"/>
      <c r="D5" s="3042"/>
      <c r="E5" s="56" t="s">
        <v>1769</v>
      </c>
      <c r="F5" s="2195"/>
      <c r="G5" s="2195"/>
      <c r="H5" s="2195"/>
      <c r="I5" s="2196"/>
    </row>
    <row r="6" spans="1:12" ht="12.75">
      <c r="A6" s="3017"/>
      <c r="B6" s="2979"/>
      <c r="C6" s="3045"/>
      <c r="D6" s="3042"/>
      <c r="E6" s="56" t="s">
        <v>1770</v>
      </c>
      <c r="F6" s="2195"/>
      <c r="G6" s="2195"/>
      <c r="H6" s="2195"/>
      <c r="I6" s="2196"/>
    </row>
    <row r="7" spans="1:12" ht="12.75">
      <c r="A7" s="3017"/>
      <c r="B7" s="2979"/>
      <c r="C7" s="3029"/>
      <c r="D7" s="3042"/>
      <c r="E7" s="56" t="s">
        <v>1771</v>
      </c>
      <c r="F7" s="2195"/>
      <c r="G7" s="2195"/>
      <c r="H7" s="2195"/>
      <c r="I7" s="2196"/>
    </row>
    <row r="8" spans="1:12" ht="12.75">
      <c r="A8" s="3017" t="s">
        <v>1772</v>
      </c>
      <c r="B8" s="2979">
        <v>15</v>
      </c>
      <c r="C8" s="3028"/>
      <c r="D8" s="3042"/>
      <c r="E8" s="56" t="s">
        <v>1773</v>
      </c>
      <c r="F8" s="2195"/>
      <c r="G8" s="2195"/>
      <c r="H8" s="2195"/>
      <c r="I8" s="2196"/>
    </row>
    <row r="9" spans="1:12" ht="12.75">
      <c r="A9" s="3017"/>
      <c r="B9" s="2979"/>
      <c r="C9" s="3029"/>
      <c r="D9" s="3042"/>
      <c r="E9" s="56" t="s">
        <v>1774</v>
      </c>
      <c r="F9" s="2195"/>
      <c r="G9" s="2195"/>
      <c r="H9" s="2195"/>
      <c r="I9" s="2196"/>
    </row>
    <row r="10" spans="1:12" ht="12.75">
      <c r="A10" s="3017" t="s">
        <v>1775</v>
      </c>
      <c r="B10" s="2979">
        <v>15</v>
      </c>
      <c r="C10" s="3028"/>
      <c r="D10" s="3042"/>
      <c r="E10" s="56" t="s">
        <v>1776</v>
      </c>
      <c r="F10" s="2195"/>
      <c r="G10" s="2195"/>
      <c r="H10" s="2195"/>
      <c r="I10" s="2196"/>
    </row>
    <row r="11" spans="1:12" ht="12.75">
      <c r="A11" s="3017"/>
      <c r="B11" s="2979"/>
      <c r="C11" s="3029"/>
      <c r="D11" s="3042"/>
      <c r="E11" s="56" t="s">
        <v>1777</v>
      </c>
      <c r="F11" s="2195"/>
      <c r="G11" s="2195"/>
      <c r="H11" s="2195"/>
      <c r="I11" s="2196"/>
    </row>
    <row r="12" spans="1:12" ht="12.75">
      <c r="A12" s="3017" t="s">
        <v>1778</v>
      </c>
      <c r="B12" s="2979">
        <v>15</v>
      </c>
      <c r="C12" s="3028"/>
      <c r="D12" s="3042"/>
      <c r="E12" s="56" t="s">
        <v>1779</v>
      </c>
      <c r="F12" s="2195"/>
      <c r="G12" s="2195"/>
      <c r="H12" s="2195"/>
      <c r="I12" s="2196"/>
    </row>
    <row r="13" spans="1:12" ht="12.75">
      <c r="A13" s="3017"/>
      <c r="B13" s="2979"/>
      <c r="C13" s="3029"/>
      <c r="D13" s="3042"/>
      <c r="E13" s="56" t="s">
        <v>1780</v>
      </c>
      <c r="F13" s="2195"/>
      <c r="G13" s="2195"/>
      <c r="H13" s="2195"/>
      <c r="I13" s="2196"/>
    </row>
    <row r="14" spans="1:12" ht="12.75">
      <c r="A14" s="3017" t="s">
        <v>1781</v>
      </c>
      <c r="B14" s="2979">
        <v>30</v>
      </c>
      <c r="C14" s="3028"/>
      <c r="D14" s="3042"/>
      <c r="E14" s="56" t="s">
        <v>1782</v>
      </c>
      <c r="F14" s="2195"/>
      <c r="G14" s="2195"/>
      <c r="H14" s="2195"/>
      <c r="I14" s="2196"/>
    </row>
    <row r="15" spans="1:12" ht="12.75">
      <c r="A15" s="3017"/>
      <c r="B15" s="2979"/>
      <c r="C15" s="3045"/>
      <c r="D15" s="3042"/>
      <c r="E15" s="56" t="s">
        <v>1783</v>
      </c>
      <c r="F15" s="2195"/>
      <c r="G15" s="2195"/>
      <c r="H15" s="2195"/>
      <c r="I15" s="2196"/>
    </row>
    <row r="16" spans="1:12" ht="12.75">
      <c r="A16" s="3017"/>
      <c r="B16" s="2979"/>
      <c r="C16" s="3029"/>
      <c r="D16" s="3042"/>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 (1修多)'!B19,INDIRECT("'"&amp;C4&amp;"'"&amp;"!B:B"))</f>
        <v>#REF!</v>
      </c>
      <c r="D19" s="60" t="e">
        <f ca="1">SUMIF(INDIRECT("'"&amp;D4&amp;"'"&amp;"!A:A"),'结果表 (1修多)'!B19,INDIRECT("'"&amp;D4&amp;"'"&amp;"!B:B"))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 (1修多)'!B20,INDIRECT("'"&amp;C4&amp;"'"&amp;"!B:B"))</f>
        <v>#REF!</v>
      </c>
      <c r="D20" s="63" t="e">
        <f ca="1">SUMIF(INDIRECT("'"&amp;D4&amp;"'"&amp;"!A:A"),'结果表 (1修多)'!B20,INDIRECT("'"&amp;D4&amp;"'"&amp;"!B:B"))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48" t="s">
        <v>1793</v>
      </c>
      <c r="B24" s="2202" t="s">
        <v>1788</v>
      </c>
      <c r="C24" s="61">
        <f>D30</f>
        <v>0</v>
      </c>
      <c r="D24" s="990"/>
      <c r="E24" s="2190"/>
      <c r="F24" s="2190"/>
      <c r="G24" s="2190"/>
      <c r="H24" s="2190"/>
      <c r="I24" s="2190"/>
    </row>
    <row r="25" spans="1:35" ht="21.75" customHeight="1">
      <c r="A25" s="3049"/>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t="s">
        <v>1962</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699" t="s">
        <v>1963</v>
      </c>
      <c r="B30" s="2700"/>
      <c r="C30" s="2700"/>
      <c r="D30" s="2700"/>
      <c r="E30" s="2698" t="s">
        <v>2794</v>
      </c>
      <c r="F30" s="2190"/>
      <c r="G30" s="2190"/>
      <c r="H30" s="2190"/>
      <c r="I30" s="2190"/>
    </row>
    <row r="31" spans="1:35" s="2217" customFormat="1" ht="15.75" thickBot="1">
      <c r="A31" s="3104" t="s">
        <v>1964</v>
      </c>
      <c r="B31" s="3104"/>
      <c r="C31" s="3104"/>
      <c r="D31" s="3104"/>
      <c r="E31" s="3104"/>
      <c r="F31" s="3104"/>
      <c r="G31" s="3104"/>
      <c r="H31" s="3104"/>
      <c r="I31" s="3104"/>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5"/>
      <c r="B32" s="2316" t="s">
        <v>1965</v>
      </c>
      <c r="C32" s="1304">
        <f>典型户型修正!R27</f>
        <v>0</v>
      </c>
      <c r="D32" s="2190" t="s">
        <v>1966</v>
      </c>
      <c r="E32" s="2190"/>
      <c r="F32" s="2190"/>
      <c r="G32" s="2190"/>
      <c r="H32" s="2190"/>
      <c r="I32" s="2190"/>
    </row>
    <row r="33" spans="1:16" ht="15">
      <c r="A33" s="2317" t="s">
        <v>1967</v>
      </c>
      <c r="B33" s="2318" t="s">
        <v>1968</v>
      </c>
      <c r="C33" s="1305">
        <f>典型户型修正!B2</f>
        <v>0</v>
      </c>
      <c r="D33" s="2319" t="str">
        <f>IF('数据-取费表'!B3="万元","万元","元")</f>
        <v>元</v>
      </c>
      <c r="E33" s="2190"/>
      <c r="F33" s="2190"/>
      <c r="G33" s="2190"/>
      <c r="H33" s="2190"/>
      <c r="I33" s="2190"/>
    </row>
    <row r="34" spans="1:16" ht="15.75" thickBot="1">
      <c r="A34" s="2320"/>
      <c r="B34" s="2321" t="s">
        <v>1969</v>
      </c>
      <c r="C34" s="771" t="e">
        <f>典型户型修正!B3</f>
        <v>#DIV/0!</v>
      </c>
      <c r="D34" s="2190" t="s">
        <v>1970</v>
      </c>
      <c r="E34" s="2190"/>
      <c r="F34" s="2190"/>
      <c r="G34" s="2190"/>
      <c r="H34" s="2190"/>
      <c r="I34" s="2190"/>
    </row>
    <row r="35" spans="1:16" ht="15">
      <c r="A35" s="2322"/>
      <c r="B35" s="2323" t="s">
        <v>1971</v>
      </c>
      <c r="C35" s="1312">
        <f>IF('数据-取费表'!B3="万元",典型户型修正!V25,典型户型修正!U25)</f>
        <v>0</v>
      </c>
      <c r="D35" s="2190" t="str">
        <f>D33</f>
        <v>元</v>
      </c>
      <c r="E35" s="2190"/>
      <c r="F35" s="2190"/>
      <c r="G35" s="2190"/>
      <c r="H35" s="2190"/>
      <c r="I35" s="2190"/>
    </row>
    <row r="36" spans="1:16" ht="15.75" thickBot="1">
      <c r="A36" s="2229"/>
      <c r="B36" s="2324" t="s">
        <v>1972</v>
      </c>
      <c r="C36" s="1313">
        <f>IF('数据-取费表'!B3="万元",典型户型修正!Y25,典型户型修正!X25)</f>
        <v>0</v>
      </c>
      <c r="D36" s="2190" t="str">
        <f>D33</f>
        <v>元</v>
      </c>
      <c r="E36" s="2190"/>
      <c r="F36" s="2190"/>
      <c r="G36" s="2190"/>
      <c r="H36" s="2190"/>
      <c r="I36" s="2190"/>
    </row>
    <row r="37" spans="1:16" ht="15.75" thickBot="1">
      <c r="A37" s="3030" t="s">
        <v>1973</v>
      </c>
      <c r="B37" s="2232" t="s">
        <v>1974</v>
      </c>
      <c r="C37" s="69"/>
      <c r="D37" s="2233"/>
      <c r="E37" s="2234"/>
      <c r="F37" s="2234"/>
      <c r="G37" s="2190"/>
      <c r="H37" s="2190"/>
      <c r="I37" s="2190"/>
    </row>
    <row r="38" spans="1:16" ht="15.75" thickBot="1">
      <c r="A38" s="3031"/>
      <c r="B38" s="2235" t="s">
        <v>1975</v>
      </c>
      <c r="C38" s="71"/>
      <c r="D38" s="2200"/>
      <c r="E38" s="2200"/>
      <c r="F38" s="2234"/>
      <c r="G38" s="2200"/>
      <c r="H38" s="2200"/>
      <c r="I38" s="2200"/>
    </row>
    <row r="39" spans="1:16" ht="15.75" thickBot="1">
      <c r="A39" s="3032"/>
      <c r="B39" s="2236" t="s">
        <v>1976</v>
      </c>
      <c r="C39" s="712"/>
      <c r="D39" s="2237" t="s">
        <v>1977</v>
      </c>
      <c r="E39" s="2200"/>
      <c r="F39" s="2234"/>
      <c r="G39" s="2200"/>
      <c r="H39" s="2200"/>
      <c r="I39" s="2200"/>
    </row>
    <row r="40" spans="1:16" ht="15">
      <c r="A40" s="2204" t="s">
        <v>1978</v>
      </c>
      <c r="B40" s="2238" t="s">
        <v>1979</v>
      </c>
      <c r="C40" s="2239" t="s">
        <v>1980</v>
      </c>
      <c r="D40" s="2239" t="s">
        <v>1981</v>
      </c>
      <c r="E40" s="2240" t="s">
        <v>1982</v>
      </c>
      <c r="F40" s="2234"/>
      <c r="G40" s="2200"/>
      <c r="H40" s="2200"/>
      <c r="I40" s="2200"/>
    </row>
    <row r="41" spans="1:16" ht="14.25">
      <c r="A41" s="2241" t="s">
        <v>1983</v>
      </c>
      <c r="B41" s="74"/>
      <c r="C41" s="75"/>
      <c r="D41" s="75"/>
      <c r="E41" s="76"/>
      <c r="F41" s="2234"/>
      <c r="G41" s="2200"/>
      <c r="H41" s="2200"/>
      <c r="I41" s="2200"/>
    </row>
    <row r="42" spans="1:16" ht="14.25">
      <c r="A42" s="2241" t="s">
        <v>1984</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1985</v>
      </c>
      <c r="B45" s="2247"/>
      <c r="C45" s="2247"/>
      <c r="D45" s="2248"/>
      <c r="E45" s="2248"/>
      <c r="F45" s="2249"/>
      <c r="G45" s="2249"/>
      <c r="H45" s="2249"/>
      <c r="I45" s="2249"/>
      <c r="J45" s="2250" t="s">
        <v>1816</v>
      </c>
      <c r="K45" s="2251"/>
      <c r="L45" s="2251"/>
      <c r="M45" s="2251"/>
      <c r="N45" s="2251"/>
      <c r="O45" s="2251"/>
      <c r="P45" s="1841"/>
    </row>
    <row r="46" spans="1:16" ht="14.25" customHeight="1" thickBot="1">
      <c r="A46" s="3036" t="s">
        <v>1986</v>
      </c>
      <c r="B46" s="3037"/>
      <c r="C46" s="3038"/>
      <c r="D46" s="80">
        <f>ROUND(I103*F46,0)</f>
        <v>0</v>
      </c>
      <c r="E46" s="81" t="s">
        <v>1987</v>
      </c>
      <c r="F46" s="82">
        <v>1</v>
      </c>
      <c r="G46" s="83" t="s">
        <v>1988</v>
      </c>
      <c r="H46" s="2190"/>
      <c r="I46" s="2190"/>
      <c r="J46" s="3098" t="s">
        <v>1820</v>
      </c>
      <c r="K46" s="3098"/>
      <c r="L46" s="3098"/>
      <c r="M46" s="3098"/>
      <c r="N46" s="3098"/>
      <c r="O46" s="3098"/>
      <c r="P46" s="1841"/>
    </row>
    <row r="47" spans="1:16" ht="14.25" customHeight="1">
      <c r="A47" s="3021" t="s">
        <v>1821</v>
      </c>
      <c r="B47" s="3022"/>
      <c r="C47" s="3022"/>
      <c r="D47" s="3022"/>
      <c r="E47" s="3022"/>
      <c r="F47" s="3022"/>
      <c r="G47" s="3023"/>
      <c r="H47" s="2252"/>
      <c r="I47" s="1140"/>
      <c r="J47" s="1878">
        <v>1</v>
      </c>
      <c r="K47" s="3098" t="s">
        <v>1822</v>
      </c>
      <c r="L47" s="3098"/>
      <c r="M47" s="3114"/>
      <c r="N47" s="3114"/>
      <c r="O47" s="3114"/>
      <c r="P47" s="1841"/>
    </row>
    <row r="48" spans="1:16" ht="12" customHeight="1">
      <c r="A48" s="85" t="s">
        <v>1823</v>
      </c>
      <c r="B48" s="86"/>
      <c r="C48" s="87"/>
      <c r="D48" s="88" t="s">
        <v>1824</v>
      </c>
      <c r="E48" s="14" t="s">
        <v>1825</v>
      </c>
      <c r="F48" s="89" t="s">
        <v>1826</v>
      </c>
      <c r="G48" s="90" t="s">
        <v>1827</v>
      </c>
      <c r="H48" s="2252"/>
      <c r="I48" s="1140"/>
      <c r="J48" s="1878">
        <v>2</v>
      </c>
      <c r="K48" s="3098" t="s">
        <v>1828</v>
      </c>
      <c r="L48" s="3098"/>
      <c r="M48" s="3100">
        <f>'数据-取费表'!B2</f>
        <v>44134</v>
      </c>
      <c r="N48" s="3100"/>
      <c r="O48" s="3100"/>
      <c r="P48" s="1841"/>
    </row>
    <row r="49" spans="1:16" ht="25.5">
      <c r="A49" s="3033" t="s">
        <v>1829</v>
      </c>
      <c r="B49" s="3034"/>
      <c r="C49" s="3034"/>
      <c r="D49" s="56">
        <f>IF(H49="情况1",0,IF(H49="情况2",D53,IF(H49="情况3",D54,IF(H49="情况4",D55))))</f>
        <v>0</v>
      </c>
      <c r="E49" s="1888" t="str">
        <f>IF(H49="情况4","(销售额-原购置价)×税（费）率","销售额×税（费）率")</f>
        <v>销售额×税（费）率</v>
      </c>
      <c r="F49" s="91">
        <f>IF(H49="情况1","免征",'数据-取费表'!E29)</f>
        <v>5.6000000000000001E-2</v>
      </c>
      <c r="G49" s="2253" t="s">
        <v>1830</v>
      </c>
      <c r="H49" s="2254" t="s">
        <v>1831</v>
      </c>
      <c r="I49" s="2252"/>
      <c r="J49" s="1878">
        <v>3</v>
      </c>
      <c r="K49" s="3098" t="s">
        <v>1832</v>
      </c>
      <c r="L49" s="3098"/>
      <c r="M49" s="3099">
        <f>I103</f>
        <v>0</v>
      </c>
      <c r="N49" s="3099"/>
      <c r="O49" s="3099"/>
      <c r="P49" s="1841"/>
    </row>
    <row r="50" spans="1:16" ht="25.5" customHeight="1">
      <c r="A50" s="92" t="s">
        <v>1833</v>
      </c>
      <c r="B50" s="3026" t="s">
        <v>1834</v>
      </c>
      <c r="C50" s="3026"/>
      <c r="D50" s="93">
        <v>0</v>
      </c>
      <c r="E50" s="13" t="s">
        <v>1835</v>
      </c>
      <c r="F50" s="18" t="s">
        <v>48</v>
      </c>
      <c r="G50" s="3091"/>
      <c r="H50" s="2190"/>
      <c r="I50" s="2255"/>
      <c r="J50" s="1878">
        <v>4</v>
      </c>
      <c r="K50" s="3098" t="str">
        <f>IF(项目基本情况!F5="房地产抵押价值","房地产抵押价值","抵押担保权已注销时的房地产抵押价值")</f>
        <v>抵押担保权已注销时的房地产抵押价值</v>
      </c>
      <c r="L50" s="3098"/>
      <c r="M50" s="3099" t="str">
        <f>IF(项目基本情况!F5="房地产抵押价值",I111,I113)</f>
        <v>——</v>
      </c>
      <c r="N50" s="3099"/>
      <c r="O50" s="3099"/>
      <c r="P50" s="1841"/>
    </row>
    <row r="51" spans="1:16" ht="25.5" customHeight="1">
      <c r="A51" s="94"/>
      <c r="B51" s="3026" t="s">
        <v>1836</v>
      </c>
      <c r="C51" s="3026"/>
      <c r="D51" s="95"/>
      <c r="E51" s="21"/>
      <c r="F51" s="96"/>
      <c r="G51" s="3092"/>
      <c r="H51" s="2190"/>
      <c r="I51" s="2255"/>
      <c r="J51" s="3098" t="s">
        <v>1837</v>
      </c>
      <c r="K51" s="3098"/>
      <c r="L51" s="3098"/>
      <c r="M51" s="3098"/>
      <c r="N51" s="3098"/>
      <c r="O51" s="3098"/>
      <c r="P51" s="1841"/>
    </row>
    <row r="52" spans="1:16" ht="12" customHeight="1">
      <c r="A52" s="97"/>
      <c r="B52" s="3026" t="s">
        <v>1838</v>
      </c>
      <c r="C52" s="3026"/>
      <c r="D52" s="98"/>
      <c r="E52" s="20"/>
      <c r="F52" s="96"/>
      <c r="G52" s="3093"/>
      <c r="H52" s="2190"/>
      <c r="I52" s="2255"/>
      <c r="J52" s="2256" t="s">
        <v>1839</v>
      </c>
      <c r="K52" s="3098" t="s">
        <v>1840</v>
      </c>
      <c r="L52" s="3098"/>
      <c r="M52" s="2256" t="s">
        <v>1841</v>
      </c>
      <c r="N52" s="2256" t="s">
        <v>1842</v>
      </c>
      <c r="O52" s="2256" t="s">
        <v>1843</v>
      </c>
      <c r="P52" s="1841"/>
    </row>
    <row r="53" spans="1:16" ht="24" customHeight="1">
      <c r="A53" s="99" t="s">
        <v>1844</v>
      </c>
      <c r="B53" s="3026" t="s">
        <v>1845</v>
      </c>
      <c r="C53" s="3026"/>
      <c r="D53" s="98">
        <f>ROUND(D46*'数据-取费表'!E29/(1+'数据-取费表'!F30),0)</f>
        <v>0</v>
      </c>
      <c r="E53" s="10" t="s">
        <v>1846</v>
      </c>
      <c r="F53" s="100">
        <f>'数据-取费表'!E29</f>
        <v>5.6000000000000001E-2</v>
      </c>
      <c r="G53" s="2257"/>
      <c r="H53" s="2190"/>
      <c r="I53" s="2255"/>
      <c r="J53" s="1878">
        <v>1</v>
      </c>
      <c r="K53" s="3058" t="s">
        <v>1847</v>
      </c>
      <c r="L53" s="3058"/>
      <c r="M53" s="778">
        <f>D49</f>
        <v>0</v>
      </c>
      <c r="N53" s="1878" t="str">
        <f>E49</f>
        <v>销售额×税（费）率</v>
      </c>
      <c r="O53" s="779">
        <f>F49</f>
        <v>5.6000000000000001E-2</v>
      </c>
      <c r="P53" s="1841"/>
    </row>
    <row r="54" spans="1:16" ht="12" customHeight="1">
      <c r="A54" s="99" t="s">
        <v>1848</v>
      </c>
      <c r="B54" s="3027" t="s">
        <v>1849</v>
      </c>
      <c r="C54" s="2952"/>
      <c r="D54" s="98">
        <f>ROUND(D46*'数据-取费表'!E29/(1+'数据-取费表'!F30),0)</f>
        <v>0</v>
      </c>
      <c r="E54" s="10" t="s">
        <v>1846</v>
      </c>
      <c r="F54" s="100">
        <f>'数据-取费表'!E29</f>
        <v>5.6000000000000001E-2</v>
      </c>
      <c r="G54" s="2257"/>
      <c r="H54" s="2190"/>
      <c r="I54" s="2255"/>
      <c r="J54" s="1878">
        <v>2</v>
      </c>
      <c r="K54" s="3058" t="s">
        <v>1850</v>
      </c>
      <c r="L54" s="3058"/>
      <c r="M54" s="778">
        <f t="shared" ref="M54:O55" si="1">D56</f>
        <v>0</v>
      </c>
      <c r="N54" s="1878" t="str">
        <f t="shared" si="1"/>
        <v>销售额×税（费）率</v>
      </c>
      <c r="O54" s="779">
        <f t="shared" si="1"/>
        <v>5.0000000000000001E-4</v>
      </c>
      <c r="P54" s="1841"/>
    </row>
    <row r="55" spans="1:16" ht="12" customHeight="1">
      <c r="A55" s="99" t="s">
        <v>1851</v>
      </c>
      <c r="B55" s="3027" t="s">
        <v>1852</v>
      </c>
      <c r="C55" s="2952"/>
      <c r="D55" s="98">
        <f>C69</f>
        <v>0</v>
      </c>
      <c r="E55" s="20" t="s">
        <v>1853</v>
      </c>
      <c r="F55" s="100">
        <f>'数据-取费表'!E29</f>
        <v>5.6000000000000001E-2</v>
      </c>
      <c r="G55" s="2257"/>
      <c r="H55" s="2258"/>
      <c r="I55" s="2255"/>
      <c r="J55" s="1878">
        <v>3</v>
      </c>
      <c r="K55" s="3058" t="s">
        <v>1854</v>
      </c>
      <c r="L55" s="3058"/>
      <c r="M55" s="778">
        <f t="shared" si="1"/>
        <v>0</v>
      </c>
      <c r="N55" s="1878" t="str">
        <f t="shared" si="1"/>
        <v>增值额×税（费）率</v>
      </c>
      <c r="O55" s="780" t="str">
        <f t="shared" si="1"/>
        <v>——</v>
      </c>
      <c r="P55" s="1841"/>
    </row>
    <row r="56" spans="1:16" ht="24" customHeight="1">
      <c r="A56" s="2944" t="s">
        <v>1855</v>
      </c>
      <c r="B56" s="3034"/>
      <c r="C56" s="3034"/>
      <c r="D56" s="101">
        <f>IF(H56="个人住宅",0,ROUND(D46*I56,0))</f>
        <v>0</v>
      </c>
      <c r="E56" s="10" t="s">
        <v>1856</v>
      </c>
      <c r="F56" s="100">
        <f>IF(H56="正常",I56,"免征")</f>
        <v>5.0000000000000001E-4</v>
      </c>
      <c r="G56" s="2257"/>
      <c r="H56" s="2254" t="s">
        <v>1857</v>
      </c>
      <c r="I56" s="102">
        <f>'数据-取费表'!E37</f>
        <v>5.0000000000000001E-4</v>
      </c>
      <c r="J56" s="1878" t="str">
        <f>IF(H60="非个人房产","",4)</f>
        <v/>
      </c>
      <c r="K56" s="3058" t="str">
        <f>IF(H60="非个人房产","——","个人所得税")</f>
        <v>——</v>
      </c>
      <c r="L56" s="3058"/>
      <c r="M56" s="781" t="str">
        <f>D60</f>
        <v>——</v>
      </c>
      <c r="N56" s="1881" t="str">
        <f>E60</f>
        <v>——</v>
      </c>
      <c r="O56" s="782" t="str">
        <f>F60</f>
        <v>——</v>
      </c>
      <c r="P56" s="1841"/>
    </row>
    <row r="57" spans="1:16" ht="24.75">
      <c r="A57" s="2944" t="s">
        <v>1858</v>
      </c>
      <c r="B57" s="3034"/>
      <c r="C57" s="3034"/>
      <c r="D57" s="101">
        <f>IF(H57="个人住宅",D58,D59)</f>
        <v>0</v>
      </c>
      <c r="E57" s="10" t="s">
        <v>1859</v>
      </c>
      <c r="F57" s="100" t="str">
        <f>IF(H57="正常",F59,"免征")</f>
        <v>——</v>
      </c>
      <c r="G57" s="2259" t="s">
        <v>1860</v>
      </c>
      <c r="H57" s="2260" t="s">
        <v>1857</v>
      </c>
      <c r="I57" s="1018"/>
      <c r="J57" s="1878" t="str">
        <f>IF(项目基本情况!I6="上海银行",IF(J56="",4,J56+1),"")</f>
        <v/>
      </c>
      <c r="K57" s="3076" t="str">
        <f>IF(项目基本情况!I6="上海银行","其他处置费用","")</f>
        <v/>
      </c>
      <c r="L57" s="3077"/>
      <c r="M57" s="778" t="str">
        <f>IF(项目基本情况!I6="上海银行",M70,"")</f>
        <v/>
      </c>
      <c r="N57" s="3089" t="str">
        <f>IF(项目基本情况!I6="上海银行","包含处置中涉及的律师、诉讼、拍卖、评估等费用","")</f>
        <v/>
      </c>
      <c r="O57" s="3090"/>
      <c r="P57" s="1841"/>
    </row>
    <row r="58" spans="1:16" ht="12.75">
      <c r="A58" s="99" t="s">
        <v>1833</v>
      </c>
      <c r="B58" s="3024" t="s">
        <v>1861</v>
      </c>
      <c r="C58" s="3035"/>
      <c r="D58" s="103">
        <v>0</v>
      </c>
      <c r="E58" s="13" t="s">
        <v>1835</v>
      </c>
      <c r="F58" s="70"/>
      <c r="G58" s="2257"/>
      <c r="H58" s="1018"/>
      <c r="I58" s="1018"/>
      <c r="J58" s="3058">
        <f>IF(AND(J56="",J57=""),4,IF(项目基本情况!I6="上海银行",J57+1,J56+1))</f>
        <v>4</v>
      </c>
      <c r="K58" s="3058" t="s">
        <v>1862</v>
      </c>
      <c r="L58" s="2261" t="s">
        <v>1863</v>
      </c>
      <c r="M58" s="783"/>
      <c r="N58" s="784">
        <f>SUMIF(M53:M57,"&lt;9e307")</f>
        <v>0</v>
      </c>
      <c r="O58" s="2262"/>
      <c r="P58" s="1837" t="e">
        <f>N58/M50</f>
        <v>#VALUE!</v>
      </c>
    </row>
    <row r="59" spans="1:16" ht="24.75">
      <c r="A59" s="99" t="s">
        <v>1844</v>
      </c>
      <c r="B59" s="3024" t="s">
        <v>1864</v>
      </c>
      <c r="C59" s="3025"/>
      <c r="D59" s="101">
        <f>IF(H59="转让取得",C82,C98)</f>
        <v>0</v>
      </c>
      <c r="E59" s="10" t="s">
        <v>1859</v>
      </c>
      <c r="F59" s="14" t="s">
        <v>48</v>
      </c>
      <c r="G59" s="2257"/>
      <c r="H59" s="2260" t="s">
        <v>1865</v>
      </c>
      <c r="I59" s="1018"/>
      <c r="J59" s="3058"/>
      <c r="K59" s="3058"/>
      <c r="L59" s="2261" t="s">
        <v>1866</v>
      </c>
      <c r="M59" s="785"/>
      <c r="N59" s="2263" t="str">
        <f>IF(H19="元",NUMBERSTRING(INT(N58),2)&amp;"元整",NUMBERSTRING(INT(N58*10000),2)&amp;"元整")</f>
        <v>零元整</v>
      </c>
      <c r="O59" s="2264"/>
      <c r="P59" s="1841"/>
    </row>
    <row r="60" spans="1:16" ht="24.75" thickBot="1">
      <c r="A60" s="2945" t="s">
        <v>1867</v>
      </c>
      <c r="B60" s="2948"/>
      <c r="C60" s="2948"/>
      <c r="D60" s="104" t="str">
        <f>IF(H60="非个人房产","——",IF(H60="个人住宅",0,ROUND(D46*I60,0)))</f>
        <v>——</v>
      </c>
      <c r="E60" s="105" t="str">
        <f>IF(H60="非个人房产","——","销售额×税（费）率")</f>
        <v>——</v>
      </c>
      <c r="F60" s="106" t="str">
        <f>IF(H60="非个人房产","——",IF(H60="个人住宅","免征",I60))</f>
        <v>——</v>
      </c>
      <c r="G60" s="2265" t="s">
        <v>1860</v>
      </c>
      <c r="H60" s="2260" t="s">
        <v>1989</v>
      </c>
      <c r="I60" s="107">
        <v>0.01</v>
      </c>
      <c r="J60" s="3056">
        <f>J58+1</f>
        <v>5</v>
      </c>
      <c r="K60" s="3058" t="s">
        <v>1869</v>
      </c>
      <c r="L60" s="1878" t="s">
        <v>1863</v>
      </c>
      <c r="M60" s="786"/>
      <c r="N60" s="787" t="e">
        <f>M50-N58</f>
        <v>#VALUE!</v>
      </c>
      <c r="O60" s="2266"/>
      <c r="P60" s="1841"/>
    </row>
    <row r="61" spans="1:16" ht="12" customHeight="1">
      <c r="A61" s="2062"/>
      <c r="B61" s="2190"/>
      <c r="C61" s="2190"/>
      <c r="D61" s="2190"/>
      <c r="E61" s="1018"/>
      <c r="F61" s="1018"/>
      <c r="G61" s="1018"/>
      <c r="H61" s="2243"/>
      <c r="I61" s="2190"/>
      <c r="J61" s="3057"/>
      <c r="K61" s="3058"/>
      <c r="L61" s="2261" t="s">
        <v>1866</v>
      </c>
      <c r="M61" s="785"/>
      <c r="N61" s="2263" t="e">
        <f>IF(H19="元",NUMBERSTRING(INT(N60),2)&amp;"元整",NUMBERSTRING(INT(N60*10000),2)&amp;"元整")</f>
        <v>#VALUE!</v>
      </c>
      <c r="O61" s="2264"/>
      <c r="P61" s="1841"/>
    </row>
    <row r="62" spans="1:16" ht="13.5" thickBot="1">
      <c r="A62" s="3039" t="s">
        <v>1870</v>
      </c>
      <c r="B62" s="3039"/>
      <c r="C62" s="3039"/>
      <c r="D62" s="3039"/>
      <c r="E62" s="3039"/>
      <c r="F62" s="1018"/>
      <c r="G62" s="1018"/>
      <c r="H62" s="2243"/>
      <c r="I62" s="2190"/>
      <c r="J62" s="1878">
        <f>J60+1</f>
        <v>6</v>
      </c>
      <c r="K62" s="3058" t="s">
        <v>1871</v>
      </c>
      <c r="L62" s="3058"/>
      <c r="M62" s="788"/>
      <c r="N62" s="789" t="e">
        <f>IF(H19="元",ROUND(N60/项目基本情况!C12,0),ROUND(N60*10000/项目基本情况!C12,0))</f>
        <v>#VALUE!</v>
      </c>
      <c r="O62" s="2267"/>
      <c r="P62" s="1841"/>
    </row>
    <row r="63" spans="1:16" ht="12.75">
      <c r="A63" s="3046" t="s">
        <v>1872</v>
      </c>
      <c r="B63" s="3047"/>
      <c r="C63" s="1880"/>
      <c r="D63" s="1880" t="s">
        <v>1873</v>
      </c>
      <c r="E63" s="108" t="s">
        <v>1874</v>
      </c>
      <c r="F63" s="1018"/>
      <c r="G63" s="1018"/>
      <c r="H63" s="2243"/>
      <c r="I63" s="2190"/>
      <c r="J63" s="1841"/>
      <c r="K63" s="1841"/>
      <c r="L63" s="1841"/>
      <c r="M63" s="1841"/>
      <c r="N63" s="1841"/>
      <c r="O63" s="1841"/>
      <c r="P63" s="1841"/>
    </row>
    <row r="64" spans="1:16" ht="12.75">
      <c r="A64" s="109">
        <v>1</v>
      </c>
      <c r="B64" s="110" t="s">
        <v>1875</v>
      </c>
      <c r="C64" s="111">
        <f>ROUND((C65+C66)/(1+'数据-取费表'!F30),0)</f>
        <v>0</v>
      </c>
      <c r="D64" s="112"/>
      <c r="E64" s="113"/>
      <c r="F64" s="1018"/>
      <c r="G64" s="1018"/>
      <c r="H64" s="2243"/>
      <c r="I64" s="2190"/>
      <c r="J64" s="3078" t="s">
        <v>1876</v>
      </c>
      <c r="K64" s="2268" t="s">
        <v>1877</v>
      </c>
      <c r="L64" s="1840" t="e">
        <f>IF(M50&gt;10000,M50*0.5%,IF(AND(M50&gt;1000,M50&lt;=10000),M50*1%,IF(AND(M50&gt;100,M50&lt;=1000),M50*3%,IF(AND(M50&gt;10,M50&lt;=100),M50*5%,M50*8%))))</f>
        <v>#VALUE!</v>
      </c>
      <c r="M64" s="14" t="e">
        <f>ROUND(L64,1)</f>
        <v>#VALUE!</v>
      </c>
      <c r="N64" s="1841"/>
      <c r="O64" s="1841"/>
      <c r="P64" s="1841"/>
    </row>
    <row r="65" spans="1:35" ht="12.75">
      <c r="A65" s="114" t="s">
        <v>71</v>
      </c>
      <c r="B65" s="115" t="s">
        <v>1878</v>
      </c>
      <c r="C65" s="116">
        <f>D46</f>
        <v>0</v>
      </c>
      <c r="D65" s="117" t="s">
        <v>41</v>
      </c>
      <c r="E65" s="118"/>
      <c r="F65" s="1018"/>
      <c r="G65" s="1018"/>
      <c r="H65" s="2243"/>
      <c r="I65" s="2190"/>
      <c r="J65" s="3078"/>
      <c r="K65" s="2268" t="s">
        <v>1879</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1880</v>
      </c>
      <c r="O65" s="1841"/>
      <c r="P65" s="1841"/>
    </row>
    <row r="66" spans="1:35" ht="12.75">
      <c r="A66" s="114" t="s">
        <v>72</v>
      </c>
      <c r="B66" s="115" t="s">
        <v>1881</v>
      </c>
      <c r="C66" s="119"/>
      <c r="D66" s="117"/>
      <c r="E66" s="118"/>
      <c r="F66" s="1018"/>
      <c r="G66" s="1018"/>
      <c r="H66" s="2243"/>
      <c r="I66" s="2190"/>
      <c r="J66" s="3078"/>
      <c r="K66" s="2268" t="s">
        <v>1882</v>
      </c>
      <c r="L66" s="1840" t="e">
        <f>IF(M50&gt;1000,M50*0.1%,IF(AND(M50&gt;500,M50&lt;=1000),M50*0.5%,IF(AND(M50&gt;50,M50&lt;=500),M50*1%,IF(AND(M50&gt;1,M50&lt;=50),M50*1.5%))))</f>
        <v>#VALUE!</v>
      </c>
      <c r="M66" s="14" t="e">
        <f t="shared" si="2"/>
        <v>#VALUE!</v>
      </c>
      <c r="N66" s="1841" t="s">
        <v>1880</v>
      </c>
      <c r="O66" s="1841"/>
      <c r="P66" s="1841"/>
    </row>
    <row r="67" spans="1:35" ht="12.75">
      <c r="A67" s="120" t="s">
        <v>47</v>
      </c>
      <c r="B67" s="121" t="s">
        <v>1883</v>
      </c>
      <c r="C67" s="122"/>
      <c r="D67" s="123" t="s">
        <v>41</v>
      </c>
      <c r="E67" s="1857" t="s">
        <v>1884</v>
      </c>
      <c r="F67" s="1018"/>
      <c r="G67" s="1018"/>
      <c r="H67" s="2243"/>
      <c r="I67" s="2190"/>
      <c r="J67" s="3078"/>
      <c r="K67" s="2268" t="s">
        <v>1885</v>
      </c>
      <c r="L67" s="1840" t="e">
        <f>M50*0.5%</f>
        <v>#VALUE!</v>
      </c>
      <c r="M67" s="14" t="e">
        <f>IF(L67&gt;0.5,0.5,ROUND(L67,0))</f>
        <v>#VALUE!</v>
      </c>
      <c r="N67" s="1841" t="s">
        <v>1886</v>
      </c>
      <c r="O67" s="1841"/>
      <c r="P67" s="1841"/>
    </row>
    <row r="68" spans="1:35" ht="12.75">
      <c r="A68" s="120" t="s">
        <v>42</v>
      </c>
      <c r="B68" s="121" t="s">
        <v>1887</v>
      </c>
      <c r="C68" s="124">
        <f>C64-C67</f>
        <v>0</v>
      </c>
      <c r="D68" s="117" t="s">
        <v>41</v>
      </c>
      <c r="E68" s="118"/>
      <c r="F68" s="1018"/>
      <c r="G68" s="1018"/>
      <c r="H68" s="2243"/>
      <c r="I68" s="2190"/>
      <c r="J68" s="3078"/>
      <c r="K68" s="2268" t="s">
        <v>1888</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1889</v>
      </c>
      <c r="C69" s="127">
        <f>IF(C68&lt;=0,0,ROUND(C68*D69,0))</f>
        <v>0</v>
      </c>
      <c r="D69" s="128">
        <f>'数据-取费表'!E29</f>
        <v>5.6000000000000001E-2</v>
      </c>
      <c r="E69" s="129"/>
      <c r="F69" s="1018"/>
      <c r="G69" s="1018"/>
      <c r="H69" s="2243"/>
      <c r="I69" s="2190"/>
      <c r="J69" s="3078"/>
      <c r="K69" s="2268" t="s">
        <v>1890</v>
      </c>
      <c r="L69" s="1840" t="e">
        <f>IF(M50&gt;10000,M50*0.5%,IF(AND(M50&gt;5000,M50&lt;=10000),M50*1%,IF(AND(M50&gt;1000,M50&lt;=5000),M50*2%,IF(AND(M50&gt;200,M50&lt;=1000),M50*3%,M50*5%))))</f>
        <v>#VALUE!</v>
      </c>
      <c r="M69" s="14" t="e">
        <f>ROUND(L69,1)</f>
        <v>#VALUE!</v>
      </c>
      <c r="N69" s="1841"/>
      <c r="O69" s="1841"/>
      <c r="P69" s="1841"/>
    </row>
    <row r="70" spans="1:35" s="2217" customFormat="1" ht="7.5" customHeight="1">
      <c r="A70" s="2269"/>
      <c r="B70" s="2270"/>
      <c r="C70" s="2271"/>
      <c r="D70" s="2272"/>
      <c r="E70" s="2273"/>
      <c r="F70" s="1018"/>
      <c r="G70" s="1018"/>
      <c r="H70" s="2243"/>
      <c r="I70" s="2190"/>
      <c r="J70" s="3078"/>
      <c r="K70" s="2268" t="s">
        <v>1891</v>
      </c>
      <c r="L70" s="2274"/>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6" customFormat="1" ht="15" thickBot="1">
      <c r="A71" s="3050" t="s">
        <v>1892</v>
      </c>
      <c r="B71" s="3051"/>
      <c r="C71" s="3051"/>
      <c r="D71" s="3051"/>
      <c r="E71" s="3051"/>
      <c r="F71" s="3051"/>
      <c r="G71" s="3051"/>
      <c r="H71" s="3051"/>
      <c r="I71" s="2275"/>
      <c r="J71" s="1282"/>
      <c r="K71" s="1282"/>
      <c r="L71" s="1282"/>
      <c r="M71" s="1282"/>
      <c r="N71" s="1282"/>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3046" t="s">
        <v>1872</v>
      </c>
      <c r="B72" s="3047"/>
      <c r="C72" s="1880"/>
      <c r="D72" s="1880" t="s">
        <v>1873</v>
      </c>
      <c r="E72" s="130" t="s">
        <v>1874</v>
      </c>
      <c r="F72" s="131"/>
      <c r="G72" s="131"/>
      <c r="H72" s="132"/>
      <c r="I72" s="2278"/>
      <c r="J72" s="1282"/>
      <c r="K72" s="1282"/>
      <c r="L72" s="1282"/>
      <c r="M72" s="1282"/>
      <c r="N72" s="1282"/>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3">
        <v>1</v>
      </c>
      <c r="B73" s="121" t="s">
        <v>1893</v>
      </c>
      <c r="C73" s="124">
        <f>ROUND(D46/(1+'数据-取费表'!F30),0)</f>
        <v>0</v>
      </c>
      <c r="D73" s="117" t="s">
        <v>41</v>
      </c>
      <c r="E73" s="1883"/>
      <c r="F73" s="1884"/>
      <c r="G73" s="1884"/>
      <c r="H73" s="134"/>
      <c r="I73" s="2278"/>
      <c r="J73" s="1282"/>
      <c r="K73" s="1282"/>
      <c r="L73" s="1282"/>
      <c r="M73" s="1282"/>
      <c r="N73" s="1282"/>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14.25">
      <c r="A74" s="135">
        <v>2</v>
      </c>
      <c r="B74" s="89" t="s">
        <v>1895</v>
      </c>
      <c r="C74" s="124">
        <f>C75+C79</f>
        <v>0</v>
      </c>
      <c r="D74" s="117" t="s">
        <v>41</v>
      </c>
      <c r="E74" s="1883"/>
      <c r="F74" s="1884"/>
      <c r="G74" s="1884"/>
      <c r="H74" s="134"/>
      <c r="I74" s="2278"/>
      <c r="J74" s="1282"/>
      <c r="K74" s="1282"/>
      <c r="L74" s="1282"/>
      <c r="M74" s="1282"/>
      <c r="N74" s="1282"/>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73</v>
      </c>
      <c r="B75" s="115" t="s">
        <v>1896</v>
      </c>
      <c r="C75" s="117">
        <f>ROUND(IF(G78="2016年5月1日后购买",C76/(1+'数据-取费表'!F30)+C77+C78,C76+C77+C78),0)</f>
        <v>0</v>
      </c>
      <c r="D75" s="117" t="s">
        <v>41</v>
      </c>
      <c r="E75" s="1883"/>
      <c r="F75" s="1884"/>
      <c r="G75" s="1884"/>
      <c r="H75" s="134"/>
      <c r="I75" s="2278"/>
      <c r="J75" s="1282"/>
      <c r="K75" s="1282"/>
      <c r="L75" s="1282"/>
      <c r="M75" s="1282"/>
      <c r="N75" s="1282"/>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14.25">
      <c r="A76" s="136" t="s">
        <v>74</v>
      </c>
      <c r="B76" s="115" t="s">
        <v>1897</v>
      </c>
      <c r="C76" s="137"/>
      <c r="D76" s="117" t="s">
        <v>41</v>
      </c>
      <c r="E76" s="138" t="s">
        <v>1898</v>
      </c>
      <c r="F76" s="2279" t="s">
        <v>1899</v>
      </c>
      <c r="G76" s="138" t="s">
        <v>1900</v>
      </c>
      <c r="H76" s="139"/>
      <c r="I76" s="9"/>
      <c r="J76" s="1282"/>
      <c r="K76" s="1282"/>
      <c r="L76" s="1282"/>
      <c r="M76" s="1282"/>
      <c r="N76" s="1282"/>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75</v>
      </c>
      <c r="B77" s="140" t="s">
        <v>1901</v>
      </c>
      <c r="C77" s="117">
        <f>IF(F76="购房发票",ROUND(C76*H76*D77,0),0)</f>
        <v>0</v>
      </c>
      <c r="D77" s="141">
        <v>0.05</v>
      </c>
      <c r="E77" s="3027" t="s">
        <v>1902</v>
      </c>
      <c r="F77" s="3026"/>
      <c r="G77" s="3026"/>
      <c r="H77" s="3041"/>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80" t="s">
        <v>1905</v>
      </c>
      <c r="H78" s="1885" t="str">
        <f>IF(G78="个人买卖住房","免征印花税"," ")</f>
        <v xml:space="preserve"> </v>
      </c>
      <c r="I78" s="2278"/>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24.75" customHeight="1">
      <c r="A79" s="136" t="s">
        <v>77</v>
      </c>
      <c r="B79" s="115" t="s">
        <v>1906</v>
      </c>
      <c r="C79" s="144">
        <f>ROUND(D46*D79/(1+'数据-取费表'!F30),0)</f>
        <v>0</v>
      </c>
      <c r="D79" s="145">
        <f>'数据-取费表'!E31</f>
        <v>6.000000000000001E-3</v>
      </c>
      <c r="E79" s="3018" t="s">
        <v>1907</v>
      </c>
      <c r="F79" s="3019"/>
      <c r="G79" s="3019"/>
      <c r="H79" s="3020"/>
      <c r="I79" s="2281"/>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14.25">
      <c r="A80" s="146" t="s">
        <v>42</v>
      </c>
      <c r="B80" s="121" t="s">
        <v>1908</v>
      </c>
      <c r="C80" s="124">
        <f>C73-C74</f>
        <v>0</v>
      </c>
      <c r="D80" s="117" t="s">
        <v>41</v>
      </c>
      <c r="E80" s="1883"/>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14.25">
      <c r="A81" s="146" t="s">
        <v>43</v>
      </c>
      <c r="B81" s="121" t="s">
        <v>1909</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15" thickBot="1">
      <c r="A82" s="148" t="s">
        <v>44</v>
      </c>
      <c r="B82" s="126" t="s">
        <v>1910</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5" thickBot="1">
      <c r="A84" s="3050" t="s">
        <v>1911</v>
      </c>
      <c r="B84" s="3051"/>
      <c r="C84" s="3051"/>
      <c r="D84" s="3051"/>
      <c r="E84" s="3051"/>
      <c r="F84" s="3051"/>
      <c r="G84" s="3051"/>
      <c r="H84" s="3051"/>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14.25">
      <c r="A85" s="3046" t="s">
        <v>1872</v>
      </c>
      <c r="B85" s="3047"/>
      <c r="C85" s="1880"/>
      <c r="D85" s="1880" t="s">
        <v>1873</v>
      </c>
      <c r="E85" s="130" t="s">
        <v>1874</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3">
        <v>1</v>
      </c>
      <c r="B86" s="121" t="s">
        <v>1893</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5">
        <v>2</v>
      </c>
      <c r="B87" s="89" t="s">
        <v>1895</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73</v>
      </c>
      <c r="B88" s="115" t="s">
        <v>1912</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74</v>
      </c>
      <c r="B89" s="115" t="s">
        <v>1913</v>
      </c>
      <c r="C89" s="157"/>
      <c r="D89" s="145"/>
      <c r="E89" s="158" t="s">
        <v>1914</v>
      </c>
      <c r="F89" s="1877"/>
      <c r="G89" s="159" t="s">
        <v>1915</v>
      </c>
      <c r="H89" s="2282"/>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75</v>
      </c>
      <c r="B90" s="115" t="s">
        <v>1903</v>
      </c>
      <c r="C90" s="144">
        <f>ROUND(C89*D90,0)</f>
        <v>0</v>
      </c>
      <c r="D90" s="145">
        <f>'数据-取费表'!E36+'数据-取费表'!E37</f>
        <v>3.0499999999999999E-2</v>
      </c>
      <c r="E90" s="158" t="s">
        <v>1916</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14.25">
      <c r="A91" s="136" t="s">
        <v>77</v>
      </c>
      <c r="B91" s="115" t="s">
        <v>1917</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30.75" customHeight="1">
      <c r="A92" s="136" t="s">
        <v>78</v>
      </c>
      <c r="B92" s="115" t="s">
        <v>1918</v>
      </c>
      <c r="C92" s="144">
        <f>IF(H92="——",成本法!C33,I92)</f>
        <v>0</v>
      </c>
      <c r="D92" s="145"/>
      <c r="E92" s="3018" t="s">
        <v>1919</v>
      </c>
      <c r="F92" s="3019"/>
      <c r="G92" s="3019"/>
      <c r="H92" s="2283" t="s">
        <v>1920</v>
      </c>
      <c r="I92" s="2284"/>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79</v>
      </c>
      <c r="B93" s="115" t="s">
        <v>1921</v>
      </c>
      <c r="C93" s="144">
        <f>ROUND((C88+C91+C92)*D93,0)</f>
        <v>0</v>
      </c>
      <c r="D93" s="145">
        <v>0.1</v>
      </c>
      <c r="E93" s="3018" t="s">
        <v>1922</v>
      </c>
      <c r="F93" s="3019"/>
      <c r="G93" s="3019"/>
      <c r="H93" s="3020"/>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80</v>
      </c>
      <c r="B94" s="115" t="s">
        <v>1906</v>
      </c>
      <c r="C94" s="144">
        <f>ROUND(D46*D94/(1+'数据-取费表'!F30),0)</f>
        <v>0</v>
      </c>
      <c r="D94" s="145">
        <f>'数据-取费表'!E31</f>
        <v>6.000000000000001E-3</v>
      </c>
      <c r="E94" s="3018" t="s">
        <v>1907</v>
      </c>
      <c r="F94" s="3019"/>
      <c r="G94" s="3019"/>
      <c r="H94" s="3020"/>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25.5" customHeight="1">
      <c r="A95" s="136" t="s">
        <v>81</v>
      </c>
      <c r="B95" s="115" t="s">
        <v>1923</v>
      </c>
      <c r="C95" s="144">
        <f>ROUND((C88+C91+C92)*D95,0)</f>
        <v>0</v>
      </c>
      <c r="D95" s="145">
        <v>0.2</v>
      </c>
      <c r="E95" s="3018" t="s">
        <v>1924</v>
      </c>
      <c r="F95" s="3019"/>
      <c r="G95" s="3019"/>
      <c r="H95" s="3020"/>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14.25">
      <c r="A96" s="146" t="s">
        <v>42</v>
      </c>
      <c r="B96" s="121" t="s">
        <v>1908</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14.25">
      <c r="A97" s="146" t="s">
        <v>43</v>
      </c>
      <c r="B97" s="121" t="s">
        <v>1909</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s="2276" customFormat="1" ht="15" thickBot="1">
      <c r="A98" s="148" t="s">
        <v>44</v>
      </c>
      <c r="B98" s="126" t="s">
        <v>1910</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7"/>
      <c r="AB98" s="2277"/>
      <c r="AC98" s="2277"/>
      <c r="AD98" s="2277"/>
      <c r="AE98" s="2277"/>
      <c r="AF98" s="2277"/>
      <c r="AG98" s="2277"/>
      <c r="AH98" s="2277"/>
      <c r="AI98" s="2277"/>
    </row>
    <row r="99" spans="1:35" ht="21.75" customHeight="1" thickBot="1">
      <c r="A99" s="2246" t="s">
        <v>1925</v>
      </c>
      <c r="B99" s="2190"/>
      <c r="C99" s="2190"/>
      <c r="D99" s="2190"/>
      <c r="E99" s="1018"/>
      <c r="F99" s="1018"/>
      <c r="G99" s="1018"/>
      <c r="H99" s="2243"/>
      <c r="I99" s="2190"/>
    </row>
    <row r="100" spans="1:35" ht="15.75">
      <c r="A100" s="3073" t="s">
        <v>1926</v>
      </c>
      <c r="B100" s="3074"/>
      <c r="C100" s="3074"/>
      <c r="D100" s="3075"/>
      <c r="E100" s="2190"/>
      <c r="F100" s="3084" t="s">
        <v>1927</v>
      </c>
      <c r="G100" s="3085"/>
      <c r="H100" s="3085"/>
      <c r="I100" s="3086"/>
    </row>
    <row r="101" spans="1:35" ht="15.75">
      <c r="A101" s="3087" t="s">
        <v>1928</v>
      </c>
      <c r="B101" s="3088"/>
      <c r="C101" s="720">
        <f>C4</f>
        <v>0</v>
      </c>
      <c r="D101" s="721">
        <f>D4</f>
        <v>0</v>
      </c>
      <c r="E101" s="2190"/>
      <c r="F101" s="2983" t="s">
        <v>1929</v>
      </c>
      <c r="G101" s="2984"/>
      <c r="H101" s="3109" t="s">
        <v>1930</v>
      </c>
      <c r="I101" s="2982"/>
    </row>
    <row r="102" spans="1:35" ht="15.75">
      <c r="A102" s="3110" t="s">
        <v>1990</v>
      </c>
      <c r="B102" s="2285" t="str">
        <f>IF(H19="元","总价（元）","总价（万元）")</f>
        <v>总价（元）</v>
      </c>
      <c r="C102" s="720" t="e">
        <f ca="1">C19</f>
        <v>#REF!</v>
      </c>
      <c r="D102" s="721" t="e">
        <f ca="1">D19</f>
        <v>#REF!</v>
      </c>
      <c r="E102" s="2190"/>
      <c r="F102" s="3111"/>
      <c r="G102" s="3112"/>
      <c r="H102" s="2981">
        <f>典型户型修正!B25</f>
        <v>0</v>
      </c>
      <c r="I102" s="2982"/>
    </row>
    <row r="103" spans="1:35" ht="15.75">
      <c r="A103" s="3110"/>
      <c r="B103" s="2285" t="s">
        <v>1932</v>
      </c>
      <c r="C103" s="722" t="e">
        <f ca="1">C20</f>
        <v>#REF!</v>
      </c>
      <c r="D103" s="723" t="e">
        <f ca="1">D20</f>
        <v>#REF!</v>
      </c>
      <c r="E103" s="2190"/>
      <c r="F103" s="3010" t="s">
        <v>1933</v>
      </c>
      <c r="G103" s="3011"/>
      <c r="H103" s="2286" t="str">
        <f>C109</f>
        <v>总价（元）</v>
      </c>
      <c r="I103" s="1858">
        <f>H124</f>
        <v>0</v>
      </c>
    </row>
    <row r="104" spans="1:35" ht="15">
      <c r="A104" s="3110" t="s">
        <v>1991</v>
      </c>
      <c r="B104" s="2287" t="str">
        <f>B102</f>
        <v>总价（元）</v>
      </c>
      <c r="C104" s="1186" t="e">
        <f ca="1">ROUND(IF('数据-取费表'!B4="总价",G19,IF(H19="元",G20*'数据-取费表'!E5,G20*'数据-取费表'!E5/10000)),0)</f>
        <v>#REF!</v>
      </c>
      <c r="D104" s="725"/>
      <c r="E104" s="2190"/>
      <c r="F104" s="3010"/>
      <c r="G104" s="3011"/>
      <c r="H104" s="2286" t="s">
        <v>1932</v>
      </c>
      <c r="I104" s="1046" t="e">
        <f>I124</f>
        <v>#DIV/0!</v>
      </c>
    </row>
    <row r="105" spans="1:35" ht="15.75">
      <c r="A105" s="3110"/>
      <c r="B105" s="2285" t="s">
        <v>1932</v>
      </c>
      <c r="C105" s="1187" t="e">
        <f ca="1">ROUND(IF('数据-取费表'!B4="楼面单价",G20,IF(H19="元",G19/'数据-取费表'!E5,G19*10000/'数据-取费表'!E5)),0)</f>
        <v>#REF!</v>
      </c>
      <c r="D105" s="725"/>
      <c r="E105" s="2190"/>
      <c r="F105" s="3082"/>
      <c r="G105" s="3083"/>
      <c r="H105" s="3067"/>
      <c r="I105" s="3068"/>
    </row>
    <row r="106" spans="1:35" ht="15.75">
      <c r="A106" s="3103" t="s">
        <v>1992</v>
      </c>
      <c r="B106" s="2325" t="str">
        <f>B102</f>
        <v>总价（元）</v>
      </c>
      <c r="C106" s="724">
        <f>H124</f>
        <v>0</v>
      </c>
      <c r="D106" s="1185"/>
      <c r="E106" s="2190"/>
      <c r="F106" s="3071" t="s">
        <v>1936</v>
      </c>
      <c r="G106" s="3072"/>
      <c r="H106" s="2289" t="str">
        <f>C111</f>
        <v>总额（元）</v>
      </c>
      <c r="I106" s="1858">
        <f>SUMIF(I107:I109,"&lt;9E307")</f>
        <v>0</v>
      </c>
    </row>
    <row r="107" spans="1:35" ht="15.75" thickBot="1">
      <c r="A107" s="3066"/>
      <c r="B107" s="2288" t="s">
        <v>1932</v>
      </c>
      <c r="C107" s="726" t="e">
        <f>I124</f>
        <v>#DIV/0!</v>
      </c>
      <c r="D107" s="727"/>
      <c r="E107" s="2190"/>
      <c r="F107" s="2999" t="s">
        <v>1938</v>
      </c>
      <c r="G107" s="3000"/>
      <c r="H107" s="2289" t="str">
        <f>C112</f>
        <v>总额（元）</v>
      </c>
      <c r="I107" s="1046">
        <f>IF(D37="同一抵押权人同一抵押物续贷",C37&amp;"（未扣减，详见特别提示）",C37)</f>
        <v>0</v>
      </c>
      <c r="K107" s="2200" t="str">
        <f>IF(D126=0,"本次评估不存在"&amp;A126,"本次评估"&amp;A126&amp;"为"&amp;D126&amp;"元人民币。")</f>
        <v>本次评估不存在——</v>
      </c>
    </row>
    <row r="108" spans="1:35" ht="15">
      <c r="A108" s="3106" t="s">
        <v>1935</v>
      </c>
      <c r="B108" s="3107"/>
      <c r="C108" s="3107"/>
      <c r="D108" s="3108"/>
      <c r="E108" s="2190"/>
      <c r="F108" s="2999" t="s">
        <v>1939</v>
      </c>
      <c r="G108" s="3000"/>
      <c r="H108" s="2289" t="str">
        <f>C113</f>
        <v>总额（元）</v>
      </c>
      <c r="I108" s="1046">
        <f>C38</f>
        <v>0</v>
      </c>
      <c r="K108" s="2290"/>
    </row>
    <row r="109" spans="1:35" ht="15">
      <c r="A109" s="2997" t="s">
        <v>1993</v>
      </c>
      <c r="B109" s="2998"/>
      <c r="C109" s="2286" t="str">
        <f>B102</f>
        <v>总价（元）</v>
      </c>
      <c r="D109" s="1047">
        <f>H124</f>
        <v>0</v>
      </c>
      <c r="E109" s="2190"/>
      <c r="F109" s="2999" t="s">
        <v>1941</v>
      </c>
      <c r="G109" s="3000"/>
      <c r="H109" s="2289" t="str">
        <f>C114</f>
        <v>总额（元）</v>
      </c>
      <c r="I109" s="1046">
        <f>C39</f>
        <v>0</v>
      </c>
    </row>
    <row r="110" spans="1:35" ht="15.75">
      <c r="A110" s="2997"/>
      <c r="B110" s="2998"/>
      <c r="C110" s="2286" t="s">
        <v>1932</v>
      </c>
      <c r="D110" s="1048" t="e">
        <f>I124</f>
        <v>#DIV/0!</v>
      </c>
      <c r="E110" s="2190"/>
      <c r="F110" s="3082"/>
      <c r="G110" s="3083"/>
      <c r="H110" s="3069"/>
      <c r="I110" s="3070"/>
    </row>
    <row r="111" spans="1:35" ht="28.5" customHeight="1">
      <c r="A111" s="3004" t="s">
        <v>1940</v>
      </c>
      <c r="B111" s="3005"/>
      <c r="C111" s="2289" t="str">
        <f>IF(H19="元","总额（元）","总额（万元）")</f>
        <v>总额（元）</v>
      </c>
      <c r="D111" s="1047">
        <f>IF(D37="正常操作",I107+I108+I109,I108+I109)</f>
        <v>0</v>
      </c>
      <c r="E111" s="2190"/>
      <c r="F111" s="2985" t="str">
        <f>IF(项目基本情况!F5="已注销","——","3.房地产抵押价值")</f>
        <v>3.房地产抵押价值</v>
      </c>
      <c r="G111" s="2986"/>
      <c r="H111" s="2326" t="str">
        <f>C115</f>
        <v>总价（元）</v>
      </c>
      <c r="I111" s="1858">
        <f>IF(F111="——","——",I103-I106)</f>
        <v>0</v>
      </c>
    </row>
    <row r="112" spans="1:35" ht="15">
      <c r="A112" s="2999" t="s">
        <v>1938</v>
      </c>
      <c r="B112" s="3000"/>
      <c r="C112" s="2289" t="str">
        <f>C111</f>
        <v>总额（元）</v>
      </c>
      <c r="D112" s="637">
        <f>IF(D37="同一抵押权人同一抵押物续贷",C37&amp;"（未扣减，详见特别提示）",C37)</f>
        <v>0</v>
      </c>
      <c r="E112" s="2190"/>
      <c r="F112" s="3101"/>
      <c r="G112" s="3102"/>
      <c r="H112" s="2286" t="s">
        <v>1932</v>
      </c>
      <c r="I112" s="2292" t="e">
        <f>D116</f>
        <v>#DIV/0!</v>
      </c>
    </row>
    <row r="113" spans="1:26" ht="15.75">
      <c r="A113" s="2999" t="s">
        <v>1939</v>
      </c>
      <c r="B113" s="3000"/>
      <c r="C113" s="2289" t="str">
        <f>C111</f>
        <v>总额（元）</v>
      </c>
      <c r="D113" s="637">
        <f>C38</f>
        <v>0</v>
      </c>
      <c r="E113" s="2190"/>
      <c r="F113" s="2985" t="str">
        <f>IF(项目基本情况!F5="已注销及未注销","4.抵押担保权已注销时的房地产抵押价值",IF(项目基本情况!F5="已注销","3.抵押担保权已注销时的房地产抵押价值","——"))</f>
        <v>——</v>
      </c>
      <c r="G113" s="2986"/>
      <c r="H113" s="2326" t="str">
        <f>C117</f>
        <v>总价（元）</v>
      </c>
      <c r="I113" s="1858" t="str">
        <f>IF(F113="——","——",I103-I108-I109)</f>
        <v>——</v>
      </c>
    </row>
    <row r="114" spans="1:26" ht="15">
      <c r="A114" s="2999" t="s">
        <v>1941</v>
      </c>
      <c r="B114" s="3000"/>
      <c r="C114" s="2289" t="str">
        <f>C111</f>
        <v>总额（元）</v>
      </c>
      <c r="D114" s="637">
        <f>C39</f>
        <v>0</v>
      </c>
      <c r="E114" s="2190"/>
      <c r="F114" s="3101"/>
      <c r="G114" s="3102"/>
      <c r="H114" s="2286" t="s">
        <v>1932</v>
      </c>
      <c r="I114" s="1046" t="str">
        <f>D118</f>
        <v>——</v>
      </c>
    </row>
    <row r="115" spans="1:26" ht="15.75">
      <c r="A115" s="2997" t="str">
        <f>IF(项目基本情况!F5="已注销","——","3.房地产抵押价值")</f>
        <v>3.房地产抵押价值</v>
      </c>
      <c r="B115" s="2998"/>
      <c r="C115" s="2286" t="str">
        <f>B102</f>
        <v>总价（元）</v>
      </c>
      <c r="D115" s="1047">
        <f>IF(A115="——","——",D109-D111)</f>
        <v>0</v>
      </c>
      <c r="E115" s="2190"/>
      <c r="F115" s="2985" t="str">
        <f>IF(项目基本情况!G5="抵押净值",IF(OR(项目基本情况!F5="已注销",项目基本情况!F5="房地产抵押价值"),"4.抵押净值","5.抵押净值"),"——")</f>
        <v>——</v>
      </c>
      <c r="G115" s="2986"/>
      <c r="H115" s="2286" t="str">
        <f>C119</f>
        <v>总价（元）</v>
      </c>
      <c r="I115" s="1858" t="str">
        <f>IF(F115="——","——",N60)</f>
        <v>——</v>
      </c>
    </row>
    <row r="116" spans="1:26" ht="15.75" thickBot="1">
      <c r="A116" s="2997"/>
      <c r="B116" s="2998"/>
      <c r="C116" s="2286" t="s">
        <v>1994</v>
      </c>
      <c r="D116" s="1048" t="e">
        <f>ROUND(IF(D115=D109,D110,IF(H19="元",D115/B124,D115*10000/B124)),0)</f>
        <v>#DIV/0!</v>
      </c>
      <c r="E116" s="2190"/>
      <c r="F116" s="2987"/>
      <c r="G116" s="2988"/>
      <c r="H116" s="2294" t="s">
        <v>1994</v>
      </c>
      <c r="I116" s="1860" t="str">
        <f>D120</f>
        <v>——</v>
      </c>
    </row>
    <row r="117" spans="1:26" ht="15.75">
      <c r="A117" s="2997" t="str">
        <f>IF(项目基本情况!F5="已注销及未注销","4.抵押担保权已注销时的房地产抵押价值",IF(项目基本情况!F5="已注销","3.抵押担保权已注销时的房地产抵押价值","——"))</f>
        <v>——</v>
      </c>
      <c r="B117" s="2998"/>
      <c r="C117" s="2286" t="str">
        <f>B102</f>
        <v>总价（元）</v>
      </c>
      <c r="D117" s="1047" t="str">
        <f>IF(A117="——","——",D109-D113-D114)</f>
        <v>——</v>
      </c>
      <c r="E117" s="2190"/>
      <c r="F117" s="3097"/>
      <c r="G117" s="3097"/>
      <c r="H117" s="3053"/>
      <c r="I117" s="3053"/>
      <c r="N117" s="55"/>
      <c r="O117" s="55"/>
    </row>
    <row r="118" spans="1:26" s="1841" customFormat="1" ht="15">
      <c r="A118" s="2997"/>
      <c r="B118" s="2998"/>
      <c r="C118" s="2286" t="s">
        <v>1994</v>
      </c>
      <c r="D118" s="1048" t="str">
        <f>IF(A117="——","——",IF(H19="元",ROUND(D117/B124,0),ROUND(D117*10000/B124,0)))</f>
        <v>——</v>
      </c>
      <c r="E118" s="2190"/>
      <c r="F118" s="3105" t="str">
        <f>IF(B32="总价","（以上估价结果中楼面单价为总价除以建筑面积得出）","（以上估价结果中总价为楼面单价乘以建筑面积得出）")</f>
        <v>（以上估价结果中总价为楼面单价乘以建筑面积得出）</v>
      </c>
      <c r="G118" s="3105"/>
      <c r="H118" s="3105"/>
      <c r="I118" s="3105"/>
      <c r="J118" s="798"/>
      <c r="K118" s="798"/>
      <c r="L118" s="798"/>
      <c r="M118" s="798"/>
      <c r="N118" s="55"/>
      <c r="O118" s="55"/>
      <c r="P118" s="798"/>
      <c r="Q118" s="798"/>
      <c r="R118" s="798"/>
      <c r="S118" s="798"/>
      <c r="T118" s="798"/>
      <c r="U118" s="798"/>
      <c r="V118" s="798"/>
      <c r="W118" s="798"/>
      <c r="X118" s="798"/>
      <c r="Y118" s="798"/>
      <c r="Z118" s="798"/>
    </row>
    <row r="119" spans="1:26" s="1841" customFormat="1" ht="15">
      <c r="A119" s="2997" t="str">
        <f>IF(项目基本情况!G5="抵押净值",IF(OR(项目基本情况!F5="已注销",项目基本情况!F5="房地产抵押价值"),"4.抵押净值","5.抵押净值"),"——")</f>
        <v>——</v>
      </c>
      <c r="B119" s="2998"/>
      <c r="C119" s="2286" t="str">
        <f>B102</f>
        <v>总价（元）</v>
      </c>
      <c r="D119" s="1047"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3002"/>
      <c r="B120" s="3003"/>
      <c r="C120" s="2294" t="s">
        <v>1994</v>
      </c>
      <c r="D120" s="1049"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1" customFormat="1" ht="15">
      <c r="A121" s="3054" t="s">
        <v>1995</v>
      </c>
      <c r="B121" s="3055"/>
      <c r="C121" s="3055"/>
      <c r="D121" s="3055"/>
      <c r="E121" s="3055"/>
      <c r="F121" s="3055"/>
      <c r="G121" s="3055"/>
      <c r="H121" s="3055"/>
      <c r="I121" s="3055"/>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978" t="s">
        <v>1943</v>
      </c>
      <c r="B122" s="3008" t="s">
        <v>1996</v>
      </c>
      <c r="C122" s="3008" t="s">
        <v>1997</v>
      </c>
      <c r="D122" s="3080" t="s">
        <v>1946</v>
      </c>
      <c r="E122" s="3081"/>
      <c r="F122" s="2979" t="s">
        <v>1998</v>
      </c>
      <c r="G122" s="2979"/>
      <c r="H122" s="2979" t="s">
        <v>1947</v>
      </c>
      <c r="I122" s="3079"/>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978"/>
      <c r="B123" s="3009"/>
      <c r="C123" s="3009"/>
      <c r="D123" s="1882" t="s">
        <v>1948</v>
      </c>
      <c r="E123" s="1882" t="s">
        <v>1949</v>
      </c>
      <c r="F123" s="1882" t="s">
        <v>1948</v>
      </c>
      <c r="G123" s="1882" t="s">
        <v>1950</v>
      </c>
      <c r="H123" s="1882" t="s">
        <v>1948</v>
      </c>
      <c r="I123" s="637" t="s">
        <v>1950</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6"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978" t="s">
        <v>1951</v>
      </c>
      <c r="B125" s="2979"/>
      <c r="C125" s="2979"/>
      <c r="D125" s="3012" t="str">
        <f>IF(H19="元",NUMBERSTRING(INT(D124),2)&amp;"元整",NUMBERSTRING(INT(D124*10000),2)&amp;"元整")</f>
        <v>零元整</v>
      </c>
      <c r="E125" s="3059"/>
      <c r="F125" s="3012" t="str">
        <f>IF(H19="元",NUMBERSTRING(INT(F124),2)&amp;"元整",NUMBERSTRING(INT(F124*10000),2)&amp;"元整")</f>
        <v>零元整</v>
      </c>
      <c r="G125" s="3059"/>
      <c r="H125" s="3012" t="str">
        <f>IF(H19="元",NUMBERSTRING(INT(H124),2)&amp;"元整",NUMBERSTRING(INT(H124*10000),2)&amp;"元整")</f>
        <v>零元整</v>
      </c>
      <c r="I125" s="3013"/>
      <c r="J125" s="798"/>
      <c r="K125" s="798"/>
      <c r="L125" s="798"/>
      <c r="M125" s="798"/>
      <c r="N125" s="798"/>
      <c r="O125" s="798"/>
      <c r="P125" s="798"/>
      <c r="Q125" s="798"/>
      <c r="R125" s="798"/>
      <c r="S125" s="798"/>
      <c r="T125" s="798"/>
      <c r="U125" s="798"/>
      <c r="V125" s="798"/>
      <c r="W125" s="798"/>
      <c r="X125" s="798"/>
      <c r="Y125" s="798"/>
      <c r="Z125" s="798"/>
    </row>
    <row r="126" spans="1:26" s="1841" customFormat="1" ht="15">
      <c r="A126" s="3060" t="str">
        <f>IF(项目基本情况!D5="房地产市场价值","——",MID(A111,3,LEN(A111)-2))</f>
        <v>——</v>
      </c>
      <c r="B126" s="2990"/>
      <c r="C126" s="3061"/>
      <c r="D126" s="2989">
        <f>I106</f>
        <v>0</v>
      </c>
      <c r="E126" s="2990"/>
      <c r="F126" s="2990"/>
      <c r="G126" s="2990"/>
      <c r="H126" s="2990"/>
      <c r="I126" s="2991"/>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3062" t="s">
        <v>1951</v>
      </c>
      <c r="B127" s="3063"/>
      <c r="C127" s="3064"/>
      <c r="D127" s="2992">
        <f>H110</f>
        <v>0</v>
      </c>
      <c r="E127" s="2993"/>
      <c r="F127" s="2993"/>
      <c r="G127" s="2993"/>
      <c r="H127" s="2993"/>
      <c r="I127" s="2994"/>
      <c r="J127" s="798"/>
      <c r="K127" s="798"/>
      <c r="L127" s="798"/>
      <c r="M127" s="798"/>
      <c r="N127" s="798"/>
      <c r="O127" s="798"/>
      <c r="P127" s="798"/>
      <c r="Q127" s="798"/>
      <c r="R127" s="798"/>
      <c r="S127" s="798"/>
      <c r="T127" s="798"/>
      <c r="U127" s="798"/>
      <c r="V127" s="798"/>
      <c r="W127" s="798"/>
      <c r="X127" s="798"/>
      <c r="Y127" s="798"/>
      <c r="Z127" s="798"/>
    </row>
    <row r="128" spans="1:26" s="1841" customFormat="1" ht="15">
      <c r="A128" s="2995" t="str">
        <f>IF(项目基本情况!D5="房地产市场价值","——",MID(A115,3,LEN(A115)-2))</f>
        <v>——</v>
      </c>
      <c r="B128" s="2996"/>
      <c r="C128" s="2996"/>
      <c r="D128" s="2989">
        <f>I111</f>
        <v>0</v>
      </c>
      <c r="E128" s="2990"/>
      <c r="F128" s="2990"/>
      <c r="G128" s="2990"/>
      <c r="H128" s="2990"/>
      <c r="I128" s="2991"/>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978" t="s">
        <v>1951</v>
      </c>
      <c r="B129" s="2979"/>
      <c r="C129" s="2979"/>
      <c r="D129" s="2992" t="e">
        <f>I112</f>
        <v>#DIV/0!</v>
      </c>
      <c r="E129" s="2993"/>
      <c r="F129" s="2993"/>
      <c r="G129" s="2993"/>
      <c r="H129" s="2993"/>
      <c r="I129" s="2994"/>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995" t="str">
        <f>IF(项目基本情况!D5="房地产市场价值","——",MID(A117,3,LEN(A117)-2))</f>
        <v>——</v>
      </c>
      <c r="B130" s="2996"/>
      <c r="C130" s="2996"/>
      <c r="D130" s="3094" t="str">
        <f>I113</f>
        <v>——</v>
      </c>
      <c r="E130" s="3095"/>
      <c r="F130" s="3095"/>
      <c r="G130" s="3095"/>
      <c r="H130" s="3095"/>
      <c r="I130" s="3096"/>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978" t="s">
        <v>1951</v>
      </c>
      <c r="B131" s="2979"/>
      <c r="C131" s="2980"/>
      <c r="D131" s="3052" t="str">
        <f>I114</f>
        <v>——</v>
      </c>
      <c r="E131" s="3052"/>
      <c r="F131" s="3052"/>
      <c r="G131" s="3052"/>
      <c r="H131" s="3052"/>
      <c r="I131" s="3052"/>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995" t="str">
        <f>IF(项目基本情况!D5="房地产市场价值","——",MID(F115,3,LEN(F115)-2))</f>
        <v>——</v>
      </c>
      <c r="B132" s="2996"/>
      <c r="C132" s="2989"/>
      <c r="D132" s="3001" t="str">
        <f>I115</f>
        <v>——</v>
      </c>
      <c r="E132" s="3001"/>
      <c r="F132" s="3001"/>
      <c r="G132" s="3001"/>
      <c r="H132" s="3001"/>
      <c r="I132" s="3001"/>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3006" t="s">
        <v>1951</v>
      </c>
      <c r="B133" s="3007"/>
      <c r="C133" s="3007"/>
      <c r="D133" s="3014">
        <f>H117</f>
        <v>0</v>
      </c>
      <c r="E133" s="3015"/>
      <c r="F133" s="3015"/>
      <c r="G133" s="3015"/>
      <c r="H133" s="3015"/>
      <c r="I133" s="3016"/>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76" t="str">
        <f>IF(B32="总价","（以上估价结果中楼面单价为总价除以建筑面积得出）","（以上估价结果中总价为楼面单价乘以建筑面积得出）")</f>
        <v>（以上估价结果中总价为楼面单价乘以建筑面积得出）</v>
      </c>
      <c r="B135" s="2976"/>
      <c r="C135" s="2976"/>
      <c r="D135" s="2976"/>
      <c r="E135" s="2976"/>
      <c r="F135" s="2976"/>
      <c r="G135" s="2976"/>
      <c r="H135" s="2976"/>
      <c r="I135" s="2976"/>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5" t="s">
        <v>1952</v>
      </c>
      <c r="B136" s="2296"/>
      <c r="C136" s="2297" t="s">
        <v>1953</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8" t="s">
        <v>1954</v>
      </c>
      <c r="G142" s="2309"/>
      <c r="H142" s="2309"/>
      <c r="I142" s="2310" t="s">
        <v>1955</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1" t="s">
        <v>1956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9"/>
      <c r="C145" s="2309"/>
      <c r="D145" s="2309"/>
      <c r="E145" s="2309"/>
      <c r="F145" s="2309"/>
      <c r="G145" s="2309"/>
      <c r="H145" s="2309"/>
      <c r="I145" s="2310" t="s">
        <v>1957</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1" t="s">
        <v>1958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9"/>
      <c r="C148" s="2309"/>
      <c r="D148" s="2309"/>
      <c r="E148" s="2309"/>
      <c r="F148" s="2309"/>
      <c r="G148" s="2309"/>
      <c r="H148" s="2309"/>
      <c r="I148" s="2310" t="s">
        <v>1957</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77758</v>
      </c>
      <c r="C2" s="1964" t="str">
        <f>'数据-取费表'!B3</f>
        <v>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64"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0.05</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-78444</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-78444</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-1569</v>
      </c>
      <c r="D22" s="264"/>
      <c r="E22" s="264"/>
      <c r="F22" s="265">
        <f>'数据-取费表'!E25</f>
        <v>0.02</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0.02</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-16003</v>
      </c>
      <c r="D28" s="267">
        <f>C29</f>
        <v>0.20580000000000001</v>
      </c>
      <c r="E28" s="273" t="s">
        <v>12</v>
      </c>
      <c r="F28" s="284">
        <f>'数据-取费表'!E28</f>
        <v>0.2</v>
      </c>
      <c r="G28" s="269"/>
      <c r="H28" s="270"/>
      <c r="I28" s="270"/>
      <c r="J28" s="270"/>
      <c r="K28" s="271"/>
    </row>
    <row r="29" spans="1:33" s="288" customFormat="1" ht="13.5" customHeight="1">
      <c r="A29" s="1303" t="s">
        <v>1350</v>
      </c>
      <c r="B29" s="286" t="s">
        <v>1351</v>
      </c>
      <c r="C29" s="277">
        <f>ROUND((1+C24)*F28,4)</f>
        <v>0.20580000000000001</v>
      </c>
      <c r="D29" s="277"/>
      <c r="E29" s="278"/>
      <c r="F29" s="287"/>
      <c r="G29" s="231" t="s">
        <v>1352</v>
      </c>
      <c r="H29" s="254"/>
      <c r="I29" s="254"/>
      <c r="J29" s="254"/>
      <c r="K29" s="255"/>
    </row>
    <row r="30" spans="1:33" s="288" customFormat="1" ht="13.5" customHeight="1">
      <c r="A30" s="1303" t="s">
        <v>1353</v>
      </c>
      <c r="B30" s="286" t="s">
        <v>1354</v>
      </c>
      <c r="C30" s="289">
        <f>ROUND((C21+C22+C23)*F28,0)</f>
        <v>-16003</v>
      </c>
      <c r="D30" s="277"/>
      <c r="E30" s="290"/>
      <c r="F30" s="287"/>
      <c r="G30" s="231"/>
      <c r="H30" s="254"/>
      <c r="I30" s="254"/>
      <c r="J30" s="254"/>
      <c r="K30" s="255"/>
    </row>
    <row r="31" spans="1:33" s="266" customFormat="1" ht="13.5" customHeight="1" thickBot="1">
      <c r="A31" s="1966"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77758</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22" zoomScale="70" zoomScaleNormal="70" zoomScaleSheetLayoutView="100" workbookViewId="0">
      <selection activeCell="K19" sqref="K1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2090</v>
      </c>
      <c r="B1" s="306"/>
      <c r="C1" s="730"/>
      <c r="D1" s="2691"/>
      <c r="E1" s="2692"/>
      <c r="F1" s="2693"/>
      <c r="G1" s="269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2000</v>
      </c>
      <c r="B2" s="765" t="e">
        <f ca="1">IF(C2="元",IF('数据-取费表'!B28="租赁期内按合同租金",C40+L47+J29,C40+L47),ROUND(IF('数据-取费表'!B28="租赁期内按合同租金",(C40+L47+J29)/10000,(C40+L47)/10000),0))</f>
        <v>#DIV/0!</v>
      </c>
      <c r="C2" s="2331" t="str">
        <f>'数据-取费表'!B3</f>
        <v>元</v>
      </c>
      <c r="D2" s="1210"/>
      <c r="E2" s="1211"/>
      <c r="F2" s="1211"/>
      <c r="G2" s="1236"/>
      <c r="H2" s="729"/>
      <c r="I2" s="1212"/>
      <c r="J2" s="1212"/>
      <c r="K2" s="1213"/>
      <c r="L2" s="1212"/>
      <c r="M2" s="1212"/>
    </row>
    <row r="3" spans="1:37" ht="18" customHeight="1" thickBot="1">
      <c r="A3" s="310" t="s">
        <v>2001</v>
      </c>
      <c r="B3" s="766" t="e">
        <f ca="1">ROUND(IF('数据-取费表'!B28="租赁期内按合同租金",(C40+L47+J29)/F43,(C40+L47)/F43),0)</f>
        <v>#DIV/0!</v>
      </c>
      <c r="C3" s="2331" t="s">
        <v>2091</v>
      </c>
      <c r="D3" s="1210"/>
      <c r="E3" s="1211"/>
      <c r="F3" s="1211"/>
      <c r="G3" s="1236"/>
      <c r="H3" s="311" t="s">
        <v>2092</v>
      </c>
      <c r="I3" s="1212"/>
      <c r="J3" s="1212"/>
      <c r="K3" s="1213"/>
      <c r="L3" s="1212"/>
      <c r="M3" s="1212"/>
    </row>
    <row r="4" spans="1:37" ht="18" customHeight="1">
      <c r="A4" s="312" t="s">
        <v>2093</v>
      </c>
      <c r="B4" s="313" t="s">
        <v>2094</v>
      </c>
      <c r="C4" s="313" t="s">
        <v>2095</v>
      </c>
      <c r="D4" s="313" t="s">
        <v>2096</v>
      </c>
      <c r="E4" s="314" t="s">
        <v>2097</v>
      </c>
      <c r="F4" s="315"/>
      <c r="G4" s="1234"/>
      <c r="H4" s="312" t="s">
        <v>2093</v>
      </c>
      <c r="I4" s="313" t="s">
        <v>2094</v>
      </c>
      <c r="J4" s="313" t="s">
        <v>2095</v>
      </c>
      <c r="K4" s="313" t="s">
        <v>2096</v>
      </c>
      <c r="L4" s="314" t="s">
        <v>2097</v>
      </c>
      <c r="M4" s="315"/>
    </row>
    <row r="5" spans="1:37" ht="18" customHeight="1">
      <c r="A5" s="316">
        <v>1</v>
      </c>
      <c r="B5" s="317" t="s">
        <v>2098</v>
      </c>
      <c r="C5" s="318">
        <f ca="1">C6+C10+C12</f>
        <v>0</v>
      </c>
      <c r="D5" s="2745" t="s">
        <v>2817</v>
      </c>
      <c r="E5" s="1210"/>
      <c r="F5" s="1379"/>
      <c r="G5" s="1234"/>
      <c r="H5" s="316">
        <v>1</v>
      </c>
      <c r="I5" s="317" t="s">
        <v>2098</v>
      </c>
      <c r="J5" s="318">
        <f ca="1">J6+J10+J12</f>
        <v>0</v>
      </c>
      <c r="K5" s="2332" t="s">
        <v>2099</v>
      </c>
      <c r="L5" s="1210"/>
      <c r="M5" s="1379"/>
    </row>
    <row r="6" spans="1:37" ht="18" customHeight="1">
      <c r="A6" s="1380" t="s">
        <v>2100</v>
      </c>
      <c r="B6" s="2019" t="s">
        <v>2101</v>
      </c>
      <c r="C6" s="318">
        <f>ROUND(F6*F8*F7*(1-F9),0)</f>
        <v>0</v>
      </c>
      <c r="D6" s="80" t="s">
        <v>2790</v>
      </c>
      <c r="E6" s="319" t="s">
        <v>2102</v>
      </c>
      <c r="F6" s="320">
        <f>'数据-取费表'!B29</f>
        <v>0</v>
      </c>
      <c r="G6" s="1234"/>
      <c r="H6" s="1380" t="s">
        <v>2100</v>
      </c>
      <c r="I6" s="2019" t="s">
        <v>2101</v>
      </c>
      <c r="J6" s="318">
        <f>ROUND(M6*M8*M7*(1-M9),0)</f>
        <v>0</v>
      </c>
      <c r="K6" s="80" t="s">
        <v>2790</v>
      </c>
      <c r="L6" s="319" t="s">
        <v>2102</v>
      </c>
      <c r="M6" s="320">
        <f>'数据-取费表'!B36</f>
        <v>0</v>
      </c>
    </row>
    <row r="7" spans="1:37" ht="18" customHeight="1">
      <c r="A7" s="1443"/>
      <c r="B7" s="322"/>
      <c r="C7" s="323"/>
      <c r="D7" s="324"/>
      <c r="E7" s="319" t="s">
        <v>2103</v>
      </c>
      <c r="F7" s="320">
        <f>IF('数据-取费表'!B41="",IF(D1="仅计算典型户型",'数据-取费表'!E5,'数据-取费表'!B5),'数据-取费表'!B41)</f>
        <v>392.22</v>
      </c>
      <c r="G7" s="1234"/>
      <c r="H7" s="321"/>
      <c r="I7" s="322"/>
      <c r="J7" s="323"/>
      <c r="K7" s="324"/>
      <c r="L7" s="319" t="s">
        <v>2103</v>
      </c>
      <c r="M7" s="320">
        <f>IF('数据-取费表'!B41="",IF(D1="仅计算典型户型",'数据-取费表'!E5,'数据-取费表'!B5),'数据-取费表'!B41)</f>
        <v>392.22</v>
      </c>
    </row>
    <row r="8" spans="1:37" ht="18" customHeight="1">
      <c r="A8" s="1443"/>
      <c r="B8" s="322"/>
      <c r="C8" s="323"/>
      <c r="D8" s="324"/>
      <c r="E8" s="319" t="s">
        <v>2104</v>
      </c>
      <c r="F8" s="320">
        <f>'数据-取费表'!B42</f>
        <v>365</v>
      </c>
      <c r="G8" s="1234"/>
      <c r="H8" s="321"/>
      <c r="I8" s="322"/>
      <c r="J8" s="323"/>
      <c r="K8" s="324"/>
      <c r="L8" s="319" t="s">
        <v>2105</v>
      </c>
      <c r="M8" s="320">
        <f>'数据-取费表'!B42</f>
        <v>365</v>
      </c>
    </row>
    <row r="9" spans="1:37" ht="18" customHeight="1">
      <c r="A9" s="1443"/>
      <c r="B9" s="322"/>
      <c r="C9" s="323"/>
      <c r="D9" s="328"/>
      <c r="E9" s="319" t="s">
        <v>2106</v>
      </c>
      <c r="F9" s="329">
        <f>'数据-取费表'!B32</f>
        <v>0.15</v>
      </c>
      <c r="G9" s="1234"/>
      <c r="H9" s="321"/>
      <c r="I9" s="322"/>
      <c r="J9" s="1382"/>
      <c r="K9" s="95"/>
      <c r="L9" s="330" t="s">
        <v>2106</v>
      </c>
      <c r="M9" s="329">
        <f>'数据-取费表'!B38</f>
        <v>0</v>
      </c>
    </row>
    <row r="10" spans="1:37" ht="18" customHeight="1">
      <c r="A10" s="1380" t="s">
        <v>2107</v>
      </c>
      <c r="B10" s="2333" t="s">
        <v>2108</v>
      </c>
      <c r="C10" s="1381">
        <f ca="1">ROUND(IF(F10="押一",C6/12*F11,IF(F10="押二",C6/12*2*F11,IF(F10="押三",C6/12*3*F11,C11*F11))),0)</f>
        <v>0</v>
      </c>
      <c r="D10" s="2334" t="s">
        <v>2798</v>
      </c>
      <c r="E10" s="330" t="s">
        <v>2109</v>
      </c>
      <c r="F10" s="2335" t="s">
        <v>2110</v>
      </c>
      <c r="G10" s="1234"/>
      <c r="H10" s="1380" t="s">
        <v>2107</v>
      </c>
      <c r="I10" s="2333" t="s">
        <v>2108</v>
      </c>
      <c r="J10" s="1381">
        <f ca="1">ROUND(IF(M10="押一",J6/12*M11,IF(M10="押二",J6/12*2*M11,IF(M10="押三",J6/12*3*M11,J11*M11))),0)</f>
        <v>0</v>
      </c>
      <c r="K10" s="80" t="s">
        <v>2798</v>
      </c>
      <c r="L10" s="330" t="s">
        <v>2109</v>
      </c>
      <c r="M10" s="2335"/>
    </row>
    <row r="11" spans="1:37" s="341" customFormat="1" ht="18" customHeight="1">
      <c r="A11" s="348"/>
      <c r="B11" s="2336" t="s">
        <v>2111</v>
      </c>
      <c r="C11" s="1414"/>
      <c r="D11" s="324"/>
      <c r="E11" s="330" t="s">
        <v>2112</v>
      </c>
      <c r="F11" s="331">
        <f ca="1">'数据-取费表'!B30</f>
        <v>1.4999999999999999E-2</v>
      </c>
      <c r="G11" s="1235"/>
      <c r="H11" s="325"/>
      <c r="I11" s="2336" t="s">
        <v>2113</v>
      </c>
      <c r="J11" s="1414"/>
      <c r="K11" s="324"/>
      <c r="L11" s="330" t="s">
        <v>2112</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2114</v>
      </c>
      <c r="B12" s="2337" t="s">
        <v>2115</v>
      </c>
      <c r="C12" s="1421"/>
      <c r="D12" s="2338"/>
      <c r="E12" s="1427"/>
      <c r="F12" s="1422"/>
      <c r="G12" s="1234"/>
      <c r="H12" s="1420" t="s">
        <v>2114</v>
      </c>
      <c r="I12" s="2337" t="s">
        <v>2115</v>
      </c>
      <c r="J12" s="1421"/>
      <c r="K12" s="1437"/>
      <c r="L12" s="1427"/>
      <c r="M12" s="1438"/>
    </row>
    <row r="13" spans="1:37" s="341" customFormat="1" ht="18" customHeight="1" thickTop="1">
      <c r="A13" s="1416">
        <v>2</v>
      </c>
      <c r="B13" s="1417" t="s">
        <v>2116</v>
      </c>
      <c r="C13" s="327">
        <f ca="1">ROUND(C29*F13,0)</f>
        <v>2052743</v>
      </c>
      <c r="D13" s="1418" t="s">
        <v>2117</v>
      </c>
      <c r="E13" s="1418" t="s">
        <v>2118</v>
      </c>
      <c r="F13" s="1419">
        <f>'数据-取费表'!E20</f>
        <v>0.85</v>
      </c>
      <c r="G13" s="1235"/>
      <c r="H13" s="1416">
        <v>2</v>
      </c>
      <c r="I13" s="1417" t="s">
        <v>2116</v>
      </c>
      <c r="J13" s="1382">
        <f ca="1">ROUND(J14*J15,0)</f>
        <v>0</v>
      </c>
      <c r="K13" s="1423" t="s">
        <v>2117</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2119</v>
      </c>
      <c r="B14" s="319" t="s">
        <v>2120</v>
      </c>
      <c r="C14" s="338">
        <f>IF(D1="仅计算典型户型",'数据-取费表'!F18,'数据-取费表'!E18)</f>
        <v>1568880</v>
      </c>
      <c r="D14" s="1883" t="s">
        <v>2121</v>
      </c>
      <c r="E14" s="1884"/>
      <c r="F14" s="975"/>
      <c r="G14" s="1235"/>
      <c r="H14" s="337" t="s">
        <v>2100</v>
      </c>
      <c r="I14" s="319" t="s">
        <v>2122</v>
      </c>
      <c r="J14" s="14">
        <f ca="1">C29</f>
        <v>2414992</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2123</v>
      </c>
      <c r="B15" s="319" t="s">
        <v>2124</v>
      </c>
      <c r="C15" s="14">
        <f>ROUND(C14*F15,0)</f>
        <v>78444</v>
      </c>
      <c r="D15" s="339" t="s">
        <v>2125</v>
      </c>
      <c r="E15" s="339" t="s">
        <v>2126</v>
      </c>
      <c r="F15" s="340">
        <f>'数据-取费表'!E21</f>
        <v>0.05</v>
      </c>
      <c r="G15" s="1234"/>
      <c r="H15" s="1426" t="s">
        <v>2127</v>
      </c>
      <c r="I15" s="1427" t="s">
        <v>2128</v>
      </c>
      <c r="J15" s="1439">
        <f>'数据-取费表'!B39</f>
        <v>0</v>
      </c>
      <c r="K15" s="1440"/>
      <c r="L15" s="1441"/>
      <c r="M15" s="1442"/>
    </row>
    <row r="16" spans="1:37" s="341" customFormat="1" ht="18" customHeight="1" thickTop="1">
      <c r="A16" s="337" t="s">
        <v>2129</v>
      </c>
      <c r="B16" s="319" t="s">
        <v>2130</v>
      </c>
      <c r="C16" s="14">
        <f>ROUND(C14*F16,0)</f>
        <v>0</v>
      </c>
      <c r="D16" s="319" t="s">
        <v>2125</v>
      </c>
      <c r="E16" s="319" t="s">
        <v>2126</v>
      </c>
      <c r="F16" s="342">
        <f>IF('数据-取费表'!B10="住宅",'数据-取费表'!E22,0)</f>
        <v>0</v>
      </c>
      <c r="G16" s="1235"/>
      <c r="H16" s="1416" t="s">
        <v>14</v>
      </c>
      <c r="I16" s="1417" t="s">
        <v>2131</v>
      </c>
      <c r="J16" s="327">
        <f ca="1">ROUND(J17+J22+J23+J24,0)</f>
        <v>68586</v>
      </c>
      <c r="K16" s="1423" t="s">
        <v>2132</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2133</v>
      </c>
      <c r="B17" s="319" t="s">
        <v>2134</v>
      </c>
      <c r="C17" s="14">
        <f>ROUND(F17*IF(D1="仅计算典型户型",'数据-取费表'!E5,'数据-取费表'!B5),0)</f>
        <v>78444</v>
      </c>
      <c r="D17" s="319" t="s">
        <v>2135</v>
      </c>
      <c r="E17" s="319" t="s">
        <v>2136</v>
      </c>
      <c r="F17" s="16">
        <f>'数据-取费表'!E23</f>
        <v>200</v>
      </c>
      <c r="G17" s="1235"/>
      <c r="H17" s="337" t="s">
        <v>2137</v>
      </c>
      <c r="I17" s="319" t="s">
        <v>2138</v>
      </c>
      <c r="J17" s="14">
        <f ca="1">ROUND(IF(项目基本情况!B7="自然人",J6*M17/(1+'数据-取费表'!F30),J18+J19+J20),0)</f>
        <v>20286</v>
      </c>
      <c r="K17" s="1883" t="s">
        <v>2139</v>
      </c>
      <c r="L17" s="1888" t="s">
        <v>2140</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2141</v>
      </c>
      <c r="B18" s="319" t="s">
        <v>2142</v>
      </c>
      <c r="C18" s="14">
        <f>ROUND(C14*F18,0)</f>
        <v>23533</v>
      </c>
      <c r="D18" s="319" t="s">
        <v>2125</v>
      </c>
      <c r="E18" s="319" t="s">
        <v>2126</v>
      </c>
      <c r="F18" s="342">
        <f>'数据-取费表'!E24</f>
        <v>1.4999999999999999E-2</v>
      </c>
      <c r="G18" s="1234"/>
      <c r="H18" s="337" t="s">
        <v>2143</v>
      </c>
      <c r="I18" s="319" t="s">
        <v>2144</v>
      </c>
      <c r="J18" s="14">
        <f>IF(项目基本情况!B7="自然人","——",ROUND(J6*M18/(1+'数据-取费表'!F30),0))</f>
        <v>0</v>
      </c>
      <c r="K18" s="1888" t="s">
        <v>2819</v>
      </c>
      <c r="L18" s="319" t="s">
        <v>2126</v>
      </c>
      <c r="M18" s="342">
        <f>'数据-取费表'!E29</f>
        <v>5.6000000000000001E-2</v>
      </c>
    </row>
    <row r="19" spans="1:37" s="341" customFormat="1" ht="18" customHeight="1">
      <c r="A19" s="337" t="s">
        <v>2137</v>
      </c>
      <c r="B19" s="319" t="s">
        <v>2145</v>
      </c>
      <c r="C19" s="14">
        <f>SUM(C14:C18)</f>
        <v>1749301</v>
      </c>
      <c r="D19" s="56" t="s">
        <v>2146</v>
      </c>
      <c r="E19" s="1893"/>
      <c r="F19" s="16"/>
      <c r="G19" s="1235"/>
      <c r="H19" s="337" t="s">
        <v>2123</v>
      </c>
      <c r="I19" s="319" t="s">
        <v>2147</v>
      </c>
      <c r="J19" s="14">
        <f ca="1">IF(项目基本情况!B7="自然人","——",IF(K19="按租金收入计税",ROUND(J6*M19/(1+'数据-取费表'!F30),0),ROUND(C29*M19*0.7,0)))</f>
        <v>20286</v>
      </c>
      <c r="K19" s="2009" t="s">
        <v>2148</v>
      </c>
      <c r="L19" s="319" t="s">
        <v>2126</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2107</v>
      </c>
      <c r="B20" s="319" t="s">
        <v>2149</v>
      </c>
      <c r="C20" s="14">
        <f>ROUND(C19*F20,0)</f>
        <v>34986</v>
      </c>
      <c r="D20" s="344" t="s">
        <v>2150</v>
      </c>
      <c r="E20" s="319" t="s">
        <v>2151</v>
      </c>
      <c r="F20" s="342">
        <f>'数据-取费表'!E25</f>
        <v>0.02</v>
      </c>
      <c r="G20" s="1235"/>
      <c r="H20" s="337" t="s">
        <v>2129</v>
      </c>
      <c r="I20" s="80" t="s">
        <v>2152</v>
      </c>
      <c r="J20" s="15">
        <f>IF(项目基本情况!B7="自然人","——",ROUND(M20*M21,0))</f>
        <v>0</v>
      </c>
      <c r="K20" s="346" t="s">
        <v>2153</v>
      </c>
      <c r="L20" s="319" t="s">
        <v>2154</v>
      </c>
      <c r="M20" s="347">
        <f>'数据-取费表'!E40</f>
        <v>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2155</v>
      </c>
      <c r="B21" s="319" t="s">
        <v>2156</v>
      </c>
      <c r="C21" s="703">
        <f>F21</f>
        <v>0.02</v>
      </c>
      <c r="D21" s="344" t="s">
        <v>2157</v>
      </c>
      <c r="E21" s="319" t="s">
        <v>2158</v>
      </c>
      <c r="F21" s="342">
        <f>'数据-取费表'!E26</f>
        <v>0.02</v>
      </c>
      <c r="G21" s="1234"/>
      <c r="H21" s="348"/>
      <c r="I21" s="328"/>
      <c r="J21" s="19"/>
      <c r="K21" s="349"/>
      <c r="L21" s="319" t="s">
        <v>2159</v>
      </c>
      <c r="M21" s="320">
        <f>IF(D1="仅计算典型户型",'数据-取费表'!E6,'数据-取费表'!B6)</f>
        <v>0</v>
      </c>
    </row>
    <row r="22" spans="1:37" ht="18" customHeight="1">
      <c r="A22" s="337" t="s">
        <v>2160</v>
      </c>
      <c r="B22" s="319" t="s">
        <v>2161</v>
      </c>
      <c r="C22" s="14"/>
      <c r="D22" s="56" t="str">
        <f>IF(F23&lt;=1,"单利计息。","复利计息。")&amp;"建造成本、管理费用、销售费用产生的利息。"</f>
        <v>复利计息。建造成本、管理费用、销售费用产生的利息。</v>
      </c>
      <c r="E22" s="1893"/>
      <c r="F22" s="16"/>
      <c r="G22" s="1234"/>
      <c r="H22" s="337" t="s">
        <v>2127</v>
      </c>
      <c r="I22" s="319" t="s">
        <v>2162</v>
      </c>
      <c r="J22" s="14">
        <f ca="1">ROUND(J14*M22,0)</f>
        <v>48300</v>
      </c>
      <c r="K22" s="1888" t="s">
        <v>2163</v>
      </c>
      <c r="L22" s="319" t="s">
        <v>2126</v>
      </c>
      <c r="M22" s="350">
        <f>'数据-取费表'!B44</f>
        <v>0.02</v>
      </c>
    </row>
    <row r="23" spans="1:37" ht="18" customHeight="1">
      <c r="A23" s="337" t="s">
        <v>2143</v>
      </c>
      <c r="B23" s="319" t="s">
        <v>2164</v>
      </c>
      <c r="C23" s="14">
        <f ca="1">IF('数据-取费表'!B23&lt;=1,ROUND(C19*F24*F23/2,0)+ROUND(C20*F24*F23/2,0),ROUND(C19*(POWER((1+F24),F23/2)-1),0)+ROUND(C20*(POWER((1+F24),F23/2)-1),0))</f>
        <v>84754</v>
      </c>
      <c r="D23" s="2003" t="str">
        <f>IF(F23&lt;=1,"(建造成本+管理费用)×利率×(建设周期÷2)","(建造成本+管理费用)×((1+利率)^(建设周期÷2)-1)")</f>
        <v>(建造成本+管理费用)×((1+利率)^(建设周期÷2)-1)</v>
      </c>
      <c r="E23" s="319" t="s">
        <v>2165</v>
      </c>
      <c r="F23" s="347">
        <f>'数据-取费表'!B21</f>
        <v>2</v>
      </c>
      <c r="G23" s="1234"/>
      <c r="H23" s="337" t="s">
        <v>2155</v>
      </c>
      <c r="I23" s="319" t="s">
        <v>2166</v>
      </c>
      <c r="J23" s="14">
        <f ca="1">ROUND(J13*M23,0)</f>
        <v>0</v>
      </c>
      <c r="K23" s="1888" t="s">
        <v>2167</v>
      </c>
      <c r="L23" s="319" t="s">
        <v>2168</v>
      </c>
      <c r="M23" s="351">
        <f>'数据-取费表'!B45</f>
        <v>2E-3</v>
      </c>
    </row>
    <row r="24" spans="1:37" s="341" customFormat="1" ht="18" customHeight="1" thickBot="1">
      <c r="A24" s="337" t="s">
        <v>2169</v>
      </c>
      <c r="B24" s="319" t="s">
        <v>2170</v>
      </c>
      <c r="C24" s="14">
        <f ca="1">ROUND(IF('数据-取费表'!B23&lt;=1,F21*F24*F23/2,F21*(POWER((1+F24),F23/2)-1)),4)</f>
        <v>1E-3</v>
      </c>
      <c r="D24" s="2003" t="str">
        <f>IF(F23&lt;=1,"销售费用×利率×(建设周期÷2)","销售费用×((1+利率)^(建设周期÷2)-1)")</f>
        <v>销售费用×((1+利率)^(建设周期÷2)-1)</v>
      </c>
      <c r="E24" s="319" t="s">
        <v>2171</v>
      </c>
      <c r="F24" s="352">
        <f ca="1">'数据-取费表'!E27</f>
        <v>4.7500000000000001E-2</v>
      </c>
      <c r="G24" s="1235"/>
      <c r="H24" s="1426" t="s">
        <v>2160</v>
      </c>
      <c r="I24" s="1427" t="s">
        <v>2149</v>
      </c>
      <c r="J24" s="1428">
        <f ca="1">ROUND(J5*M24,0)</f>
        <v>0</v>
      </c>
      <c r="K24" s="1429" t="s">
        <v>2172</v>
      </c>
      <c r="L24" s="1427" t="s">
        <v>2168</v>
      </c>
      <c r="M24" s="1422">
        <f>'数据-取费表'!B46</f>
        <v>1.4999999999999999E-2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2173</v>
      </c>
      <c r="B25" s="319" t="s">
        <v>2174</v>
      </c>
      <c r="C25" s="14"/>
      <c r="D25" s="56" t="s">
        <v>2175</v>
      </c>
      <c r="E25" s="1893"/>
      <c r="F25" s="16"/>
      <c r="G25" s="1235"/>
      <c r="H25" s="1416" t="s">
        <v>22</v>
      </c>
      <c r="I25" s="1431" t="s">
        <v>2176</v>
      </c>
      <c r="J25" s="327">
        <f ca="1">J5-J16</f>
        <v>-68586</v>
      </c>
      <c r="K25" s="1432" t="s">
        <v>2177</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2119</v>
      </c>
      <c r="B26" s="319" t="s">
        <v>2178</v>
      </c>
      <c r="C26" s="14">
        <f>ROUND((C19+C20)*F26,0)</f>
        <v>356857</v>
      </c>
      <c r="D26" s="344" t="s">
        <v>2179</v>
      </c>
      <c r="E26" s="330" t="s">
        <v>2180</v>
      </c>
      <c r="F26" s="329">
        <f>'数据-取费表'!E28</f>
        <v>0.2</v>
      </c>
      <c r="G26" s="791"/>
      <c r="H26" s="316" t="s">
        <v>23</v>
      </c>
      <c r="I26" s="317" t="s">
        <v>2181</v>
      </c>
      <c r="J26" s="318">
        <f ca="1">IF(J5&lt;&gt;0,ROUND(J25*(1-((1+M28)/(1+M26))^M27)/(M26-M28),0),0)</f>
        <v>0</v>
      </c>
      <c r="K26" s="346" t="s">
        <v>2182</v>
      </c>
      <c r="L26" s="319" t="s">
        <v>2183</v>
      </c>
      <c r="M26" s="329">
        <f>'数据-取费表'!B16</f>
        <v>5.5E-2</v>
      </c>
    </row>
    <row r="27" spans="1:37" ht="18" customHeight="1">
      <c r="A27" s="337" t="s">
        <v>2184</v>
      </c>
      <c r="B27" s="319" t="s">
        <v>2185</v>
      </c>
      <c r="C27" s="14">
        <f>ROUND(F21*F26,4)</f>
        <v>4.0000000000000001E-3</v>
      </c>
      <c r="D27" s="344" t="s">
        <v>2186</v>
      </c>
      <c r="E27" s="339"/>
      <c r="F27" s="340"/>
      <c r="G27" s="791"/>
      <c r="H27" s="321"/>
      <c r="I27" s="322"/>
      <c r="J27" s="323"/>
      <c r="K27" s="354" t="s">
        <v>2187</v>
      </c>
      <c r="L27" s="319" t="s">
        <v>2188</v>
      </c>
      <c r="M27" s="355" t="str">
        <f>'数据-取费表'!B40</f>
        <v>——</v>
      </c>
    </row>
    <row r="28" spans="1:37" ht="18" customHeight="1">
      <c r="A28" s="337" t="s">
        <v>2189</v>
      </c>
      <c r="B28" s="319" t="s">
        <v>2190</v>
      </c>
      <c r="C28" s="14">
        <f>ROUND(F28/(1+'数据-取费表'!F30),4)</f>
        <v>5.33E-2</v>
      </c>
      <c r="D28" s="344" t="s">
        <v>2191</v>
      </c>
      <c r="E28" s="319" t="s">
        <v>2151</v>
      </c>
      <c r="F28" s="342">
        <f>'数据-取费表'!E29</f>
        <v>5.6000000000000001E-2</v>
      </c>
      <c r="G28" s="791"/>
      <c r="H28" s="325"/>
      <c r="I28" s="326"/>
      <c r="J28" s="327"/>
      <c r="K28" s="349"/>
      <c r="L28" s="319" t="s">
        <v>2192</v>
      </c>
      <c r="M28" s="329">
        <f>'数据-取费表'!B37</f>
        <v>0</v>
      </c>
    </row>
    <row r="29" spans="1:37" ht="18" customHeight="1" thickBot="1">
      <c r="A29" s="1426" t="s">
        <v>2193</v>
      </c>
      <c r="B29" s="1427" t="s">
        <v>2194</v>
      </c>
      <c r="C29" s="1428">
        <f ca="1">ROUND((C19+C20+C23+C26)/(1-F21-C24-C27-C28),0)</f>
        <v>2414992</v>
      </c>
      <c r="D29" s="1429"/>
      <c r="E29" s="1427"/>
      <c r="F29" s="1430"/>
      <c r="G29" s="791"/>
      <c r="H29" s="356" t="s">
        <v>24</v>
      </c>
      <c r="I29" s="357" t="s">
        <v>2195</v>
      </c>
      <c r="J29" s="358">
        <f ca="1">ROUND(J26/(1+F40)^F41,0)</f>
        <v>0</v>
      </c>
      <c r="K29" s="359" t="s">
        <v>2196</v>
      </c>
      <c r="L29" s="360"/>
      <c r="M29" s="361">
        <f>IF(D1="仅计算典型户型",'数据-取费表'!E5,'数据-取费表'!B5)</f>
        <v>392.22</v>
      </c>
    </row>
    <row r="30" spans="1:37" ht="18" customHeight="1" thickTop="1">
      <c r="A30" s="1416" t="s">
        <v>14</v>
      </c>
      <c r="B30" s="1417" t="s">
        <v>2197</v>
      </c>
      <c r="C30" s="327">
        <f ca="1">ROUND(C31+C36+C37+C38,0)</f>
        <v>72691</v>
      </c>
      <c r="D30" s="1423" t="s">
        <v>2198</v>
      </c>
      <c r="E30" s="1424"/>
      <c r="F30" s="1425"/>
      <c r="G30" s="791"/>
      <c r="H30" s="1214"/>
      <c r="I30" s="1215"/>
      <c r="J30" s="1216"/>
      <c r="K30" s="1217"/>
      <c r="L30" s="1218"/>
      <c r="M30" s="1219"/>
    </row>
    <row r="31" spans="1:37" ht="18" customHeight="1">
      <c r="A31" s="337" t="s">
        <v>2100</v>
      </c>
      <c r="B31" s="319" t="s">
        <v>2138</v>
      </c>
      <c r="C31" s="14">
        <f ca="1">ROUND(IF(项目基本情况!B7="自然人",C6*F31/(1+'数据-取费表'!F30),C32+C33+C34),0)</f>
        <v>20286</v>
      </c>
      <c r="D31" s="1883" t="s">
        <v>2199</v>
      </c>
      <c r="E31" s="1888" t="s">
        <v>2200</v>
      </c>
      <c r="F31" s="343" t="str">
        <f>IF(项目基本情况!B7="企业","",IF('数据-取费表'!B10="住宅",5%,IF(F6*F7*F8/12/(1+'数据-取费表'!F30)&gt;20000,12%,7%)))</f>
        <v/>
      </c>
      <c r="G31" s="791"/>
      <c r="H31" s="1214"/>
      <c r="I31" s="1215"/>
      <c r="J31" s="1216"/>
      <c r="K31" s="1217"/>
      <c r="L31" s="1218"/>
      <c r="M31" s="1219"/>
    </row>
    <row r="32" spans="1:37" ht="18" customHeight="1">
      <c r="A32" s="337" t="s">
        <v>2119</v>
      </c>
      <c r="B32" s="319" t="s">
        <v>2201</v>
      </c>
      <c r="C32" s="14">
        <f>IF(项目基本情况!B7="自然人","——",ROUND(C6*F32/(1+'数据-取费表'!F30),0))</f>
        <v>0</v>
      </c>
      <c r="D32" s="1888" t="s">
        <v>2818</v>
      </c>
      <c r="E32" s="319" t="s">
        <v>2151</v>
      </c>
      <c r="F32" s="352">
        <f>'数据-取费表'!E29</f>
        <v>5.6000000000000001E-2</v>
      </c>
      <c r="G32" s="791"/>
      <c r="H32" s="1220"/>
      <c r="I32" s="1221"/>
      <c r="J32" s="1222"/>
      <c r="K32" s="1223"/>
      <c r="L32" s="1224"/>
      <c r="M32" s="1225"/>
    </row>
    <row r="33" spans="1:18" ht="18" customHeight="1">
      <c r="A33" s="337" t="s">
        <v>2123</v>
      </c>
      <c r="B33" s="319" t="s">
        <v>2147</v>
      </c>
      <c r="C33" s="14">
        <f ca="1">IF(项目基本情况!B7="自然人","——",IF(D33="按租金收入计税",ROUND(C6*F33/(1+'数据-取费表'!F30),0),IF(D33="按房产原值计税",ROUND(C29*F33*0.7,0),'数据-取费表'!B43)))</f>
        <v>20286</v>
      </c>
      <c r="D33" s="2009" t="s">
        <v>2148</v>
      </c>
      <c r="E33" s="319" t="s">
        <v>2126</v>
      </c>
      <c r="F33" s="342">
        <f>IF(D33="按票据","——",IF(D33="按租金收入计税",'数据-取费表'!E39,'数据-取费表'!E38))</f>
        <v>1.2E-2</v>
      </c>
      <c r="G33" s="791"/>
      <c r="H33" s="1226"/>
      <c r="I33" s="363" t="s">
        <v>2203</v>
      </c>
      <c r="J33" s="364"/>
      <c r="K33" s="1227"/>
      <c r="L33" s="1226"/>
      <c r="M33" s="1226"/>
    </row>
    <row r="34" spans="1:18" ht="18" customHeight="1">
      <c r="A34" s="1380" t="s">
        <v>2129</v>
      </c>
      <c r="B34" s="80" t="s">
        <v>2152</v>
      </c>
      <c r="C34" s="15">
        <f>IF(项目基本情况!B7="自然人","——",ROUND(F34*F35,0))</f>
        <v>0</v>
      </c>
      <c r="D34" s="346" t="s">
        <v>2153</v>
      </c>
      <c r="E34" s="319" t="s">
        <v>2154</v>
      </c>
      <c r="F34" s="347">
        <f>'数据-取费表'!E40</f>
        <v>0</v>
      </c>
      <c r="G34" s="791"/>
      <c r="H34" s="1214"/>
      <c r="I34" s="365" t="s">
        <v>2204</v>
      </c>
      <c r="J34" s="366">
        <f ca="1">ROUND(C13*J35,0)</f>
        <v>123165</v>
      </c>
      <c r="K34" s="1228"/>
      <c r="L34" s="1229"/>
      <c r="M34" s="1229"/>
    </row>
    <row r="35" spans="1:18" ht="24.6" customHeight="1">
      <c r="A35" s="1384"/>
      <c r="B35" s="328"/>
      <c r="C35" s="19"/>
      <c r="D35" s="349"/>
      <c r="E35" s="319" t="s">
        <v>2159</v>
      </c>
      <c r="F35" s="320">
        <f>IF(D1="仅计算典型户型",'数据-取费表'!E6,'数据-取费表'!B6)</f>
        <v>0</v>
      </c>
      <c r="G35" s="791"/>
      <c r="H35" s="1214"/>
      <c r="I35" s="367" t="s">
        <v>2205</v>
      </c>
      <c r="J35" s="368">
        <f>'数据-取费表'!B17</f>
        <v>0.06</v>
      </c>
      <c r="K35" s="1227"/>
      <c r="L35" s="1226"/>
      <c r="M35" s="1226"/>
    </row>
    <row r="36" spans="1:18" ht="18" customHeight="1">
      <c r="A36" s="1383" t="s">
        <v>2107</v>
      </c>
      <c r="B36" s="319" t="s">
        <v>2206</v>
      </c>
      <c r="C36" s="14">
        <f ca="1">ROUND(C29*F36,0)</f>
        <v>48300</v>
      </c>
      <c r="D36" s="1888" t="s">
        <v>2207</v>
      </c>
      <c r="E36" s="319" t="s">
        <v>2151</v>
      </c>
      <c r="F36" s="350">
        <f>'数据-取费表'!B44</f>
        <v>0.02</v>
      </c>
      <c r="G36" s="791"/>
      <c r="H36" s="1226"/>
      <c r="I36" s="369" t="s">
        <v>2208</v>
      </c>
      <c r="J36" s="370"/>
      <c r="K36" s="1230"/>
      <c r="L36" s="1226"/>
      <c r="M36" s="1226"/>
    </row>
    <row r="37" spans="1:18" ht="18" customHeight="1">
      <c r="A37" s="337" t="s">
        <v>2155</v>
      </c>
      <c r="B37" s="319" t="s">
        <v>2166</v>
      </c>
      <c r="C37" s="14">
        <f ca="1">ROUND(C13*F37,0)</f>
        <v>4105</v>
      </c>
      <c r="D37" s="1888" t="s">
        <v>2167</v>
      </c>
      <c r="E37" s="319" t="s">
        <v>2168</v>
      </c>
      <c r="F37" s="351">
        <f>'数据-取费表'!B45</f>
        <v>2E-3</v>
      </c>
      <c r="G37" s="791"/>
      <c r="H37" s="1226"/>
      <c r="I37" s="216" t="s">
        <v>2209</v>
      </c>
      <c r="J37" s="371"/>
      <c r="K37" s="1230"/>
      <c r="L37" s="1226"/>
      <c r="M37" s="1226"/>
    </row>
    <row r="38" spans="1:18" ht="18" customHeight="1" thickBot="1">
      <c r="A38" s="1426" t="s">
        <v>2160</v>
      </c>
      <c r="B38" s="1427" t="s">
        <v>2149</v>
      </c>
      <c r="C38" s="1428">
        <f ca="1">ROUND(C5*F38,0)</f>
        <v>0</v>
      </c>
      <c r="D38" s="1429" t="s">
        <v>2172</v>
      </c>
      <c r="E38" s="1427" t="s">
        <v>2168</v>
      </c>
      <c r="F38" s="1422">
        <f>'数据-取费表'!B46</f>
        <v>1.4999999999999999E-2</v>
      </c>
      <c r="G38" s="791"/>
      <c r="H38" s="1226"/>
      <c r="I38" s="365" t="s">
        <v>2210</v>
      </c>
      <c r="J38" s="220">
        <f ca="1">ROUND(J34/C39,3)</f>
        <v>-1.694</v>
      </c>
      <c r="K38" s="1231"/>
      <c r="L38" s="1226"/>
      <c r="M38" s="1226"/>
    </row>
    <row r="39" spans="1:18" ht="18" customHeight="1" thickTop="1">
      <c r="A39" s="1416" t="s">
        <v>22</v>
      </c>
      <c r="B39" s="1431" t="s">
        <v>2211</v>
      </c>
      <c r="C39" s="327">
        <f ca="1">C5-C30</f>
        <v>-72691</v>
      </c>
      <c r="D39" s="1432" t="s">
        <v>2212</v>
      </c>
      <c r="E39" s="1433"/>
      <c r="F39" s="1434"/>
      <c r="G39" s="791"/>
      <c r="H39" s="1226"/>
      <c r="I39" s="365" t="s">
        <v>2213</v>
      </c>
      <c r="J39" s="220">
        <f ca="1">1-J38</f>
        <v>2.694</v>
      </c>
      <c r="K39" s="1231"/>
      <c r="L39" s="1226"/>
      <c r="M39" s="1226"/>
    </row>
    <row r="40" spans="1:18" s="791" customFormat="1" ht="18" customHeight="1">
      <c r="A40" s="316" t="s">
        <v>23</v>
      </c>
      <c r="B40" s="317" t="s">
        <v>2214</v>
      </c>
      <c r="C40" s="318">
        <f ca="1">ROUND(C39*(1-((1+F42)/(1+F40))^F41)/(F40-F42),0)</f>
        <v>500699</v>
      </c>
      <c r="D40" s="346" t="s">
        <v>2182</v>
      </c>
      <c r="E40" s="319" t="s">
        <v>2183</v>
      </c>
      <c r="F40" s="329">
        <f>'数据-取费表'!B16</f>
        <v>5.5E-2</v>
      </c>
      <c r="H40" s="1232"/>
      <c r="I40" s="216" t="s">
        <v>2215</v>
      </c>
      <c r="J40" s="217"/>
      <c r="K40" s="1231"/>
      <c r="L40" s="1232"/>
      <c r="M40" s="1232"/>
      <c r="Q40" s="795"/>
    </row>
    <row r="41" spans="1:18" s="791" customFormat="1" ht="18" customHeight="1">
      <c r="A41" s="321"/>
      <c r="B41" s="322"/>
      <c r="C41" s="323"/>
      <c r="D41" s="354" t="s">
        <v>2216</v>
      </c>
      <c r="E41" s="1821" t="s">
        <v>2801</v>
      </c>
      <c r="F41" s="355">
        <f>IF('数据-取费表'!B28="租赁期内按合同租金",'数据-取费表'!B34,IF(E41="收益年期(n)",'数据-取费表'!B33,'数据-取费表'!B13))</f>
        <v>-6</v>
      </c>
      <c r="H41" s="1233"/>
      <c r="I41" s="219" t="s">
        <v>2088</v>
      </c>
      <c r="J41" s="220">
        <f ca="1">ROUND(C13/C40,3)</f>
        <v>4.0999999999999996</v>
      </c>
      <c r="K41" s="1230"/>
      <c r="L41" s="1233"/>
      <c r="M41" s="1233"/>
      <c r="Q41" s="795"/>
    </row>
    <row r="42" spans="1:18" s="791" customFormat="1" ht="18" customHeight="1">
      <c r="A42" s="325"/>
      <c r="B42" s="326"/>
      <c r="C42" s="327"/>
      <c r="D42" s="349"/>
      <c r="E42" s="319" t="s">
        <v>2192</v>
      </c>
      <c r="F42" s="329">
        <f>'数据-取费表'!B31</f>
        <v>0</v>
      </c>
      <c r="H42" s="1233"/>
      <c r="I42" s="219" t="s">
        <v>2089</v>
      </c>
      <c r="J42" s="221">
        <f ca="1">1-J41</f>
        <v>-3.0999999999999996</v>
      </c>
      <c r="K42" s="1230"/>
      <c r="L42" s="1233"/>
      <c r="M42" s="1233"/>
      <c r="Q42" s="795"/>
    </row>
    <row r="43" spans="1:18" s="791" customFormat="1" ht="18" customHeight="1" thickBot="1">
      <c r="A43" s="356" t="s">
        <v>24</v>
      </c>
      <c r="B43" s="357" t="s">
        <v>2217</v>
      </c>
      <c r="C43" s="358">
        <f ca="1">ROUND(C40/F43,0)</f>
        <v>1277</v>
      </c>
      <c r="D43" s="359" t="s">
        <v>2218</v>
      </c>
      <c r="E43" s="360" t="s">
        <v>2219</v>
      </c>
      <c r="F43" s="361">
        <f>IF(D1="仅计算典型户型",'数据-取费表'!E5,'数据-取费表'!B5)</f>
        <v>392.22</v>
      </c>
      <c r="G43" s="793"/>
      <c r="H43" s="1233"/>
      <c r="I43" s="1233"/>
      <c r="J43" s="1233"/>
      <c r="K43" s="1230"/>
      <c r="L43" s="1233"/>
      <c r="M43" s="1233"/>
      <c r="O43" s="1357" t="s">
        <v>2220</v>
      </c>
      <c r="P43" s="1358"/>
      <c r="Q43" s="1354"/>
      <c r="R43" s="1358"/>
    </row>
    <row r="44" spans="1:18" s="791" customFormat="1" ht="18" customHeight="1" thickBot="1">
      <c r="A44" s="776"/>
      <c r="B44" s="776"/>
      <c r="C44" s="790"/>
      <c r="D44" s="776"/>
      <c r="E44" s="776"/>
      <c r="F44" s="776"/>
      <c r="G44" s="793"/>
      <c r="K44" s="792"/>
      <c r="O44" s="1359" t="s">
        <v>2221</v>
      </c>
      <c r="P44" s="1360" t="s">
        <v>2222</v>
      </c>
      <c r="Q44" s="1361" t="s">
        <v>2223</v>
      </c>
      <c r="R44" s="1362" t="s">
        <v>2224</v>
      </c>
    </row>
    <row r="45" spans="1:18" s="791" customFormat="1" ht="18" customHeight="1" thickBot="1">
      <c r="A45" s="776"/>
      <c r="B45" s="776"/>
      <c r="C45" s="790"/>
      <c r="D45" s="776"/>
      <c r="E45" s="776"/>
      <c r="F45" s="776"/>
      <c r="G45" s="794"/>
      <c r="K45" s="792"/>
      <c r="O45" s="1363" t="s">
        <v>953</v>
      </c>
      <c r="P45" s="1364" t="s">
        <v>2225</v>
      </c>
      <c r="Q45" s="1365">
        <f ca="1">C40+J29</f>
        <v>500699</v>
      </c>
      <c r="R45" s="1366" t="s">
        <v>2226</v>
      </c>
    </row>
    <row r="46" spans="1:18" s="791" customFormat="1" ht="18" customHeight="1" thickBot="1">
      <c r="A46" s="776"/>
      <c r="D46" s="776"/>
      <c r="E46" s="776"/>
      <c r="F46" s="776"/>
      <c r="K46" s="792"/>
      <c r="O46" s="1363" t="s">
        <v>954</v>
      </c>
      <c r="P46" s="1364" t="s">
        <v>2227</v>
      </c>
      <c r="Q46" s="1365" t="str">
        <f>J61</f>
        <v>0</v>
      </c>
      <c r="R46" s="1366" t="s">
        <v>2228</v>
      </c>
    </row>
    <row r="47" spans="1:18" s="791" customFormat="1" ht="21.75" thickBot="1">
      <c r="A47" s="2339" t="s">
        <v>2229</v>
      </c>
      <c r="C47" s="1299">
        <f ca="1">IF(C2="元",C69-C40,ROUND((C69-C40)/10000,0))</f>
        <v>0</v>
      </c>
      <c r="D47" s="2340" t="str">
        <f>C2</f>
        <v>元</v>
      </c>
      <c r="E47" s="776"/>
      <c r="F47" s="776"/>
      <c r="I47" s="2341" t="s">
        <v>2230</v>
      </c>
      <c r="J47" s="1339"/>
      <c r="K47" s="1340"/>
      <c r="L47" s="1353" t="e">
        <f ca="1">IF(M48="住宅",0,IF(L49&gt;J52,L61,J61))</f>
        <v>#DIV/0!</v>
      </c>
      <c r="O47" s="1367" t="s">
        <v>955</v>
      </c>
      <c r="P47" s="1364" t="s">
        <v>2231</v>
      </c>
      <c r="Q47" s="1365">
        <f ca="1">C29</f>
        <v>2414992</v>
      </c>
      <c r="R47" s="1366" t="s">
        <v>2226</v>
      </c>
    </row>
    <row r="48" spans="1:18" s="791" customFormat="1" ht="15.75" thickBot="1">
      <c r="A48" s="312" t="s">
        <v>2232</v>
      </c>
      <c r="B48" s="313" t="s">
        <v>2233</v>
      </c>
      <c r="C48" s="313" t="s">
        <v>2234</v>
      </c>
      <c r="D48" s="313" t="s">
        <v>2235</v>
      </c>
      <c r="E48" s="1293" t="s">
        <v>2236</v>
      </c>
      <c r="F48" s="1294"/>
      <c r="I48" s="2342" t="s">
        <v>2237</v>
      </c>
      <c r="J48" s="2343"/>
      <c r="K48" s="2344" t="s">
        <v>2238</v>
      </c>
      <c r="L48" s="1341">
        <f>'数据-取费表'!B11</f>
        <v>40</v>
      </c>
      <c r="M48" s="1354" t="str">
        <f>IF('数据-取费表'!B10="住宅","住宅","非住宅")</f>
        <v>非住宅</v>
      </c>
      <c r="O48" s="1367" t="s">
        <v>956</v>
      </c>
      <c r="P48" s="1364" t="s">
        <v>2239</v>
      </c>
      <c r="Q48" s="1368" t="e">
        <f>J59</f>
        <v>#VALUE!</v>
      </c>
      <c r="R48" s="1366"/>
    </row>
    <row r="49" spans="1:18" s="791" customFormat="1" ht="15.75" thickBot="1">
      <c r="A49" s="1453" t="s">
        <v>1026</v>
      </c>
      <c r="B49" s="317" t="s">
        <v>2240</v>
      </c>
      <c r="C49" s="1454">
        <f ca="1">C50+C54+C56</f>
        <v>0</v>
      </c>
      <c r="D49" s="1455"/>
      <c r="E49" s="101"/>
      <c r="F49" s="16"/>
      <c r="I49" s="2345" t="s">
        <v>2241</v>
      </c>
      <c r="J49" s="2346"/>
      <c r="K49" s="2347" t="s">
        <v>2242</v>
      </c>
      <c r="L49" s="1124">
        <f>'数据-取费表'!B13</f>
        <v>32</v>
      </c>
      <c r="O49" s="1367" t="s">
        <v>957</v>
      </c>
      <c r="P49" s="1364" t="s">
        <v>2243</v>
      </c>
      <c r="Q49" s="1368">
        <f>J53</f>
        <v>0</v>
      </c>
      <c r="R49" s="1366"/>
    </row>
    <row r="50" spans="1:18" s="791" customFormat="1" ht="15.75" thickBot="1">
      <c r="A50" s="345" t="s">
        <v>2100</v>
      </c>
      <c r="B50" s="2019" t="s">
        <v>2244</v>
      </c>
      <c r="C50" s="318">
        <f>ROUND(F50*F52*F51*(1-F53),0)</f>
        <v>0</v>
      </c>
      <c r="D50" s="93" t="s">
        <v>2791</v>
      </c>
      <c r="E50" s="2348" t="s">
        <v>2245</v>
      </c>
      <c r="F50" s="1295"/>
      <c r="I50" s="2345" t="s">
        <v>2246</v>
      </c>
      <c r="J50" s="1124">
        <f>'数据-取费表'!B26</f>
        <v>2014</v>
      </c>
      <c r="K50" s="2349" t="s">
        <v>2247</v>
      </c>
      <c r="L50" s="1342"/>
      <c r="O50" s="1367" t="s">
        <v>958</v>
      </c>
      <c r="P50" s="1364" t="s">
        <v>2248</v>
      </c>
      <c r="Q50" s="1365">
        <f>J54</f>
        <v>-6</v>
      </c>
      <c r="R50" s="1366" t="s">
        <v>2249</v>
      </c>
    </row>
    <row r="51" spans="1:18" s="791" customFormat="1" ht="15.75" thickBot="1">
      <c r="A51" s="321"/>
      <c r="B51" s="322"/>
      <c r="C51" s="323"/>
      <c r="D51" s="324"/>
      <c r="E51" s="339" t="s">
        <v>2103</v>
      </c>
      <c r="F51" s="1292">
        <f>F7</f>
        <v>392.22</v>
      </c>
      <c r="I51" s="2345" t="s">
        <v>2250</v>
      </c>
      <c r="J51" s="1343">
        <f>SUMPRODUCT((I64:I66=J48)*(J63:L63=J49)*(J64:L66))</f>
        <v>0</v>
      </c>
      <c r="K51" s="2349" t="s">
        <v>2251</v>
      </c>
      <c r="L51" s="1342"/>
      <c r="O51" s="1363" t="s">
        <v>959</v>
      </c>
      <c r="P51" s="1364" t="str">
        <f>IF(C2="元","收益价值(元)","收益价值(万元)")</f>
        <v>收益价值(元)</v>
      </c>
      <c r="Q51" s="1365">
        <f ca="1">ROUND(IF(C2="元",Q45+Q46,(Q45+Q46)/10000),0)</f>
        <v>500699</v>
      </c>
      <c r="R51" s="1366" t="s">
        <v>960</v>
      </c>
    </row>
    <row r="52" spans="1:18" s="791" customFormat="1" ht="16.5" thickBot="1">
      <c r="A52" s="321"/>
      <c r="B52" s="322"/>
      <c r="C52" s="323"/>
      <c r="D52" s="324"/>
      <c r="E52" s="319" t="s">
        <v>2105</v>
      </c>
      <c r="F52" s="320">
        <f>F8</f>
        <v>365</v>
      </c>
      <c r="I52" s="2350" t="s">
        <v>2252</v>
      </c>
      <c r="J52" s="1344">
        <f>IF(J50="",J51,J50+J51-YEAR('数据-取费表'!B2))</f>
        <v>-6</v>
      </c>
      <c r="K52" s="2351" t="s">
        <v>2253</v>
      </c>
      <c r="L52" s="1345">
        <f ca="1">ROUND(-PV('数据-取费表'!B15,L49,(C40-C13*J35)),0)</f>
        <v>6747881</v>
      </c>
      <c r="O52" s="1357" t="s">
        <v>2254</v>
      </c>
      <c r="P52" s="1358"/>
      <c r="Q52" s="1354"/>
      <c r="R52" s="1358"/>
    </row>
    <row r="53" spans="1:18" s="791" customFormat="1" ht="15.75" thickBot="1">
      <c r="A53" s="325"/>
      <c r="B53" s="326"/>
      <c r="C53" s="327"/>
      <c r="D53" s="328"/>
      <c r="E53" s="319" t="s">
        <v>2106</v>
      </c>
      <c r="F53" s="1352"/>
      <c r="I53" s="2352" t="s">
        <v>2255</v>
      </c>
      <c r="J53" s="1346"/>
      <c r="K53" s="2352" t="s">
        <v>2256</v>
      </c>
      <c r="L53" s="1346"/>
      <c r="O53" s="1359" t="s">
        <v>2221</v>
      </c>
      <c r="P53" s="1360" t="s">
        <v>2222</v>
      </c>
      <c r="Q53" s="1361" t="s">
        <v>2223</v>
      </c>
      <c r="R53" s="1362" t="s">
        <v>2224</v>
      </c>
    </row>
    <row r="54" spans="1:18" s="791" customFormat="1" ht="29.25" customHeight="1" thickBot="1">
      <c r="A54" s="1380" t="s">
        <v>2107</v>
      </c>
      <c r="B54" s="2333" t="s">
        <v>2108</v>
      </c>
      <c r="C54" s="1381">
        <f ca="1">ROUND(IF(F54="押一",C50/12*F11,IF(F54="押二",C50/12*2*F11,IF(F54="押三",C50/12*3*F11,C55*F11))),0)</f>
        <v>0</v>
      </c>
      <c r="D54" s="2334" t="s">
        <v>2799</v>
      </c>
      <c r="E54" s="330" t="s">
        <v>2109</v>
      </c>
      <c r="F54" s="2335"/>
      <c r="I54" s="2714" t="s">
        <v>2802</v>
      </c>
      <c r="J54" s="1347">
        <f>IF(M48="住宅",IF(E1="——",MAX(J52,L49),MAX(J52,L49-'数据-取费表'!B25)),IF(E1="——",MIN(J52,L49),MIN(J52,L49-'数据-取费表'!B25)))</f>
        <v>-6</v>
      </c>
      <c r="K54" s="3115" t="s">
        <v>2789</v>
      </c>
      <c r="L54" s="3116"/>
      <c r="O54" s="1363" t="s">
        <v>953</v>
      </c>
      <c r="P54" s="1364" t="s">
        <v>2225</v>
      </c>
      <c r="Q54" s="1365">
        <f ca="1">C40+J29</f>
        <v>500699</v>
      </c>
      <c r="R54" s="1366" t="s">
        <v>2226</v>
      </c>
    </row>
    <row r="55" spans="1:18" s="791" customFormat="1" ht="20.25" thickBot="1">
      <c r="A55" s="1380"/>
      <c r="B55" s="2353" t="s">
        <v>2113</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55"/>
      <c r="K55" s="2355"/>
      <c r="L55" s="2355"/>
      <c r="O55" s="1363" t="s">
        <v>954</v>
      </c>
      <c r="P55" s="1364" t="s">
        <v>2257</v>
      </c>
      <c r="Q55" s="1365" t="e">
        <f ca="1">L61</f>
        <v>#DIV/0!</v>
      </c>
      <c r="R55" s="1366" t="s">
        <v>2258</v>
      </c>
    </row>
    <row r="56" spans="1:18" s="791" customFormat="1" ht="20.25" thickBot="1">
      <c r="A56" s="1420" t="s">
        <v>2114</v>
      </c>
      <c r="B56" s="2337" t="s">
        <v>2115</v>
      </c>
      <c r="C56" s="1421"/>
      <c r="D56" s="1437"/>
      <c r="E56" s="2356"/>
      <c r="F56" s="1497"/>
      <c r="I56" s="2357" t="s">
        <v>2259</v>
      </c>
      <c r="J56" s="1867" t="e">
        <f>ROUND(IF(J48="钢混",J58/J51,1-(1-2%)*(J51-J58)/J51),3)</f>
        <v>#VALUE!</v>
      </c>
      <c r="K56" s="2358" t="s">
        <v>2260</v>
      </c>
      <c r="L56" s="1348"/>
      <c r="O56" s="1367" t="s">
        <v>955</v>
      </c>
      <c r="P56" s="1364" t="s">
        <v>2261</v>
      </c>
      <c r="Q56" s="1365">
        <f>IF(L56="比较法",L50,IF(L56="基准地价",L51,0))</f>
        <v>0</v>
      </c>
      <c r="R56" s="1366" t="s">
        <v>2226</v>
      </c>
    </row>
    <row r="57" spans="1:18" s="791" customFormat="1" ht="44.25" thickTop="1" thickBot="1">
      <c r="A57" s="1416">
        <v>2</v>
      </c>
      <c r="B57" s="1417" t="s">
        <v>2116</v>
      </c>
      <c r="C57" s="1496">
        <f ca="1">C13</f>
        <v>2052743</v>
      </c>
      <c r="D57" s="1290"/>
      <c r="E57" s="1291"/>
      <c r="F57" s="1298"/>
      <c r="I57" s="2359" t="s">
        <v>2262</v>
      </c>
      <c r="J57" s="1351"/>
      <c r="K57" s="2345" t="s">
        <v>2263</v>
      </c>
      <c r="L57" s="1124">
        <f>IF(L49&lt;J52,"——",L49-J52)</f>
        <v>38</v>
      </c>
      <c r="O57" s="1367" t="s">
        <v>956</v>
      </c>
      <c r="P57" s="1364" t="s">
        <v>2264</v>
      </c>
      <c r="Q57" s="1368">
        <f>L53</f>
        <v>0</v>
      </c>
      <c r="R57" s="1366"/>
    </row>
    <row r="58" spans="1:18" s="791" customFormat="1" ht="29.25" thickBot="1">
      <c r="A58" s="1297"/>
      <c r="B58" s="319" t="s">
        <v>2194</v>
      </c>
      <c r="C58" s="188">
        <f ca="1">C29</f>
        <v>2414992</v>
      </c>
      <c r="D58" s="1290"/>
      <c r="E58" s="1291"/>
      <c r="F58" s="1298"/>
      <c r="I58" s="2360" t="s">
        <v>2265</v>
      </c>
      <c r="J58" s="1350" t="str">
        <f>IF(OR(M48="住宅",J52&lt;L49,J57="是"),"——",J52-L49)</f>
        <v>——</v>
      </c>
      <c r="K58" s="2345" t="s">
        <v>2266</v>
      </c>
      <c r="L58" s="1124">
        <f ca="1">IF(L49&lt;J52,"——",IF(L56="比较法",L50,IF(L56="基准地价",L51,L52)))</f>
        <v>6747881</v>
      </c>
      <c r="O58" s="1367" t="s">
        <v>957</v>
      </c>
      <c r="P58" s="1364" t="s">
        <v>2267</v>
      </c>
      <c r="Q58" s="1365" t="e">
        <f>L59</f>
        <v>#DIV/0!</v>
      </c>
      <c r="R58" s="1366" t="s">
        <v>2268</v>
      </c>
    </row>
    <row r="59" spans="1:18" s="791" customFormat="1" ht="29.25" thickBot="1">
      <c r="A59" s="332" t="s">
        <v>14</v>
      </c>
      <c r="B59" s="333" t="s">
        <v>2197</v>
      </c>
      <c r="C59" s="334">
        <f ca="1">ROUND(C60+C65+C66+C67,0)</f>
        <v>72691</v>
      </c>
      <c r="D59" s="12" t="s">
        <v>2198</v>
      </c>
      <c r="E59" s="1893"/>
      <c r="F59" s="16"/>
      <c r="I59" s="2360" t="s">
        <v>2269</v>
      </c>
      <c r="J59" s="1866" t="e">
        <f>IF(J56&lt;0.4,0.4,J56)</f>
        <v>#VALUE!</v>
      </c>
      <c r="K59" s="2351" t="s">
        <v>2270</v>
      </c>
      <c r="L59" s="1124" t="e">
        <f>ROUND(POWER(1+L53,L48-L49)*(POWER(1+L53,L49)-1)/(POWER(1+L53,L48)-1),4)</f>
        <v>#DIV/0!</v>
      </c>
      <c r="O59" s="1367" t="s">
        <v>958</v>
      </c>
      <c r="P59" s="1364" t="str">
        <f>K60</f>
        <v>建设期及建筑物耐用年限下的土地年期修正系数Kn</v>
      </c>
      <c r="Q59" s="1365" t="e">
        <f>L60</f>
        <v>#DIV/0!</v>
      </c>
      <c r="R59" s="1366" t="s">
        <v>2271</v>
      </c>
    </row>
    <row r="60" spans="1:18" s="791" customFormat="1" ht="29.25" thickBot="1">
      <c r="A60" s="337" t="s">
        <v>15</v>
      </c>
      <c r="B60" s="319" t="s">
        <v>2138</v>
      </c>
      <c r="C60" s="14">
        <f ca="1">ROUND(IF(项目基本情况!B7="自然人",C49*F60,C61+C62+C63),0)</f>
        <v>20286</v>
      </c>
      <c r="D60" s="1883" t="s">
        <v>2199</v>
      </c>
      <c r="E60" s="1888" t="s">
        <v>2200</v>
      </c>
      <c r="F60" s="343" t="str">
        <f>IF(项目基本情况!B7="企业","",IF('数据-取费表'!B10="住宅",5%,IF(F50*F51*F52/12/(1+'数据-取费表'!F30)&gt;20000,12%,7%)))</f>
        <v/>
      </c>
      <c r="I60" s="2360" t="s">
        <v>2272</v>
      </c>
      <c r="J60" s="1350"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959</v>
      </c>
      <c r="P60" s="1364" t="str">
        <f>IF(C2="元","收益价值(元)","收益价值(万元)")</f>
        <v>收益价值(元)</v>
      </c>
      <c r="Q60" s="1365" t="e">
        <f ca="1">ROUND(IF(C2="元",Q54+Q55,(Q54+Q55)/10000),0)</f>
        <v>#DIV/0!</v>
      </c>
      <c r="R60" s="1366" t="s">
        <v>960</v>
      </c>
    </row>
    <row r="61" spans="1:18" s="791" customFormat="1" ht="16.5" thickBot="1">
      <c r="A61" s="337" t="s">
        <v>16</v>
      </c>
      <c r="B61" s="319" t="s">
        <v>2201</v>
      </c>
      <c r="C61" s="14">
        <f ca="1">IF(项目基本情况!B7="自然人","——",ROUND(C49*F61/(1+'数据-取费表'!F30),0))</f>
        <v>0</v>
      </c>
      <c r="D61" s="1888" t="s">
        <v>2202</v>
      </c>
      <c r="E61" s="319" t="s">
        <v>2151</v>
      </c>
      <c r="F61" s="352">
        <f t="shared" ref="F61:F67" si="0">F32</f>
        <v>5.6000000000000001E-2</v>
      </c>
      <c r="I61" s="2361" t="s">
        <v>2273</v>
      </c>
      <c r="J61" s="1349" t="str">
        <f>IF(OR(M48="住宅",J52&lt;L49,J57="是"),"0",ROUND(J60/(1+J53)^J54,0))</f>
        <v>0</v>
      </c>
      <c r="K61" s="2362" t="s">
        <v>2274</v>
      </c>
      <c r="L61" s="1349" t="e">
        <f ca="1">IF(OR(M48="住宅",L49&lt;J52),0,ROUND(L58*(L59/L60-1),0))</f>
        <v>#DIV/0!</v>
      </c>
      <c r="O61" s="1357" t="s">
        <v>2275</v>
      </c>
      <c r="P61" s="1358"/>
      <c r="Q61" s="1354"/>
      <c r="R61" s="1358"/>
    </row>
    <row r="62" spans="1:18" s="791" customFormat="1" ht="15.75" thickBot="1">
      <c r="A62" s="337" t="s">
        <v>17</v>
      </c>
      <c r="B62" s="319" t="s">
        <v>2276</v>
      </c>
      <c r="C62" s="14">
        <f ca="1">IF(项目基本情况!B7="自然人","——",IF(D62="按租金收入计税",ROUND(C49*F62,0),IF(D62="按房产原值计税",ROUND(C58*F62*0.7,0),'数据-取费表'!B43)))</f>
        <v>20286</v>
      </c>
      <c r="D62" s="2009" t="s">
        <v>2148</v>
      </c>
      <c r="E62" s="319" t="s">
        <v>2151</v>
      </c>
      <c r="F62" s="342">
        <f t="shared" si="0"/>
        <v>1.2E-2</v>
      </c>
      <c r="O62" s="1359" t="s">
        <v>2221</v>
      </c>
      <c r="P62" s="1360" t="s">
        <v>2222</v>
      </c>
      <c r="Q62" s="1361" t="s">
        <v>2223</v>
      </c>
      <c r="R62" s="1362" t="s">
        <v>2224</v>
      </c>
    </row>
    <row r="63" spans="1:18" s="791" customFormat="1" ht="15.75" thickBot="1">
      <c r="A63" s="345" t="s">
        <v>18</v>
      </c>
      <c r="B63" s="80" t="s">
        <v>2277</v>
      </c>
      <c r="C63" s="15">
        <f>IF(项目基本情况!B7="自然人","——",ROUND(F63*F64,0))</f>
        <v>0</v>
      </c>
      <c r="D63" s="346" t="s">
        <v>2278</v>
      </c>
      <c r="E63" s="319" t="s">
        <v>2279</v>
      </c>
      <c r="F63" s="347">
        <f t="shared" si="0"/>
        <v>0</v>
      </c>
      <c r="I63" s="2363" t="s">
        <v>2280</v>
      </c>
      <c r="J63" s="1870" t="s">
        <v>2281</v>
      </c>
      <c r="K63" s="1870" t="s">
        <v>2282</v>
      </c>
      <c r="L63" s="1870" t="s">
        <v>2283</v>
      </c>
      <c r="M63" s="1869" t="s">
        <v>2284</v>
      </c>
      <c r="O63" s="1363" t="s">
        <v>953</v>
      </c>
      <c r="P63" s="1364" t="s">
        <v>2225</v>
      </c>
      <c r="Q63" s="1365">
        <f ca="1">C40+J29</f>
        <v>500699</v>
      </c>
      <c r="R63" s="1366" t="s">
        <v>2226</v>
      </c>
    </row>
    <row r="64" spans="1:18" s="791" customFormat="1" ht="20.25" thickBot="1">
      <c r="A64" s="348"/>
      <c r="B64" s="328"/>
      <c r="C64" s="19"/>
      <c r="D64" s="349"/>
      <c r="E64" s="319" t="s">
        <v>2285</v>
      </c>
      <c r="F64" s="320">
        <f t="shared" si="0"/>
        <v>0</v>
      </c>
      <c r="I64" s="2363" t="s">
        <v>2286</v>
      </c>
      <c r="J64" s="1870">
        <v>70</v>
      </c>
      <c r="K64" s="1870">
        <v>50</v>
      </c>
      <c r="L64" s="1870">
        <v>80</v>
      </c>
      <c r="M64" s="1868">
        <v>0.02</v>
      </c>
      <c r="O64" s="1363" t="s">
        <v>954</v>
      </c>
      <c r="P64" s="1364" t="s">
        <v>2257</v>
      </c>
      <c r="Q64" s="1365" t="e">
        <f ca="1">L61</f>
        <v>#DIV/0!</v>
      </c>
      <c r="R64" s="1366" t="s">
        <v>2258</v>
      </c>
    </row>
    <row r="65" spans="1:18" s="791" customFormat="1" ht="23.25" thickBot="1">
      <c r="A65" s="337" t="s">
        <v>19</v>
      </c>
      <c r="B65" s="319" t="s">
        <v>2206</v>
      </c>
      <c r="C65" s="14">
        <f ca="1">ROUND(C58*F65,0)</f>
        <v>48300</v>
      </c>
      <c r="D65" s="1888" t="s">
        <v>2207</v>
      </c>
      <c r="E65" s="319" t="s">
        <v>2151</v>
      </c>
      <c r="F65" s="350">
        <f t="shared" si="0"/>
        <v>0.02</v>
      </c>
      <c r="I65" s="2363" t="s">
        <v>2287</v>
      </c>
      <c r="J65" s="1870">
        <v>50</v>
      </c>
      <c r="K65" s="1870">
        <v>35</v>
      </c>
      <c r="L65" s="1870">
        <v>60</v>
      </c>
      <c r="M65" s="1869">
        <v>0</v>
      </c>
      <c r="O65" s="1367" t="s">
        <v>955</v>
      </c>
      <c r="P65" s="1364" t="s">
        <v>2261</v>
      </c>
      <c r="Q65" s="1369">
        <f ca="1">L52</f>
        <v>6747881</v>
      </c>
      <c r="R65" s="1370" t="s">
        <v>2288</v>
      </c>
    </row>
    <row r="66" spans="1:18" s="791" customFormat="1" ht="20.25" thickBot="1">
      <c r="A66" s="337" t="s">
        <v>20</v>
      </c>
      <c r="B66" s="319" t="s">
        <v>2166</v>
      </c>
      <c r="C66" s="14">
        <f ca="1">ROUND(C57*F66,0)</f>
        <v>4105</v>
      </c>
      <c r="D66" s="1888" t="s">
        <v>2167</v>
      </c>
      <c r="E66" s="319" t="s">
        <v>2168</v>
      </c>
      <c r="F66" s="351">
        <f t="shared" si="0"/>
        <v>2E-3</v>
      </c>
      <c r="I66" s="2363" t="s">
        <v>2289</v>
      </c>
      <c r="J66" s="1870">
        <v>40</v>
      </c>
      <c r="K66" s="1870">
        <v>30</v>
      </c>
      <c r="L66" s="1870">
        <v>50</v>
      </c>
      <c r="M66" s="1868">
        <v>0.02</v>
      </c>
      <c r="O66" s="1367" t="s">
        <v>956</v>
      </c>
      <c r="P66" s="1371" t="s">
        <v>2290</v>
      </c>
      <c r="Q66" s="1365">
        <f ca="1">ROUND(Q67-Q68*Q69,0)</f>
        <v>-195856</v>
      </c>
      <c r="R66" s="1366"/>
    </row>
    <row r="67" spans="1:18" s="791" customFormat="1" ht="15.75" thickBot="1">
      <c r="A67" s="337" t="s">
        <v>21</v>
      </c>
      <c r="B67" s="319" t="s">
        <v>2149</v>
      </c>
      <c r="C67" s="14">
        <f ca="1">ROUND(C49*F67,0)</f>
        <v>0</v>
      </c>
      <c r="D67" s="1888" t="s">
        <v>2172</v>
      </c>
      <c r="E67" s="319" t="s">
        <v>2168</v>
      </c>
      <c r="F67" s="329">
        <f t="shared" si="0"/>
        <v>1.4999999999999999E-2</v>
      </c>
      <c r="O67" s="1367" t="s">
        <v>961</v>
      </c>
      <c r="P67" s="1371" t="s">
        <v>2291</v>
      </c>
      <c r="Q67" s="1365">
        <f ca="1">C39</f>
        <v>-72691</v>
      </c>
      <c r="R67" s="1366" t="s">
        <v>2226</v>
      </c>
    </row>
    <row r="68" spans="1:18" ht="15.75" thickBot="1">
      <c r="A68" s="332" t="s">
        <v>22</v>
      </c>
      <c r="B68" s="89" t="s">
        <v>2176</v>
      </c>
      <c r="C68" s="334">
        <f ca="1">C49-C59</f>
        <v>-72691</v>
      </c>
      <c r="D68" s="1883" t="s">
        <v>2177</v>
      </c>
      <c r="E68" s="1887"/>
      <c r="F68" s="353"/>
      <c r="H68" s="791"/>
      <c r="I68" s="791"/>
      <c r="J68" s="791"/>
      <c r="K68" s="791"/>
      <c r="L68" s="791"/>
      <c r="M68" s="791"/>
      <c r="O68" s="1367" t="s">
        <v>962</v>
      </c>
      <c r="P68" s="1371" t="s">
        <v>2292</v>
      </c>
      <c r="Q68" s="1365">
        <f ca="1">C13</f>
        <v>2052743</v>
      </c>
      <c r="R68" s="1366" t="s">
        <v>2226</v>
      </c>
    </row>
    <row r="69" spans="1:18" ht="15.75" thickBot="1">
      <c r="A69" s="316" t="s">
        <v>23</v>
      </c>
      <c r="B69" s="317" t="s">
        <v>2214</v>
      </c>
      <c r="C69" s="318">
        <f ca="1">ROUND(C68*(1-((1+F71)/(1+F69))^F70)/(F69-F71),0)</f>
        <v>500699</v>
      </c>
      <c r="D69" s="346" t="s">
        <v>2182</v>
      </c>
      <c r="E69" s="319" t="s">
        <v>2183</v>
      </c>
      <c r="F69" s="329">
        <f>F40</f>
        <v>5.5E-2</v>
      </c>
      <c r="H69" s="791"/>
      <c r="I69" s="791"/>
      <c r="J69" s="791"/>
      <c r="K69" s="791"/>
      <c r="L69" s="791"/>
      <c r="M69" s="791"/>
      <c r="O69" s="1367" t="s">
        <v>963</v>
      </c>
      <c r="P69" s="1371" t="s">
        <v>2293</v>
      </c>
      <c r="Q69" s="1368">
        <f>J35</f>
        <v>0.06</v>
      </c>
      <c r="R69" s="1366"/>
    </row>
    <row r="70" spans="1:18" ht="15.75" thickBot="1">
      <c r="A70" s="321"/>
      <c r="B70" s="322"/>
      <c r="C70" s="323"/>
      <c r="D70" s="354" t="s">
        <v>2216</v>
      </c>
      <c r="E70" s="319" t="s">
        <v>2188</v>
      </c>
      <c r="F70" s="355">
        <f>F41</f>
        <v>-6</v>
      </c>
      <c r="H70" s="791"/>
      <c r="I70" s="791"/>
      <c r="J70" s="791"/>
      <c r="K70" s="791"/>
      <c r="L70" s="791"/>
      <c r="M70" s="791"/>
      <c r="O70" s="1367" t="s">
        <v>957</v>
      </c>
      <c r="P70" s="1364" t="s">
        <v>2264</v>
      </c>
      <c r="Q70" s="1368">
        <f>L53</f>
        <v>0</v>
      </c>
      <c r="R70" s="1366"/>
    </row>
    <row r="71" spans="1:18" ht="20.25" thickBot="1">
      <c r="A71" s="325"/>
      <c r="B71" s="326"/>
      <c r="C71" s="327"/>
      <c r="D71" s="349"/>
      <c r="E71" s="319" t="s">
        <v>2192</v>
      </c>
      <c r="F71" s="1352"/>
      <c r="H71" s="791"/>
      <c r="M71" s="791"/>
      <c r="O71" s="1367" t="s">
        <v>958</v>
      </c>
      <c r="P71" s="1364" t="s">
        <v>2267</v>
      </c>
      <c r="Q71" s="1365" t="e">
        <f>L59</f>
        <v>#DIV/0!</v>
      </c>
      <c r="R71" s="1366" t="s">
        <v>2268</v>
      </c>
    </row>
    <row r="72" spans="1:18" ht="15.75" thickBot="1">
      <c r="A72" s="356" t="s">
        <v>24</v>
      </c>
      <c r="B72" s="357" t="s">
        <v>2217</v>
      </c>
      <c r="C72" s="358">
        <f ca="1">ROUND(C69/F72,0)</f>
        <v>1277</v>
      </c>
      <c r="D72" s="359" t="s">
        <v>2218</v>
      </c>
      <c r="E72" s="360" t="s">
        <v>2219</v>
      </c>
      <c r="F72" s="361">
        <f>F43</f>
        <v>392.22</v>
      </c>
      <c r="O72" s="1367" t="s">
        <v>964</v>
      </c>
      <c r="P72" s="1364" t="str">
        <f>K60</f>
        <v>建设期及建筑物耐用年限下的土地年期修正系数Kn</v>
      </c>
      <c r="Q72" s="1365" t="e">
        <f>L60</f>
        <v>#DIV/0!</v>
      </c>
      <c r="R72" s="1366" t="s">
        <v>2271</v>
      </c>
    </row>
    <row r="73" spans="1:18" ht="15.75" thickBot="1">
      <c r="A73" s="791"/>
      <c r="B73" s="795"/>
      <c r="C73" s="795"/>
      <c r="D73" s="791"/>
      <c r="E73" s="791"/>
      <c r="F73" s="791"/>
      <c r="O73" s="1363" t="s">
        <v>959</v>
      </c>
      <c r="P73" s="1364" t="str">
        <f>IF(C2="元","收益价值(元)","收益价值(万元)")</f>
        <v>收益价值(元)</v>
      </c>
      <c r="Q73" s="1365" t="e">
        <f ca="1">ROUND(IF(C2="元",Q63+Q64,(Q63+Q64)/10000),0)</f>
        <v>#DIV/0!</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133" t="s">
        <v>1020</v>
      </c>
      <c r="B1" s="3134"/>
      <c r="C1" s="3135"/>
      <c r="D1" s="3136">
        <f>SUM(I10,I15,I20,I21,I23)</f>
        <v>0</v>
      </c>
      <c r="E1" s="3136"/>
      <c r="F1" s="3136"/>
      <c r="G1" s="3136"/>
      <c r="H1" s="3136"/>
      <c r="I1" s="3137"/>
    </row>
    <row r="2" spans="1:9">
      <c r="A2" s="3123" t="s">
        <v>1021</v>
      </c>
      <c r="B2" s="3124" t="s">
        <v>970</v>
      </c>
      <c r="C2" s="3124"/>
      <c r="D2" s="1385" t="s">
        <v>971</v>
      </c>
      <c r="E2" s="1385" t="s">
        <v>972</v>
      </c>
      <c r="F2" s="1385" t="s">
        <v>973</v>
      </c>
      <c r="G2" s="1385" t="s">
        <v>974</v>
      </c>
      <c r="H2" s="1385" t="s">
        <v>975</v>
      </c>
      <c r="I2" s="1386" t="s">
        <v>976</v>
      </c>
    </row>
    <row r="3" spans="1:9">
      <c r="A3" s="3123"/>
      <c r="B3" s="3124" t="s">
        <v>977</v>
      </c>
      <c r="C3" s="3124"/>
      <c r="D3" s="1387"/>
      <c r="E3" s="1385"/>
      <c r="F3" s="1388"/>
      <c r="G3" s="1388"/>
      <c r="H3" s="1389"/>
      <c r="I3" s="1390">
        <f>ROUND(D3*E3*F3*G3*H3/10000,0)</f>
        <v>0</v>
      </c>
    </row>
    <row r="4" spans="1:9">
      <c r="A4" s="3123"/>
      <c r="B4" s="3124" t="s">
        <v>978</v>
      </c>
      <c r="C4" s="3124"/>
      <c r="D4" s="1387"/>
      <c r="E4" s="1385"/>
      <c r="F4" s="1388"/>
      <c r="G4" s="1388"/>
      <c r="H4" s="1389"/>
      <c r="I4" s="1390">
        <f t="shared" ref="I4:I9" si="0">ROUND(D4*E4*F4*G4*H4/10000,0)</f>
        <v>0</v>
      </c>
    </row>
    <row r="5" spans="1:9">
      <c r="A5" s="3123"/>
      <c r="B5" s="3124" t="s">
        <v>979</v>
      </c>
      <c r="C5" s="3124"/>
      <c r="D5" s="1387"/>
      <c r="E5" s="1385"/>
      <c r="F5" s="1388"/>
      <c r="G5" s="1388"/>
      <c r="H5" s="1389"/>
      <c r="I5" s="1390">
        <f t="shared" si="0"/>
        <v>0</v>
      </c>
    </row>
    <row r="6" spans="1:9">
      <c r="A6" s="3123"/>
      <c r="B6" s="3124" t="s">
        <v>980</v>
      </c>
      <c r="C6" s="3124"/>
      <c r="D6" s="1387"/>
      <c r="E6" s="1385"/>
      <c r="F6" s="1388"/>
      <c r="G6" s="1388"/>
      <c r="H6" s="1389"/>
      <c r="I6" s="1390">
        <f t="shared" si="0"/>
        <v>0</v>
      </c>
    </row>
    <row r="7" spans="1:9">
      <c r="A7" s="3123"/>
      <c r="B7" s="3124" t="s">
        <v>981</v>
      </c>
      <c r="C7" s="3124"/>
      <c r="D7" s="1387"/>
      <c r="E7" s="1385"/>
      <c r="F7" s="1388"/>
      <c r="G7" s="1388"/>
      <c r="H7" s="1389"/>
      <c r="I7" s="1390">
        <f t="shared" si="0"/>
        <v>0</v>
      </c>
    </row>
    <row r="8" spans="1:9">
      <c r="A8" s="3123"/>
      <c r="B8" s="3124" t="s">
        <v>982</v>
      </c>
      <c r="C8" s="3124"/>
      <c r="D8" s="1387"/>
      <c r="E8" s="1385"/>
      <c r="F8" s="1388"/>
      <c r="G8" s="1388"/>
      <c r="H8" s="1389"/>
      <c r="I8" s="1390">
        <f t="shared" si="0"/>
        <v>0</v>
      </c>
    </row>
    <row r="9" spans="1:9">
      <c r="A9" s="3123"/>
      <c r="B9" s="3124" t="s">
        <v>983</v>
      </c>
      <c r="C9" s="3124"/>
      <c r="D9" s="1387"/>
      <c r="E9" s="1385"/>
      <c r="F9" s="1388"/>
      <c r="G9" s="1388"/>
      <c r="H9" s="1389"/>
      <c r="I9" s="1390">
        <f t="shared" si="0"/>
        <v>0</v>
      </c>
    </row>
    <row r="10" spans="1:9">
      <c r="A10" s="3123"/>
      <c r="B10" s="3125" t="s">
        <v>984</v>
      </c>
      <c r="C10" s="3125"/>
      <c r="D10" s="1391">
        <v>527</v>
      </c>
      <c r="E10" s="1391" t="e">
        <f>ROUND(D1*10000/D10/H9,0)</f>
        <v>#DIV/0!</v>
      </c>
      <c r="F10" s="1392"/>
      <c r="G10" s="1392"/>
      <c r="H10" s="1393"/>
      <c r="I10" s="1394">
        <f>SUM(I3:I9)</f>
        <v>0</v>
      </c>
    </row>
    <row r="11" spans="1:9" ht="14.25">
      <c r="A11" s="3123" t="s">
        <v>1022</v>
      </c>
      <c r="B11" s="3124" t="s">
        <v>985</v>
      </c>
      <c r="C11" s="3124"/>
      <c r="D11" s="1387" t="s">
        <v>986</v>
      </c>
      <c r="E11" s="1387" t="s">
        <v>987</v>
      </c>
      <c r="F11" s="1388" t="s">
        <v>988</v>
      </c>
      <c r="G11" s="1388" t="s">
        <v>975</v>
      </c>
      <c r="H11" s="1395" t="s">
        <v>989</v>
      </c>
      <c r="I11" s="1386" t="s">
        <v>976</v>
      </c>
    </row>
    <row r="12" spans="1:9">
      <c r="A12" s="3123"/>
      <c r="B12" s="3124" t="s">
        <v>990</v>
      </c>
      <c r="C12" s="3124"/>
      <c r="D12" s="1387"/>
      <c r="E12" s="1387"/>
      <c r="F12" s="1388"/>
      <c r="G12" s="1389"/>
      <c r="H12" s="1396"/>
      <c r="I12" s="1386">
        <f>ROUND(D12*E12*F12*G12/10000,0)</f>
        <v>0</v>
      </c>
    </row>
    <row r="13" spans="1:9">
      <c r="A13" s="3123"/>
      <c r="B13" s="3124" t="s">
        <v>991</v>
      </c>
      <c r="C13" s="3124"/>
      <c r="D13" s="1387"/>
      <c r="E13" s="1387"/>
      <c r="F13" s="1388"/>
      <c r="G13" s="1389"/>
      <c r="H13" s="1396"/>
      <c r="I13" s="1386">
        <f>ROUND(D13*E13*F13*G13/10000,0)</f>
        <v>0</v>
      </c>
    </row>
    <row r="14" spans="1:9">
      <c r="A14" s="3123"/>
      <c r="B14" s="3124" t="s">
        <v>992</v>
      </c>
      <c r="C14" s="3124"/>
      <c r="D14" s="1387"/>
      <c r="E14" s="1387"/>
      <c r="F14" s="1388"/>
      <c r="G14" s="1389"/>
      <c r="H14" s="1396"/>
      <c r="I14" s="1386">
        <f>ROUND(D14*E14*F14*G14/10000,0)</f>
        <v>0</v>
      </c>
    </row>
    <row r="15" spans="1:9">
      <c r="A15" s="3123"/>
      <c r="B15" s="3125" t="s">
        <v>984</v>
      </c>
      <c r="C15" s="3125"/>
      <c r="D15" s="1391"/>
      <c r="E15" s="1391">
        <f>SUM(E12:E14)</f>
        <v>0</v>
      </c>
      <c r="F15" s="1392"/>
      <c r="G15" s="1389"/>
      <c r="H15" s="1396"/>
      <c r="I15" s="1397">
        <f>SUM(I12:I14)</f>
        <v>0</v>
      </c>
    </row>
    <row r="16" spans="1:9" ht="24">
      <c r="A16" s="3123" t="s">
        <v>1023</v>
      </c>
      <c r="B16" s="3124" t="s">
        <v>993</v>
      </c>
      <c r="C16" s="3124"/>
      <c r="D16" s="1387" t="s">
        <v>971</v>
      </c>
      <c r="E16" s="1398" t="s">
        <v>994</v>
      </c>
      <c r="F16" s="1388" t="s">
        <v>995</v>
      </c>
      <c r="G16" s="1389" t="s">
        <v>975</v>
      </c>
      <c r="H16" s="1395" t="s">
        <v>989</v>
      </c>
      <c r="I16" s="1386" t="s">
        <v>976</v>
      </c>
    </row>
    <row r="17" spans="1:9" ht="14.25">
      <c r="A17" s="3123"/>
      <c r="B17" s="3124" t="s">
        <v>996</v>
      </c>
      <c r="C17" s="3124"/>
      <c r="D17" s="1387"/>
      <c r="E17" s="1387"/>
      <c r="F17" s="1388"/>
      <c r="G17" s="1389"/>
      <c r="H17" s="1399"/>
      <c r="I17" s="1400">
        <f>ROUND(D17*E17*F17*G17/10000,0)</f>
        <v>0</v>
      </c>
    </row>
    <row r="18" spans="1:9" ht="14.25">
      <c r="A18" s="3123"/>
      <c r="B18" s="3124" t="s">
        <v>997</v>
      </c>
      <c r="C18" s="3124"/>
      <c r="D18" s="1387"/>
      <c r="E18" s="1387"/>
      <c r="F18" s="1388"/>
      <c r="G18" s="1389"/>
      <c r="H18" s="1399"/>
      <c r="I18" s="1400">
        <f>ROUND(D18*E18*F18*G18/10000,0)</f>
        <v>0</v>
      </c>
    </row>
    <row r="19" spans="1:9" ht="14.25">
      <c r="A19" s="3123"/>
      <c r="B19" s="3124" t="s">
        <v>998</v>
      </c>
      <c r="C19" s="3124"/>
      <c r="D19" s="1387"/>
      <c r="E19" s="1387"/>
      <c r="F19" s="1388"/>
      <c r="G19" s="1389"/>
      <c r="H19" s="1399"/>
      <c r="I19" s="1400">
        <f>ROUND(D19*E19*F19*G19/10000,0)</f>
        <v>0</v>
      </c>
    </row>
    <row r="20" spans="1:9">
      <c r="A20" s="3123"/>
      <c r="B20" s="3125" t="s">
        <v>984</v>
      </c>
      <c r="C20" s="3125"/>
      <c r="D20" s="1391">
        <f>SUM(D17:D19)</f>
        <v>0</v>
      </c>
      <c r="E20" s="1391"/>
      <c r="F20" s="1392"/>
      <c r="G20" s="1389"/>
      <c r="H20" s="1396"/>
      <c r="I20" s="1397">
        <f>SUM(I17:I19)</f>
        <v>0</v>
      </c>
    </row>
    <row r="21" spans="1:9">
      <c r="A21" s="3123" t="s">
        <v>1024</v>
      </c>
      <c r="B21" s="3126"/>
      <c r="C21" s="3126"/>
      <c r="D21" s="3126"/>
      <c r="E21" s="3126"/>
      <c r="F21" s="3126"/>
      <c r="G21" s="3126"/>
      <c r="H21" s="1401">
        <v>0.1</v>
      </c>
      <c r="I21" s="1394">
        <f>ROUND(I10*H21,0)</f>
        <v>0</v>
      </c>
    </row>
    <row r="22" spans="1:9" ht="14.25">
      <c r="A22" s="3127" t="s">
        <v>1025</v>
      </c>
      <c r="B22" s="3128"/>
      <c r="C22" s="3129"/>
      <c r="D22" s="1402" t="s">
        <v>999</v>
      </c>
      <c r="E22" s="1402" t="s">
        <v>1000</v>
      </c>
      <c r="F22" s="1403" t="s">
        <v>975</v>
      </c>
      <c r="G22" s="1403" t="s">
        <v>1001</v>
      </c>
      <c r="H22" s="1395" t="s">
        <v>989</v>
      </c>
      <c r="I22" s="1386" t="s">
        <v>976</v>
      </c>
    </row>
    <row r="23" spans="1:9" ht="14.25" thickBot="1">
      <c r="A23" s="3130"/>
      <c r="B23" s="3131"/>
      <c r="C23" s="3132"/>
      <c r="D23" s="1404"/>
      <c r="E23" s="1404"/>
      <c r="F23" s="1404"/>
      <c r="G23" s="1405"/>
      <c r="H23" s="1406"/>
      <c r="I23" s="1407">
        <f>ROUND(E23*D23*F23*(1-G23)/10000,0)</f>
        <v>0</v>
      </c>
    </row>
    <row r="26" spans="1:9">
      <c r="A26" s="1408" t="s">
        <v>1002</v>
      </c>
      <c r="B26" s="1408"/>
      <c r="C26" s="1408"/>
      <c r="D26" s="1408"/>
      <c r="E26" s="3120">
        <f>C27-C30-C31-C32</f>
        <v>0</v>
      </c>
      <c r="F26" s="3120"/>
      <c r="G26" s="3120"/>
      <c r="H26" s="1825" t="s">
        <v>1213</v>
      </c>
    </row>
    <row r="27" spans="1:9">
      <c r="A27" s="1409">
        <v>1</v>
      </c>
      <c r="B27" s="1410" t="s">
        <v>1003</v>
      </c>
      <c r="C27" s="1410">
        <f>C28+C29</f>
        <v>0</v>
      </c>
      <c r="D27" s="1410"/>
      <c r="E27" s="3121"/>
      <c r="F27" s="3121"/>
      <c r="G27" s="3121"/>
    </row>
    <row r="28" spans="1:9">
      <c r="A28" s="1411" t="s">
        <v>1004</v>
      </c>
      <c r="B28" s="1410" t="s">
        <v>1005</v>
      </c>
      <c r="C28" s="1410"/>
      <c r="D28" s="1410"/>
      <c r="E28" s="3121"/>
      <c r="F28" s="3121"/>
      <c r="G28" s="3121"/>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122"/>
      <c r="F32" s="3122"/>
      <c r="G32" s="3122"/>
    </row>
    <row r="33" spans="1:7" hidden="1">
      <c r="A33" s="3117" t="s">
        <v>1014</v>
      </c>
      <c r="B33" s="3118"/>
      <c r="C33" s="3118"/>
      <c r="D33" s="3119"/>
      <c r="E33" s="3120"/>
      <c r="F33" s="3120"/>
      <c r="G33" s="3120"/>
    </row>
    <row r="34" spans="1:7" hidden="1">
      <c r="A34" s="1413">
        <v>1</v>
      </c>
      <c r="B34" s="1410" t="s">
        <v>1015</v>
      </c>
      <c r="C34" s="1410"/>
      <c r="D34" s="1410"/>
      <c r="E34" s="3121"/>
      <c r="F34" s="3121"/>
      <c r="G34" s="3121"/>
    </row>
    <row r="35" spans="1:7" hidden="1">
      <c r="A35" s="1413">
        <v>2</v>
      </c>
      <c r="B35" s="1410" t="s">
        <v>1016</v>
      </c>
      <c r="C35" s="1410"/>
      <c r="D35" s="1410"/>
      <c r="E35" s="3121"/>
      <c r="F35" s="3121"/>
      <c r="G35" s="3121"/>
    </row>
    <row r="36" spans="1:7" hidden="1">
      <c r="A36" s="1413">
        <v>3</v>
      </c>
      <c r="B36" s="1410" t="s">
        <v>1017</v>
      </c>
      <c r="C36" s="1410"/>
      <c r="D36" s="1410"/>
      <c r="E36" s="3121"/>
      <c r="F36" s="3121"/>
      <c r="G36" s="3121"/>
    </row>
    <row r="37" spans="1:7" hidden="1">
      <c r="A37" s="1413">
        <v>4</v>
      </c>
      <c r="B37" s="1410" t="s">
        <v>1018</v>
      </c>
      <c r="C37" s="1410"/>
      <c r="D37" s="1410"/>
      <c r="E37" s="3121"/>
      <c r="F37" s="3121"/>
      <c r="G37" s="3121"/>
    </row>
    <row r="38" spans="1:7" hidden="1">
      <c r="A38" s="3117" t="s">
        <v>1019</v>
      </c>
      <c r="B38" s="3118"/>
      <c r="C38" s="3118"/>
      <c r="D38" s="3119"/>
      <c r="E38" s="3120"/>
      <c r="F38" s="3120"/>
      <c r="G38" s="312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2294</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2295</v>
      </c>
      <c r="B2" s="334">
        <f>B23</f>
        <v>0</v>
      </c>
      <c r="C2" s="1179" t="str">
        <f>C23</f>
        <v>元</v>
      </c>
      <c r="D2" s="84"/>
      <c r="E2" s="84"/>
      <c r="F2" s="84"/>
      <c r="G2" s="84"/>
      <c r="H2" s="84"/>
      <c r="I2" s="84"/>
      <c r="J2" s="84"/>
      <c r="K2" s="84"/>
      <c r="L2" s="84"/>
      <c r="M2" s="84"/>
      <c r="N2" s="84"/>
      <c r="O2" s="84"/>
      <c r="P2" s="84"/>
      <c r="Q2" s="84"/>
      <c r="R2" s="769"/>
      <c r="S2" s="54"/>
      <c r="T2" s="54"/>
      <c r="U2" s="1308"/>
      <c r="V2" s="1308"/>
      <c r="X2" s="1308"/>
      <c r="Y2" s="1308"/>
    </row>
    <row r="3" spans="1:44" ht="15.75">
      <c r="A3" s="167" t="s">
        <v>2296</v>
      </c>
      <c r="B3" s="334" t="e">
        <f>B24</f>
        <v>#DIV/0!</v>
      </c>
      <c r="C3" s="1179" t="s">
        <v>2297</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2298</v>
      </c>
      <c r="C4" s="3141" t="s">
        <v>2299</v>
      </c>
      <c r="D4" s="3142"/>
      <c r="E4" s="3142"/>
      <c r="F4" s="3142"/>
      <c r="G4" s="3142"/>
      <c r="H4" s="3142"/>
      <c r="I4" s="3142"/>
      <c r="J4" s="3142"/>
      <c r="K4" s="3142"/>
      <c r="L4" s="3142"/>
      <c r="M4" s="3142"/>
      <c r="N4" s="3142"/>
      <c r="O4" s="3142"/>
      <c r="P4" s="3142"/>
      <c r="Q4" s="3142"/>
      <c r="R4" s="3142"/>
      <c r="S4" s="3143"/>
      <c r="T4" s="678" t="s">
        <v>2300</v>
      </c>
      <c r="U4" s="1308"/>
      <c r="V4" s="1308"/>
      <c r="X4" s="1308"/>
      <c r="Y4" s="1308"/>
    </row>
    <row r="5" spans="1:44" s="692" customFormat="1">
      <c r="A5" s="1318"/>
      <c r="B5" s="687" t="s">
        <v>2301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2302</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2303</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2304</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2305</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2306</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2307</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2308</v>
      </c>
      <c r="B20" s="2365" t="s">
        <v>2309</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2310</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2311</v>
      </c>
      <c r="B23" s="308">
        <f>IF(F23="——",IF(C23="万元",T25,S25),IF(C23="万元",T25-H23,S25-H23))</f>
        <v>0</v>
      </c>
      <c r="C23" s="2367" t="str">
        <f>'数据-取费表'!B3</f>
        <v>元</v>
      </c>
      <c r="D23" s="84"/>
      <c r="E23" s="84"/>
      <c r="F23" s="2368" t="s">
        <v>1247</v>
      </c>
      <c r="G23" s="1875"/>
      <c r="H23" s="678" t="e">
        <f ca="1">SUMIF(INDIRECT("'"&amp;J23&amp;"'"&amp;"!A:A"),"承租人权益价值",INDIRECT("'"&amp;J23&amp;"'"&amp;"!c:c"))</f>
        <v>#REF!</v>
      </c>
      <c r="I23" s="678" t="str">
        <f>C2</f>
        <v>元</v>
      </c>
      <c r="J23" s="2369"/>
      <c r="K23" s="84"/>
      <c r="L23" s="84"/>
      <c r="M23" s="84"/>
      <c r="N23" s="84"/>
      <c r="O23" s="84"/>
      <c r="P23" s="84"/>
      <c r="Q23" s="84"/>
      <c r="R23" s="769"/>
      <c r="S23" s="54"/>
      <c r="T23" s="54"/>
      <c r="V23" s="1309"/>
      <c r="W23" s="801"/>
      <c r="X23" s="36"/>
      <c r="Y23" s="36"/>
      <c r="Z23" s="801"/>
    </row>
    <row r="24" spans="1:45" ht="15.75">
      <c r="A24" s="2367" t="s">
        <v>2312</v>
      </c>
      <c r="B24" s="308" t="e">
        <f>R25</f>
        <v>#DIV/0!</v>
      </c>
      <c r="C24" s="1140"/>
      <c r="D24" s="84"/>
      <c r="E24" s="84"/>
      <c r="F24" s="84"/>
      <c r="G24" s="84"/>
      <c r="H24" s="84"/>
      <c r="I24" s="84"/>
      <c r="J24" s="84"/>
      <c r="K24" s="84"/>
      <c r="L24" s="84"/>
      <c r="M24" s="84"/>
      <c r="N24" s="84"/>
      <c r="O24" s="84"/>
      <c r="P24" s="84"/>
      <c r="Q24" s="84"/>
      <c r="R24" s="769"/>
      <c r="S24" s="14" t="s">
        <v>2313</v>
      </c>
      <c r="T24" s="1892" t="s">
        <v>2314</v>
      </c>
      <c r="U24" s="2370" t="s">
        <v>2315</v>
      </c>
      <c r="V24" s="1338"/>
      <c r="W24" s="2371" t="s">
        <v>2316</v>
      </c>
      <c r="X24" s="2370" t="s">
        <v>2317</v>
      </c>
      <c r="Y24" s="1338"/>
      <c r="Z24" s="2372" t="s">
        <v>2316</v>
      </c>
    </row>
    <row r="25" spans="1:45">
      <c r="A25" s="334" t="s">
        <v>2318</v>
      </c>
      <c r="B25" s="14">
        <f>SUM(B27:B10000)</f>
        <v>0</v>
      </c>
      <c r="C25" s="3138" t="s">
        <v>45</v>
      </c>
      <c r="D25" s="3139"/>
      <c r="E25" s="3139"/>
      <c r="F25" s="3139"/>
      <c r="G25" s="3139"/>
      <c r="H25" s="3139"/>
      <c r="I25" s="3139"/>
      <c r="J25" s="3139"/>
      <c r="K25" s="3139"/>
      <c r="L25" s="3139"/>
      <c r="M25" s="3139"/>
      <c r="N25" s="3139"/>
      <c r="O25" s="3139"/>
      <c r="P25" s="3139"/>
      <c r="Q25" s="314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2319</v>
      </c>
      <c r="B26" s="10" t="s">
        <v>2320</v>
      </c>
      <c r="C26" s="10" t="s">
        <v>2321</v>
      </c>
      <c r="D26" s="10" t="str">
        <f>B8</f>
        <v>修正项2</v>
      </c>
      <c r="E26" s="10" t="s">
        <v>2321</v>
      </c>
      <c r="F26" s="10" t="str">
        <f>B10</f>
        <v>修正项3</v>
      </c>
      <c r="G26" s="10" t="s">
        <v>2321</v>
      </c>
      <c r="H26" s="10" t="str">
        <f>B12</f>
        <v>修正项4</v>
      </c>
      <c r="I26" s="10" t="s">
        <v>2321</v>
      </c>
      <c r="J26" s="10" t="str">
        <f>B14</f>
        <v>修正项5</v>
      </c>
      <c r="K26" s="10" t="s">
        <v>2321</v>
      </c>
      <c r="L26" s="10" t="str">
        <f>B16</f>
        <v>修正项6</v>
      </c>
      <c r="M26" s="10" t="s">
        <v>2321</v>
      </c>
      <c r="N26" s="10" t="str">
        <f>B18</f>
        <v>修正项7</v>
      </c>
      <c r="O26" s="10" t="s">
        <v>2321</v>
      </c>
      <c r="P26" s="10" t="str">
        <f>B20</f>
        <v>楼层</v>
      </c>
      <c r="Q26" s="10" t="s">
        <v>2321</v>
      </c>
      <c r="R26" s="704" t="s">
        <v>2322</v>
      </c>
      <c r="S26" s="10" t="s">
        <v>2323</v>
      </c>
      <c r="T26" s="10" t="s">
        <v>2323</v>
      </c>
      <c r="U26" s="1878" t="s">
        <v>2324</v>
      </c>
      <c r="V26" s="2374" t="s">
        <v>2325</v>
      </c>
      <c r="W26" s="2375" t="s">
        <v>2326</v>
      </c>
      <c r="X26" s="1878" t="s">
        <v>2324</v>
      </c>
      <c r="Y26" s="2374" t="s">
        <v>2325</v>
      </c>
      <c r="Z26" s="2375" t="s">
        <v>2326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2"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2329</v>
      </c>
      <c r="C1" s="1722"/>
      <c r="D1" s="2376"/>
      <c r="E1" s="2377"/>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2000</v>
      </c>
      <c r="B2" s="1721" t="e">
        <f ca="1">IF(D2="——",IF(C2="元",ROUND(C49*D3,0),ROUND(C49*D3/10000,0)),IF(C2="元",ROUND(C49*D3,0),ROUND(C49*D3/10000,0))-E2)</f>
        <v>#DIV/0!</v>
      </c>
      <c r="C2" s="163" t="str">
        <f>'数据-取费表'!B3</f>
        <v>元</v>
      </c>
      <c r="D2" s="2379"/>
      <c r="E2" s="1839" t="e">
        <f ca="1">SUMIF(INDIRECT("'"&amp;G2&amp;"'"&amp;"!A:A"),"承租人权益价值",INDIRECT("'"&amp;G2&amp;"'"&amp;"!c:c"))</f>
        <v>#REF!</v>
      </c>
      <c r="F2" s="2380" t="str">
        <f>C2</f>
        <v>元</v>
      </c>
      <c r="G2" s="2381"/>
      <c r="H2" s="976"/>
      <c r="I2" s="976"/>
      <c r="J2" s="976"/>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2001</v>
      </c>
      <c r="B3" s="378" t="e">
        <f ca="1">ROUND(IF(D2="——",C49,IF(C2="万元",B2*10000/D3,B2/D3)),0)</f>
        <v>#DIV/0!</v>
      </c>
      <c r="C3" s="379" t="s">
        <v>2331</v>
      </c>
      <c r="D3" s="378">
        <f>IF(C1="仅计算典型户型",'数据-取费表'!E5,'数据-取费表'!B5)</f>
        <v>392.22</v>
      </c>
      <c r="E3" s="976"/>
      <c r="F3" s="2388"/>
      <c r="G3" s="976"/>
      <c r="H3" s="976"/>
      <c r="I3" s="976"/>
      <c r="J3" s="976"/>
      <c r="K3" s="2382"/>
      <c r="L3" s="2383"/>
      <c r="M3" s="2384"/>
      <c r="N3" s="2384"/>
      <c r="O3" s="2384"/>
      <c r="P3" s="2389"/>
      <c r="Q3" s="2386"/>
      <c r="R3" s="2386"/>
      <c r="S3" s="2386"/>
      <c r="T3" s="2386"/>
      <c r="U3" s="2386"/>
      <c r="V3" s="2386"/>
      <c r="W3" s="2386"/>
      <c r="X3" s="2386"/>
      <c r="Y3" s="2386"/>
      <c r="Z3" s="2386"/>
      <c r="AA3" s="2386"/>
      <c r="AB3" s="2386"/>
      <c r="AC3" s="1354"/>
    </row>
    <row r="4" spans="1:29" ht="15">
      <c r="A4" s="380" t="s">
        <v>2332</v>
      </c>
      <c r="B4" s="381"/>
      <c r="C4" s="3177" t="s">
        <v>2333</v>
      </c>
      <c r="D4" s="3178"/>
      <c r="E4" s="3179" t="s">
        <v>2334</v>
      </c>
      <c r="F4" s="3180"/>
      <c r="G4" s="3177" t="s">
        <v>2335</v>
      </c>
      <c r="H4" s="3178"/>
      <c r="I4" s="3177" t="s">
        <v>2336</v>
      </c>
      <c r="J4" s="3178"/>
      <c r="K4" s="2390"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4" t="s">
        <v>2335</v>
      </c>
      <c r="AC4" s="3174" t="s">
        <v>2336</v>
      </c>
    </row>
    <row r="5" spans="1:29" ht="15">
      <c r="A5" s="383"/>
      <c r="B5" s="384"/>
      <c r="C5" s="3162" t="s">
        <v>2339</v>
      </c>
      <c r="D5" s="3163"/>
      <c r="E5" s="3188" t="s">
        <v>2340</v>
      </c>
      <c r="F5" s="3189"/>
      <c r="G5" s="3162" t="s">
        <v>2341</v>
      </c>
      <c r="H5" s="3163"/>
      <c r="I5" s="3162" t="s">
        <v>2342</v>
      </c>
      <c r="J5" s="3163"/>
      <c r="K5" s="2391"/>
      <c r="L5" s="1239"/>
      <c r="M5" s="1240"/>
      <c r="N5" s="1240"/>
      <c r="O5" s="1240"/>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2391" t="s">
        <v>2344</v>
      </c>
      <c r="L6" s="1239"/>
      <c r="M6" s="1240"/>
      <c r="N6" s="1240"/>
      <c r="O6" s="1240"/>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44134</v>
      </c>
      <c r="D7" s="390">
        <v>100</v>
      </c>
      <c r="E7" s="391"/>
      <c r="F7" s="392">
        <f>SUMIF(58:58,YEAR(E7)&amp;"-"&amp;MONTH(E7),59:59)</f>
        <v>0</v>
      </c>
      <c r="G7" s="391"/>
      <c r="H7" s="390">
        <f>SUMIF(58:58,YEAR(G7)&amp;"-"&amp;MONTH(G7),59:59)</f>
        <v>0</v>
      </c>
      <c r="I7" s="391"/>
      <c r="J7" s="390">
        <f>SUMIF(58:58,YEAR(I7)&amp;"-"&amp;MONTH(I7),59:59)</f>
        <v>0</v>
      </c>
      <c r="K7" s="2392"/>
      <c r="L7" s="1241"/>
      <c r="M7" s="1242"/>
      <c r="N7" s="1242"/>
      <c r="O7" s="1242"/>
      <c r="P7" s="3164" t="s">
        <v>2346</v>
      </c>
      <c r="Q7" s="3172"/>
      <c r="R7" s="749" t="s">
        <v>34</v>
      </c>
      <c r="S7" s="750">
        <f t="shared" ref="S7:S15" si="0">F7</f>
        <v>0</v>
      </c>
      <c r="T7" s="749" t="s">
        <v>34</v>
      </c>
      <c r="U7" s="750">
        <f t="shared" ref="U7:U15" si="1">H7</f>
        <v>0</v>
      </c>
      <c r="V7" s="749" t="s">
        <v>34</v>
      </c>
      <c r="W7" s="750">
        <f t="shared" ref="W7:W15" si="2">J7</f>
        <v>0</v>
      </c>
      <c r="X7" s="751"/>
      <c r="Y7" s="3164" t="s">
        <v>2346</v>
      </c>
      <c r="Z7" s="3165"/>
      <c r="AA7" s="752" t="e">
        <f>D7/F7</f>
        <v>#DIV/0!</v>
      </c>
      <c r="AB7" s="752" t="e">
        <f>D7/H7</f>
        <v>#DIV/0!</v>
      </c>
      <c r="AC7" s="752" t="e">
        <f>D7/J7</f>
        <v>#DIV/0!</v>
      </c>
    </row>
    <row r="8" spans="1:29" s="35" customFormat="1" ht="15.75" thickBot="1">
      <c r="A8" s="387" t="s">
        <v>2347</v>
      </c>
      <c r="B8" s="388"/>
      <c r="C8" s="394" t="s">
        <v>2348</v>
      </c>
      <c r="D8" s="390">
        <v>100</v>
      </c>
      <c r="E8" s="2393"/>
      <c r="F8" s="392">
        <f>SUMIF(61:61,E8,62:62)-SUMIF(61:61,C8,62:62)+100</f>
        <v>0</v>
      </c>
      <c r="G8" s="394"/>
      <c r="H8" s="390">
        <f>SUMIF(61:61,G8,62:62)-SUMIF(61:61,C8,62:62)+100</f>
        <v>0</v>
      </c>
      <c r="I8" s="2393"/>
      <c r="J8" s="390">
        <f>SUMIF(61:61,I8,62:62)-SUMIF(61:61,C8,62:62)+100</f>
        <v>0</v>
      </c>
      <c r="K8" s="2392"/>
      <c r="L8" s="1241"/>
      <c r="M8" s="1242"/>
      <c r="N8" s="1242"/>
      <c r="O8" s="1242"/>
      <c r="P8" s="3164" t="s">
        <v>2349</v>
      </c>
      <c r="Q8" s="3165"/>
      <c r="R8" s="749" t="s">
        <v>34</v>
      </c>
      <c r="S8" s="750">
        <f t="shared" si="0"/>
        <v>0</v>
      </c>
      <c r="T8" s="749" t="s">
        <v>34</v>
      </c>
      <c r="U8" s="750">
        <f t="shared" si="1"/>
        <v>0</v>
      </c>
      <c r="V8" s="749" t="s">
        <v>34</v>
      </c>
      <c r="W8" s="750">
        <f t="shared" si="2"/>
        <v>0</v>
      </c>
      <c r="X8" s="751"/>
      <c r="Y8" s="3164" t="s">
        <v>2349</v>
      </c>
      <c r="Z8" s="3165"/>
      <c r="AA8" s="752" t="e">
        <f t="shared" ref="AA8:AA46" si="3">D8/F8</f>
        <v>#DIV/0!</v>
      </c>
      <c r="AB8" s="752" t="e">
        <f t="shared" ref="AB8:AB46" si="4">D8/H8</f>
        <v>#DIV/0!</v>
      </c>
      <c r="AC8" s="752" t="e">
        <f t="shared" ref="AC8:AC46" si="5">D8/J8</f>
        <v>#DIV/0!</v>
      </c>
    </row>
    <row r="9" spans="1:29" s="35" customFormat="1">
      <c r="A9" s="395" t="s">
        <v>2350</v>
      </c>
      <c r="B9" s="28" t="s">
        <v>2351</v>
      </c>
      <c r="C9" s="396"/>
      <c r="D9" s="51">
        <v>100</v>
      </c>
      <c r="E9" s="397"/>
      <c r="F9" s="398">
        <f>SUMIF(63:63,E9,64:64)-SUMIF(63:63,C9,64:64)+100</f>
        <v>100</v>
      </c>
      <c r="G9" s="399"/>
      <c r="H9" s="51">
        <f>SUMIF(63:63,G9,64:64)-SUMIF(63:63,C9,64:64)+100</f>
        <v>100</v>
      </c>
      <c r="I9" s="399"/>
      <c r="J9" s="51">
        <f>SUMIF(63:63,I9,64:64)-SUMIF(63:63,C9,64:64)+100</f>
        <v>100</v>
      </c>
      <c r="K9" s="2392"/>
      <c r="L9" s="1241"/>
      <c r="M9" s="1242"/>
      <c r="N9" s="1242"/>
      <c r="O9" s="1242"/>
      <c r="P9" s="3173"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173"/>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408"/>
      <c r="B11" s="402" t="s">
        <v>2355</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173"/>
      <c r="Q11" s="1882" t="str">
        <f t="shared" si="6"/>
        <v>容积率</v>
      </c>
      <c r="R11" s="749" t="s">
        <v>28</v>
      </c>
      <c r="S11" s="750" t="e">
        <f t="shared" si="0"/>
        <v>#N/A</v>
      </c>
      <c r="T11" s="749" t="s">
        <v>28</v>
      </c>
      <c r="U11" s="750" t="e">
        <f t="shared" si="1"/>
        <v>#N/A</v>
      </c>
      <c r="V11" s="749" t="s">
        <v>28</v>
      </c>
      <c r="W11" s="750" t="e">
        <f t="shared" si="2"/>
        <v>#N/A</v>
      </c>
      <c r="X11" s="751"/>
      <c r="Y11" s="2979"/>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173"/>
      <c r="Q12" s="1882">
        <f t="shared" si="6"/>
        <v>111</v>
      </c>
      <c r="R12" s="749" t="s">
        <v>28</v>
      </c>
      <c r="S12" s="750">
        <f t="shared" si="0"/>
        <v>100</v>
      </c>
      <c r="T12" s="749" t="s">
        <v>28</v>
      </c>
      <c r="U12" s="750">
        <f t="shared" si="1"/>
        <v>100</v>
      </c>
      <c r="V12" s="749" t="s">
        <v>28</v>
      </c>
      <c r="W12" s="750">
        <f t="shared" si="2"/>
        <v>100</v>
      </c>
      <c r="X12" s="751"/>
      <c r="Y12" s="2979"/>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173"/>
      <c r="Q13" s="1882">
        <f t="shared" si="6"/>
        <v>111</v>
      </c>
      <c r="R13" s="749" t="s">
        <v>28</v>
      </c>
      <c r="S13" s="750">
        <f t="shared" si="0"/>
        <v>100</v>
      </c>
      <c r="T13" s="749" t="s">
        <v>28</v>
      </c>
      <c r="U13" s="750">
        <f t="shared" si="1"/>
        <v>100</v>
      </c>
      <c r="V13" s="749" t="s">
        <v>28</v>
      </c>
      <c r="W13" s="750">
        <f t="shared" si="2"/>
        <v>100</v>
      </c>
      <c r="X13" s="751"/>
      <c r="Y13" s="2979"/>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173"/>
      <c r="Q14" s="1882">
        <f t="shared" si="6"/>
        <v>111</v>
      </c>
      <c r="R14" s="749" t="s">
        <v>28</v>
      </c>
      <c r="S14" s="750">
        <f t="shared" si="0"/>
        <v>100</v>
      </c>
      <c r="T14" s="749" t="s">
        <v>28</v>
      </c>
      <c r="U14" s="750">
        <f t="shared" si="1"/>
        <v>100</v>
      </c>
      <c r="V14" s="749" t="s">
        <v>28</v>
      </c>
      <c r="W14" s="750">
        <f t="shared" si="2"/>
        <v>100</v>
      </c>
      <c r="X14" s="751"/>
      <c r="Y14" s="2979"/>
      <c r="Z14" s="23">
        <f t="shared" si="7"/>
        <v>111</v>
      </c>
      <c r="AA14" s="752">
        <f t="shared" si="3"/>
        <v>1</v>
      </c>
      <c r="AB14" s="752">
        <f t="shared" si="4"/>
        <v>1</v>
      </c>
      <c r="AC14" s="752">
        <f t="shared" si="5"/>
        <v>1</v>
      </c>
    </row>
    <row r="15" spans="1:29" ht="99.75">
      <c r="A15" s="419" t="s">
        <v>2356</v>
      </c>
      <c r="B15" s="26" t="s">
        <v>1732</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151" t="s">
        <v>2357</v>
      </c>
      <c r="Q15" s="1894" t="str">
        <f t="shared" si="6"/>
        <v>居住社区成熟度</v>
      </c>
      <c r="R15" s="753" t="s">
        <v>28</v>
      </c>
      <c r="S15" s="754">
        <f t="shared" si="0"/>
        <v>100</v>
      </c>
      <c r="T15" s="753" t="s">
        <v>28</v>
      </c>
      <c r="U15" s="754">
        <f t="shared" si="1"/>
        <v>100</v>
      </c>
      <c r="V15" s="753" t="s">
        <v>28</v>
      </c>
      <c r="W15" s="754">
        <f t="shared" si="2"/>
        <v>100</v>
      </c>
      <c r="X15" s="1895"/>
      <c r="Y15" s="3153" t="s">
        <v>2357</v>
      </c>
      <c r="Z15" s="1897" t="str">
        <f t="shared" si="7"/>
        <v>居住社区成熟度</v>
      </c>
      <c r="AA15" s="1898">
        <f t="shared" si="3"/>
        <v>1</v>
      </c>
      <c r="AB15" s="1898">
        <f t="shared" si="4"/>
        <v>1</v>
      </c>
      <c r="AC15" s="1898">
        <f t="shared" si="5"/>
        <v>1</v>
      </c>
    </row>
    <row r="16" spans="1:29" ht="15">
      <c r="A16" s="408"/>
      <c r="B16" s="425"/>
      <c r="C16" s="426"/>
      <c r="D16" s="427"/>
      <c r="E16" s="428"/>
      <c r="F16" s="429"/>
      <c r="G16" s="2399"/>
      <c r="H16" s="430"/>
      <c r="I16" s="428"/>
      <c r="J16" s="427"/>
      <c r="K16" s="2400"/>
      <c r="L16" s="1249"/>
      <c r="M16" s="1240"/>
      <c r="N16" s="1240"/>
      <c r="O16" s="1240"/>
      <c r="P16" s="3152"/>
      <c r="Q16" s="1894"/>
      <c r="R16" s="753"/>
      <c r="S16" s="754"/>
      <c r="T16" s="753"/>
      <c r="U16" s="754"/>
      <c r="V16" s="753"/>
      <c r="W16" s="754"/>
      <c r="X16" s="1895"/>
      <c r="Y16" s="3154"/>
      <c r="Z16" s="1897"/>
      <c r="AA16" s="1898">
        <v>1</v>
      </c>
      <c r="AB16" s="1898">
        <v>1</v>
      </c>
      <c r="AC16" s="1898">
        <v>1</v>
      </c>
    </row>
    <row r="17" spans="1:29" ht="114">
      <c r="A17" s="408"/>
      <c r="B17" s="431" t="s">
        <v>1743</v>
      </c>
      <c r="C17" s="2401" t="str">
        <f>估价对象房地状况!C6</f>
        <v>估价对象周边公共交通包括：488路、499路、517路等公交线路，1公里以内有地铁6号线常营地铁站。综合评价交通便捷度好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152"/>
      <c r="Q17" s="1894" t="str">
        <f>B17</f>
        <v>交通便捷度</v>
      </c>
      <c r="R17" s="753" t="s">
        <v>28</v>
      </c>
      <c r="S17" s="754">
        <f>F17</f>
        <v>100</v>
      </c>
      <c r="T17" s="753" t="s">
        <v>28</v>
      </c>
      <c r="U17" s="754">
        <f>H17</f>
        <v>100</v>
      </c>
      <c r="V17" s="753" t="s">
        <v>28</v>
      </c>
      <c r="W17" s="754">
        <f>J17</f>
        <v>100</v>
      </c>
      <c r="X17" s="1895"/>
      <c r="Y17" s="3154"/>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2400"/>
      <c r="L18" s="1249"/>
      <c r="M18" s="1240"/>
      <c r="N18" s="1240"/>
      <c r="O18" s="1240"/>
      <c r="P18" s="3152"/>
      <c r="Q18" s="1894"/>
      <c r="R18" s="753"/>
      <c r="S18" s="754"/>
      <c r="T18" s="753"/>
      <c r="U18" s="754"/>
      <c r="V18" s="753"/>
      <c r="W18" s="754"/>
      <c r="X18" s="1895"/>
      <c r="Y18" s="3154"/>
      <c r="Z18" s="1897"/>
      <c r="AA18" s="1898">
        <v>1</v>
      </c>
      <c r="AB18" s="1898">
        <v>1</v>
      </c>
      <c r="AC18" s="1898">
        <v>1</v>
      </c>
    </row>
    <row r="19" spans="1:29" ht="42.75">
      <c r="A19" s="408"/>
      <c r="B19" s="431" t="s">
        <v>1741</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152"/>
      <c r="Q19" s="1894" t="str">
        <f>B19</f>
        <v>公共配套设施</v>
      </c>
      <c r="R19" s="753" t="s">
        <v>28</v>
      </c>
      <c r="S19" s="754">
        <f>F19</f>
        <v>100</v>
      </c>
      <c r="T19" s="753" t="s">
        <v>28</v>
      </c>
      <c r="U19" s="754">
        <f>H19</f>
        <v>100</v>
      </c>
      <c r="V19" s="753" t="s">
        <v>28</v>
      </c>
      <c r="W19" s="754">
        <f>J19</f>
        <v>100</v>
      </c>
      <c r="X19" s="1895"/>
      <c r="Y19" s="3154"/>
      <c r="Z19" s="1897" t="str">
        <f>Q19</f>
        <v>公共配套设施</v>
      </c>
      <c r="AA19" s="1898">
        <f t="shared" si="3"/>
        <v>1</v>
      </c>
      <c r="AB19" s="1898">
        <f t="shared" si="4"/>
        <v>1</v>
      </c>
      <c r="AC19" s="1898">
        <f t="shared" si="5"/>
        <v>1</v>
      </c>
    </row>
    <row r="20" spans="1:29" ht="15">
      <c r="A20" s="408"/>
      <c r="B20" s="436"/>
      <c r="C20" s="426"/>
      <c r="D20" s="427"/>
      <c r="E20" s="428"/>
      <c r="F20" s="429"/>
      <c r="G20" s="2399"/>
      <c r="H20" s="427"/>
      <c r="I20" s="428"/>
      <c r="J20" s="427"/>
      <c r="K20" s="2400"/>
      <c r="L20" s="1249"/>
      <c r="M20" s="1240"/>
      <c r="N20" s="1240"/>
      <c r="O20" s="1240"/>
      <c r="P20" s="3152"/>
      <c r="Q20" s="1894"/>
      <c r="R20" s="753"/>
      <c r="S20" s="754"/>
      <c r="T20" s="753"/>
      <c r="U20" s="754"/>
      <c r="V20" s="753"/>
      <c r="W20" s="754"/>
      <c r="X20" s="1895"/>
      <c r="Y20" s="3154"/>
      <c r="Z20" s="1897"/>
      <c r="AA20" s="1898">
        <v>1</v>
      </c>
      <c r="AB20" s="1898">
        <v>1</v>
      </c>
      <c r="AC20" s="1898">
        <v>1</v>
      </c>
    </row>
    <row r="21" spans="1:29" ht="15">
      <c r="A21" s="408"/>
      <c r="B21" s="2403" t="s">
        <v>1744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152"/>
      <c r="Q21" s="1894" t="str">
        <f>B21</f>
        <v>基础设施水平</v>
      </c>
      <c r="R21" s="753" t="s">
        <v>28</v>
      </c>
      <c r="S21" s="754">
        <f>F21</f>
        <v>100</v>
      </c>
      <c r="T21" s="753" t="s">
        <v>28</v>
      </c>
      <c r="U21" s="754">
        <f>H21</f>
        <v>100</v>
      </c>
      <c r="V21" s="753" t="s">
        <v>28</v>
      </c>
      <c r="W21" s="754">
        <f>J21</f>
        <v>100</v>
      </c>
      <c r="X21" s="1895"/>
      <c r="Y21" s="3154"/>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2404"/>
      <c r="L22" s="1249"/>
      <c r="M22" s="1240"/>
      <c r="N22" s="1240"/>
      <c r="O22" s="1240"/>
      <c r="P22" s="3152"/>
      <c r="Q22" s="1894"/>
      <c r="R22" s="753"/>
      <c r="S22" s="754"/>
      <c r="T22" s="753"/>
      <c r="U22" s="754"/>
      <c r="V22" s="753"/>
      <c r="W22" s="754"/>
      <c r="X22" s="1895"/>
      <c r="Y22" s="3154"/>
      <c r="Z22" s="1897"/>
      <c r="AA22" s="1898">
        <v>1</v>
      </c>
      <c r="AB22" s="1898">
        <v>1</v>
      </c>
      <c r="AC22" s="1898">
        <v>1</v>
      </c>
    </row>
    <row r="23" spans="1:29" ht="114">
      <c r="A23" s="408"/>
      <c r="B23" s="431" t="s">
        <v>1748</v>
      </c>
      <c r="C23" s="2401" t="str">
        <f>估价对象房地状况!C9</f>
        <v>区域自然环境：常营公园、五里桥公园；人文环境：北京科技大学（管庄校区）、北京政法职业学院；综合评价环境状况好</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152"/>
      <c r="Q23" s="1894" t="str">
        <f>B23</f>
        <v>自然及人文环境</v>
      </c>
      <c r="R23" s="753" t="s">
        <v>28</v>
      </c>
      <c r="S23" s="754">
        <f>F23</f>
        <v>100</v>
      </c>
      <c r="T23" s="753" t="s">
        <v>28</v>
      </c>
      <c r="U23" s="754">
        <f>H23</f>
        <v>100</v>
      </c>
      <c r="V23" s="753" t="s">
        <v>28</v>
      </c>
      <c r="W23" s="754">
        <f>J23</f>
        <v>100</v>
      </c>
      <c r="X23" s="1895"/>
      <c r="Y23" s="3154"/>
      <c r="Z23" s="1897" t="str">
        <f>Q23</f>
        <v>自然及人文环境</v>
      </c>
      <c r="AA23" s="1898">
        <f t="shared" si="3"/>
        <v>1</v>
      </c>
      <c r="AB23" s="1898">
        <f t="shared" si="4"/>
        <v>1</v>
      </c>
      <c r="AC23" s="1898">
        <f t="shared" si="5"/>
        <v>1</v>
      </c>
    </row>
    <row r="24" spans="1:29" ht="15">
      <c r="A24" s="408"/>
      <c r="B24" s="436"/>
      <c r="C24" s="426"/>
      <c r="D24" s="427"/>
      <c r="E24" s="428"/>
      <c r="F24" s="429"/>
      <c r="G24" s="2399"/>
      <c r="H24" s="427"/>
      <c r="I24" s="428"/>
      <c r="J24" s="427"/>
      <c r="K24" s="2400"/>
      <c r="L24" s="1249"/>
      <c r="M24" s="1240"/>
      <c r="N24" s="1240"/>
      <c r="O24" s="1240"/>
      <c r="P24" s="3152"/>
      <c r="Q24" s="1894"/>
      <c r="R24" s="753"/>
      <c r="S24" s="754"/>
      <c r="T24" s="753"/>
      <c r="U24" s="754"/>
      <c r="V24" s="753"/>
      <c r="W24" s="754"/>
      <c r="X24" s="1895"/>
      <c r="Y24" s="3154"/>
      <c r="Z24" s="1897"/>
      <c r="AA24" s="1898">
        <v>1</v>
      </c>
      <c r="AB24" s="1898">
        <v>1</v>
      </c>
      <c r="AC24" s="1898">
        <v>1</v>
      </c>
    </row>
    <row r="25" spans="1:29" ht="15">
      <c r="A25" s="408"/>
      <c r="B25" s="402" t="s">
        <v>2358</v>
      </c>
      <c r="C25" s="441"/>
      <c r="D25" s="415">
        <v>100</v>
      </c>
      <c r="E25" s="2405"/>
      <c r="F25" s="442">
        <f>SUMIF(86:86,E25,87:87)-SUMIF(86:86,C25,87:87)+100</f>
        <v>100</v>
      </c>
      <c r="G25" s="2406"/>
      <c r="H25" s="415">
        <f>SUMIF(86:86,G25,87:87)-SUMIF(86:86,C25,87:87)+100</f>
        <v>100</v>
      </c>
      <c r="I25" s="2405"/>
      <c r="J25" s="415">
        <f>SUMIF(86:86,I25,87:87)-SUMIF(86:86,C25,87:87)+100</f>
        <v>100</v>
      </c>
      <c r="K25" s="406"/>
      <c r="L25" s="1249"/>
      <c r="M25" s="1240"/>
      <c r="N25" s="1240"/>
      <c r="O25" s="1240"/>
      <c r="P25" s="3152"/>
      <c r="Q25" s="1894" t="str">
        <f t="shared" ref="Q25:Q46" si="11">B25</f>
        <v>楼层-1</v>
      </c>
      <c r="R25" s="753" t="s">
        <v>28</v>
      </c>
      <c r="S25" s="754">
        <f>F25</f>
        <v>100</v>
      </c>
      <c r="T25" s="753" t="s">
        <v>28</v>
      </c>
      <c r="U25" s="754">
        <f>H25</f>
        <v>100</v>
      </c>
      <c r="V25" s="753" t="s">
        <v>28</v>
      </c>
      <c r="W25" s="754">
        <f>J25</f>
        <v>100</v>
      </c>
      <c r="X25" s="1895"/>
      <c r="Y25" s="3154"/>
      <c r="Z25" s="1897" t="str">
        <f>Q25</f>
        <v>楼层-1</v>
      </c>
      <c r="AA25" s="1898">
        <f t="shared" si="3"/>
        <v>1</v>
      </c>
      <c r="AB25" s="1898">
        <f t="shared" si="4"/>
        <v>1</v>
      </c>
      <c r="AC25" s="1898">
        <f t="shared" si="5"/>
        <v>1</v>
      </c>
    </row>
    <row r="26" spans="1:29" ht="15">
      <c r="A26" s="408"/>
      <c r="B26" s="402" t="s">
        <v>2359</v>
      </c>
      <c r="C26" s="441"/>
      <c r="D26" s="415">
        <v>100</v>
      </c>
      <c r="E26" s="2405"/>
      <c r="F26" s="442">
        <f>SUMIF(88:88,E26,89:89)-SUMIF(88:88,C26,89:89)+100</f>
        <v>100</v>
      </c>
      <c r="G26" s="2406"/>
      <c r="H26" s="415">
        <f>SUMIF(88:88,G26,89:89)-SUMIF(88:88,C26,89:89)+100</f>
        <v>100</v>
      </c>
      <c r="I26" s="2405"/>
      <c r="J26" s="415">
        <f>SUMIF(88:88,I26,89:89)-SUMIF(88:88,C26,89:89)+100</f>
        <v>100</v>
      </c>
      <c r="K26" s="406"/>
      <c r="L26" s="1249"/>
      <c r="M26" s="1240"/>
      <c r="N26" s="1240"/>
      <c r="O26" s="1240"/>
      <c r="P26" s="3152"/>
      <c r="Q26" s="1894" t="str">
        <f t="shared" si="11"/>
        <v>朝向</v>
      </c>
      <c r="R26" s="753" t="s">
        <v>28</v>
      </c>
      <c r="S26" s="754">
        <f>F26</f>
        <v>100</v>
      </c>
      <c r="T26" s="753" t="s">
        <v>28</v>
      </c>
      <c r="U26" s="754">
        <f>H26</f>
        <v>100</v>
      </c>
      <c r="V26" s="753" t="s">
        <v>28</v>
      </c>
      <c r="W26" s="754">
        <f>J26</f>
        <v>100</v>
      </c>
      <c r="X26" s="1895"/>
      <c r="Y26" s="3154"/>
      <c r="Z26" s="1897" t="str">
        <f>Q26</f>
        <v>朝向</v>
      </c>
      <c r="AA26" s="1898">
        <f t="shared" si="3"/>
        <v>1</v>
      </c>
      <c r="AB26" s="1898">
        <f t="shared" si="4"/>
        <v>1</v>
      </c>
      <c r="AC26" s="1898">
        <f t="shared" si="5"/>
        <v>1</v>
      </c>
    </row>
    <row r="27" spans="1:29" s="35" customFormat="1" ht="15">
      <c r="A27" s="411"/>
      <c r="B27" s="2394" t="s">
        <v>2360</v>
      </c>
      <c r="C27" s="412"/>
      <c r="D27" s="443">
        <v>100</v>
      </c>
      <c r="E27" s="444"/>
      <c r="F27" s="445">
        <f>SUMIF(90:90,E27,91:91)-SUMIF(90:90,C27,91:91)+100</f>
        <v>100</v>
      </c>
      <c r="G27" s="446"/>
      <c r="H27" s="443">
        <f>SUMIF(90:90,G27,91:91)-SUMIF(90:90,C27,91:91)+100</f>
        <v>100</v>
      </c>
      <c r="I27" s="444"/>
      <c r="J27" s="443">
        <f>SUMIF(90:90,I27,91:91)-SUMIF(90:90,C27,91:91)+100</f>
        <v>100</v>
      </c>
      <c r="K27" s="2395"/>
      <c r="L27" s="1241"/>
      <c r="M27" s="1242"/>
      <c r="N27" s="1242"/>
      <c r="O27" s="1242"/>
      <c r="P27" s="3152"/>
      <c r="Q27" s="1882" t="str">
        <f t="shared" si="11"/>
        <v>道路级别</v>
      </c>
      <c r="R27" s="749" t="s">
        <v>28</v>
      </c>
      <c r="S27" s="750">
        <f>F27</f>
        <v>100</v>
      </c>
      <c r="T27" s="749" t="s">
        <v>28</v>
      </c>
      <c r="U27" s="750">
        <f>H27</f>
        <v>100</v>
      </c>
      <c r="V27" s="749" t="s">
        <v>28</v>
      </c>
      <c r="W27" s="750">
        <f>J27</f>
        <v>100</v>
      </c>
      <c r="X27" s="751"/>
      <c r="Y27" s="3154"/>
      <c r="Z27" s="23" t="str">
        <f>Q27</f>
        <v>道路级别</v>
      </c>
      <c r="AA27" s="1898">
        <f>D27/F27</f>
        <v>1</v>
      </c>
      <c r="AB27" s="1898">
        <f>D27/H27</f>
        <v>1</v>
      </c>
      <c r="AC27" s="1898">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152"/>
      <c r="Q28" s="1894">
        <f t="shared" si="11"/>
        <v>111</v>
      </c>
      <c r="R28" s="753" t="s">
        <v>28</v>
      </c>
      <c r="S28" s="754">
        <f t="shared" ref="S28:S46" si="12">F28</f>
        <v>100</v>
      </c>
      <c r="T28" s="753" t="s">
        <v>28</v>
      </c>
      <c r="U28" s="754">
        <f t="shared" ref="U28:U46" si="13">H28</f>
        <v>100</v>
      </c>
      <c r="V28" s="753" t="s">
        <v>28</v>
      </c>
      <c r="W28" s="754">
        <f t="shared" ref="W28:W46" si="14">J28</f>
        <v>100</v>
      </c>
      <c r="X28" s="1895"/>
      <c r="Y28" s="3154"/>
      <c r="Z28" s="1897">
        <f t="shared" ref="Z28:Z46" si="15">Q28</f>
        <v>111</v>
      </c>
      <c r="AA28" s="1898">
        <f t="shared" si="3"/>
        <v>1</v>
      </c>
      <c r="AB28" s="1898">
        <f t="shared" si="4"/>
        <v>1</v>
      </c>
      <c r="AC28" s="1898">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152"/>
      <c r="Q29" s="1894">
        <f t="shared" si="11"/>
        <v>111</v>
      </c>
      <c r="R29" s="753" t="s">
        <v>28</v>
      </c>
      <c r="S29" s="754">
        <f t="shared" si="12"/>
        <v>100</v>
      </c>
      <c r="T29" s="753" t="s">
        <v>28</v>
      </c>
      <c r="U29" s="754">
        <f t="shared" si="13"/>
        <v>100</v>
      </c>
      <c r="V29" s="753" t="s">
        <v>28</v>
      </c>
      <c r="W29" s="754">
        <f t="shared" si="14"/>
        <v>100</v>
      </c>
      <c r="X29" s="1895"/>
      <c r="Y29" s="3154"/>
      <c r="Z29" s="1897">
        <f t="shared" si="15"/>
        <v>111</v>
      </c>
      <c r="AA29" s="1898">
        <f t="shared" si="3"/>
        <v>1</v>
      </c>
      <c r="AB29" s="1898">
        <f t="shared" si="4"/>
        <v>1</v>
      </c>
      <c r="AC29" s="1898">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152"/>
      <c r="Q30" s="1894">
        <f t="shared" si="11"/>
        <v>111</v>
      </c>
      <c r="R30" s="753" t="s">
        <v>28</v>
      </c>
      <c r="S30" s="754">
        <f t="shared" si="12"/>
        <v>100</v>
      </c>
      <c r="T30" s="753" t="s">
        <v>28</v>
      </c>
      <c r="U30" s="754">
        <f t="shared" si="13"/>
        <v>100</v>
      </c>
      <c r="V30" s="753" t="s">
        <v>28</v>
      </c>
      <c r="W30" s="754">
        <f t="shared" si="14"/>
        <v>100</v>
      </c>
      <c r="X30" s="1895"/>
      <c r="Y30" s="3154"/>
      <c r="Z30" s="1897">
        <f t="shared" si="15"/>
        <v>111</v>
      </c>
      <c r="AA30" s="1898">
        <f t="shared" si="3"/>
        <v>1</v>
      </c>
      <c r="AB30" s="1898">
        <f t="shared" si="4"/>
        <v>1</v>
      </c>
      <c r="AC30" s="1898">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152"/>
      <c r="Q31" s="1894">
        <f t="shared" si="11"/>
        <v>111</v>
      </c>
      <c r="R31" s="753" t="s">
        <v>28</v>
      </c>
      <c r="S31" s="754">
        <f t="shared" si="12"/>
        <v>100</v>
      </c>
      <c r="T31" s="753" t="s">
        <v>28</v>
      </c>
      <c r="U31" s="754">
        <f t="shared" si="13"/>
        <v>100</v>
      </c>
      <c r="V31" s="753" t="s">
        <v>28</v>
      </c>
      <c r="W31" s="754">
        <f t="shared" si="14"/>
        <v>100</v>
      </c>
      <c r="X31" s="1895"/>
      <c r="Y31" s="3154"/>
      <c r="Z31" s="1897">
        <f t="shared" si="15"/>
        <v>111</v>
      </c>
      <c r="AA31" s="1898">
        <f t="shared" si="3"/>
        <v>1</v>
      </c>
      <c r="AB31" s="1898">
        <f t="shared" si="4"/>
        <v>1</v>
      </c>
      <c r="AC31" s="1898">
        <f t="shared" si="5"/>
        <v>1</v>
      </c>
    </row>
    <row r="32" spans="1:29" ht="15">
      <c r="A32" s="419" t="s">
        <v>2361</v>
      </c>
      <c r="B32" s="28" t="s">
        <v>2362</v>
      </c>
      <c r="C32" s="2408"/>
      <c r="D32" s="448">
        <v>100</v>
      </c>
      <c r="E32" s="2409"/>
      <c r="F32" s="442">
        <f>SUMIF(100:100,E32,101:101)-SUMIF(100:100,C32,101:101)+100</f>
        <v>100</v>
      </c>
      <c r="G32" s="2408"/>
      <c r="H32" s="448">
        <f>SUMIF(100:100,G32,101:101)-SUMIF(100:100,C32,101:101)+100</f>
        <v>100</v>
      </c>
      <c r="I32" s="2409"/>
      <c r="J32" s="415">
        <f>SUMIF(100:100,I32,101:101)-SUMIF(100:100,C32,101:101)+100</f>
        <v>100</v>
      </c>
      <c r="K32" s="406"/>
      <c r="L32" s="1249"/>
      <c r="M32" s="1240"/>
      <c r="N32" s="1240"/>
      <c r="O32" s="1240"/>
      <c r="P32" s="3155" t="s">
        <v>2363</v>
      </c>
      <c r="Q32" s="1894" t="str">
        <f t="shared" si="11"/>
        <v>建筑类型</v>
      </c>
      <c r="R32" s="753" t="s">
        <v>28</v>
      </c>
      <c r="S32" s="754">
        <f t="shared" si="12"/>
        <v>100</v>
      </c>
      <c r="T32" s="753" t="s">
        <v>28</v>
      </c>
      <c r="U32" s="754">
        <f t="shared" si="13"/>
        <v>100</v>
      </c>
      <c r="V32" s="753" t="s">
        <v>28</v>
      </c>
      <c r="W32" s="754">
        <f t="shared" si="14"/>
        <v>100</v>
      </c>
      <c r="X32" s="1895"/>
      <c r="Y32" s="3158" t="s">
        <v>2363</v>
      </c>
      <c r="Z32" s="1897" t="str">
        <f t="shared" si="15"/>
        <v>建筑类型</v>
      </c>
      <c r="AA32" s="1898">
        <f t="shared" si="3"/>
        <v>1</v>
      </c>
      <c r="AB32" s="1898">
        <f t="shared" si="4"/>
        <v>1</v>
      </c>
      <c r="AC32" s="1898">
        <f t="shared" si="5"/>
        <v>1</v>
      </c>
    </row>
    <row r="33" spans="1:29" s="452" customFormat="1" ht="15">
      <c r="A33" s="449"/>
      <c r="B33" s="402" t="s">
        <v>2364</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5"/>
      <c r="L33" s="1247"/>
      <c r="M33" s="1250"/>
      <c r="N33" s="1250"/>
      <c r="O33" s="1250"/>
      <c r="P33" s="3156"/>
      <c r="Q33" s="755" t="str">
        <f t="shared" si="11"/>
        <v>项目建筑规模</v>
      </c>
      <c r="R33" s="756" t="s">
        <v>28</v>
      </c>
      <c r="S33" s="757" t="e">
        <f t="shared" si="12"/>
        <v>#N/A</v>
      </c>
      <c r="T33" s="756" t="s">
        <v>28</v>
      </c>
      <c r="U33" s="757" t="e">
        <f t="shared" si="13"/>
        <v>#N/A</v>
      </c>
      <c r="V33" s="756" t="s">
        <v>28</v>
      </c>
      <c r="W33" s="757" t="e">
        <f t="shared" si="14"/>
        <v>#N/A</v>
      </c>
      <c r="X33" s="758"/>
      <c r="Y33" s="3158"/>
      <c r="Z33" s="759" t="str">
        <f t="shared" si="15"/>
        <v>项目建筑规模</v>
      </c>
      <c r="AA33" s="1898" t="e">
        <f t="shared" si="3"/>
        <v>#N/A</v>
      </c>
      <c r="AB33" s="1898" t="e">
        <f t="shared" si="4"/>
        <v>#N/A</v>
      </c>
      <c r="AC33" s="1898" t="e">
        <f t="shared" si="5"/>
        <v>#N/A</v>
      </c>
    </row>
    <row r="34" spans="1:29" ht="15">
      <c r="A34" s="453"/>
      <c r="B34" s="402" t="s">
        <v>2365</v>
      </c>
      <c r="C34" s="2410"/>
      <c r="D34" s="415">
        <v>100</v>
      </c>
      <c r="E34" s="2411"/>
      <c r="F34" s="442">
        <f>SUMIF(105:105,E34,106:106)-SUMIF(105:105,C34,106:106)+100</f>
        <v>100</v>
      </c>
      <c r="G34" s="2410"/>
      <c r="H34" s="415">
        <f>SUMIF(105:105,G34,106:106)-SUMIF(105:105,C34,106:106)+100</f>
        <v>100</v>
      </c>
      <c r="I34" s="2411"/>
      <c r="J34" s="415">
        <f>SUMIF(105:105,I34,106:106)-SUMIF(105:105,C34,106:106)+100</f>
        <v>100</v>
      </c>
      <c r="K34" s="406"/>
      <c r="L34" s="1249"/>
      <c r="M34" s="1240"/>
      <c r="N34" s="1240"/>
      <c r="O34" s="1240"/>
      <c r="P34" s="3156"/>
      <c r="Q34" s="1894" t="str">
        <f t="shared" si="11"/>
        <v>建筑结构</v>
      </c>
      <c r="R34" s="753" t="s">
        <v>28</v>
      </c>
      <c r="S34" s="754">
        <f t="shared" si="12"/>
        <v>100</v>
      </c>
      <c r="T34" s="753" t="s">
        <v>28</v>
      </c>
      <c r="U34" s="754">
        <f t="shared" si="13"/>
        <v>100</v>
      </c>
      <c r="V34" s="753" t="s">
        <v>28</v>
      </c>
      <c r="W34" s="754">
        <f t="shared" si="14"/>
        <v>100</v>
      </c>
      <c r="X34" s="1895"/>
      <c r="Y34" s="3158"/>
      <c r="Z34" s="1897" t="str">
        <f t="shared" si="15"/>
        <v>建筑结构</v>
      </c>
      <c r="AA34" s="1898">
        <f t="shared" si="3"/>
        <v>1</v>
      </c>
      <c r="AB34" s="1898">
        <f t="shared" si="4"/>
        <v>1</v>
      </c>
      <c r="AC34" s="1898">
        <f t="shared" si="5"/>
        <v>1</v>
      </c>
    </row>
    <row r="35" spans="1:29" ht="15">
      <c r="A35" s="453"/>
      <c r="B35" s="402" t="s">
        <v>2366</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c r="L35" s="1249"/>
      <c r="M35" s="1240"/>
      <c r="N35" s="1240"/>
      <c r="O35" s="1240"/>
      <c r="P35" s="3156"/>
      <c r="Q35" s="1894" t="str">
        <f t="shared" si="11"/>
        <v>建筑品质</v>
      </c>
      <c r="R35" s="753" t="s">
        <v>28</v>
      </c>
      <c r="S35" s="754">
        <f t="shared" si="12"/>
        <v>100</v>
      </c>
      <c r="T35" s="753" t="s">
        <v>28</v>
      </c>
      <c r="U35" s="754">
        <f t="shared" si="13"/>
        <v>100</v>
      </c>
      <c r="V35" s="753" t="s">
        <v>28</v>
      </c>
      <c r="W35" s="754">
        <f t="shared" si="14"/>
        <v>100</v>
      </c>
      <c r="X35" s="1895"/>
      <c r="Y35" s="3158"/>
      <c r="Z35" s="1897" t="str">
        <f t="shared" si="15"/>
        <v>建筑品质</v>
      </c>
      <c r="AA35" s="1898">
        <f t="shared" si="3"/>
        <v>1</v>
      </c>
      <c r="AB35" s="1898">
        <f t="shared" si="4"/>
        <v>1</v>
      </c>
      <c r="AC35" s="1898">
        <f t="shared" si="5"/>
        <v>1</v>
      </c>
    </row>
    <row r="36" spans="1:29" ht="15">
      <c r="A36" s="453"/>
      <c r="B36" s="402" t="s">
        <v>2367</v>
      </c>
      <c r="C36" s="2406"/>
      <c r="D36" s="415">
        <v>100</v>
      </c>
      <c r="E36" s="2405"/>
      <c r="F36" s="442">
        <f>SUMIF(109:109,E36,110:110)-SUMIF(109:109,C36,110:110)+100</f>
        <v>100</v>
      </c>
      <c r="G36" s="2406"/>
      <c r="H36" s="415">
        <f>SUMIF(109:109,G36,110:110)-SUMIF(109:109,C36,110:110)+100</f>
        <v>100</v>
      </c>
      <c r="I36" s="2405"/>
      <c r="J36" s="415">
        <f>SUMIF(109:109,I36,110:110)-SUMIF(109:109,C36,110:110)+100</f>
        <v>100</v>
      </c>
      <c r="K36" s="406"/>
      <c r="L36" s="1249"/>
      <c r="M36" s="1240"/>
      <c r="N36" s="1240"/>
      <c r="O36" s="1240"/>
      <c r="P36" s="3156"/>
      <c r="Q36" s="1894" t="str">
        <f t="shared" si="11"/>
        <v>公共部分装修</v>
      </c>
      <c r="R36" s="753" t="s">
        <v>28</v>
      </c>
      <c r="S36" s="754">
        <f t="shared" si="12"/>
        <v>100</v>
      </c>
      <c r="T36" s="753" t="s">
        <v>28</v>
      </c>
      <c r="U36" s="754">
        <f t="shared" si="13"/>
        <v>100</v>
      </c>
      <c r="V36" s="753" t="s">
        <v>28</v>
      </c>
      <c r="W36" s="754">
        <f t="shared" si="14"/>
        <v>100</v>
      </c>
      <c r="X36" s="1895"/>
      <c r="Y36" s="3158"/>
      <c r="Z36" s="1897" t="str">
        <f t="shared" si="15"/>
        <v>公共部分装修</v>
      </c>
      <c r="AA36" s="1898">
        <f t="shared" si="3"/>
        <v>1</v>
      </c>
      <c r="AB36" s="1898">
        <f t="shared" si="4"/>
        <v>1</v>
      </c>
      <c r="AC36" s="1898">
        <f t="shared" si="5"/>
        <v>1</v>
      </c>
    </row>
    <row r="37" spans="1:29" s="35" customFormat="1" ht="15">
      <c r="A37" s="454"/>
      <c r="B37" s="402" t="s">
        <v>2368</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156"/>
      <c r="Q37" s="1882" t="str">
        <f t="shared" si="11"/>
        <v>成新度</v>
      </c>
      <c r="R37" s="749" t="s">
        <v>28</v>
      </c>
      <c r="S37" s="750" t="e">
        <f t="shared" si="12"/>
        <v>#N/A</v>
      </c>
      <c r="T37" s="749" t="s">
        <v>28</v>
      </c>
      <c r="U37" s="750" t="e">
        <f t="shared" si="13"/>
        <v>#N/A</v>
      </c>
      <c r="V37" s="749" t="s">
        <v>28</v>
      </c>
      <c r="W37" s="750" t="e">
        <f t="shared" si="14"/>
        <v>#N/A</v>
      </c>
      <c r="X37" s="751"/>
      <c r="Y37" s="3158"/>
      <c r="Z37" s="23" t="str">
        <f t="shared" si="15"/>
        <v>成新度</v>
      </c>
      <c r="AA37" s="752" t="e">
        <f t="shared" si="3"/>
        <v>#N/A</v>
      </c>
      <c r="AB37" s="752" t="e">
        <f t="shared" si="4"/>
        <v>#N/A</v>
      </c>
      <c r="AC37" s="752" t="e">
        <f t="shared" si="5"/>
        <v>#N/A</v>
      </c>
    </row>
    <row r="38" spans="1:29" ht="15">
      <c r="A38" s="453"/>
      <c r="B38" s="402" t="s">
        <v>2369</v>
      </c>
      <c r="C38" s="2406"/>
      <c r="D38" s="415">
        <v>100</v>
      </c>
      <c r="E38" s="2405"/>
      <c r="F38" s="442">
        <f>SUMIF(114:114,E38,115:115)-SUMIF(114:114,C38,115:115)+100</f>
        <v>100</v>
      </c>
      <c r="G38" s="2406"/>
      <c r="H38" s="415">
        <f>SUMIF(114:114,G38,115:115)-SUMIF(114:114,C38,115:115)+100</f>
        <v>100</v>
      </c>
      <c r="I38" s="2405"/>
      <c r="J38" s="415">
        <f>SUMIF(114:114,I38,115:115)-SUMIF(114:114,C38,115:115)+100</f>
        <v>100</v>
      </c>
      <c r="K38" s="406"/>
      <c r="L38" s="1249"/>
      <c r="M38" s="1240"/>
      <c r="N38" s="1240"/>
      <c r="O38" s="1240"/>
      <c r="P38" s="3156" t="s">
        <v>2363</v>
      </c>
      <c r="Q38" s="1894" t="str">
        <f t="shared" si="11"/>
        <v>物业管理</v>
      </c>
      <c r="R38" s="753" t="s">
        <v>28</v>
      </c>
      <c r="S38" s="754">
        <f t="shared" si="12"/>
        <v>100</v>
      </c>
      <c r="T38" s="753" t="s">
        <v>28</v>
      </c>
      <c r="U38" s="754">
        <f t="shared" si="13"/>
        <v>100</v>
      </c>
      <c r="V38" s="753" t="s">
        <v>28</v>
      </c>
      <c r="W38" s="754">
        <f t="shared" si="14"/>
        <v>100</v>
      </c>
      <c r="X38" s="1895"/>
      <c r="Y38" s="3158" t="s">
        <v>2363</v>
      </c>
      <c r="Z38" s="1897" t="str">
        <f t="shared" si="15"/>
        <v>物业管理</v>
      </c>
      <c r="AA38" s="1898">
        <f t="shared" si="3"/>
        <v>1</v>
      </c>
      <c r="AB38" s="1898">
        <f t="shared" si="4"/>
        <v>1</v>
      </c>
      <c r="AC38" s="1898">
        <f t="shared" si="5"/>
        <v>1</v>
      </c>
    </row>
    <row r="39" spans="1:29" ht="15">
      <c r="A39" s="453"/>
      <c r="B39" s="402" t="s">
        <v>2370</v>
      </c>
      <c r="C39" s="2406"/>
      <c r="D39" s="415">
        <v>100</v>
      </c>
      <c r="E39" s="2405"/>
      <c r="F39" s="442">
        <f>SUMIF(116:116,E39,117:117)-SUMIF(116:116,C39,117:117)+100</f>
        <v>100</v>
      </c>
      <c r="G39" s="2406"/>
      <c r="H39" s="415">
        <f>SUMIF(116:116,G39,117:117)-SUMIF(116:116,C39,117:117)+100</f>
        <v>100</v>
      </c>
      <c r="I39" s="2405"/>
      <c r="J39" s="415">
        <f>SUMIF(116:116,I39,117:117)-SUMIF(116:116,C39,117:117)+100</f>
        <v>100</v>
      </c>
      <c r="K39" s="406"/>
      <c r="L39" s="1249"/>
      <c r="M39" s="1240"/>
      <c r="N39" s="1240"/>
      <c r="O39" s="1240"/>
      <c r="P39" s="3156"/>
      <c r="Q39" s="1894" t="str">
        <f t="shared" si="11"/>
        <v>市政基础设施</v>
      </c>
      <c r="R39" s="753" t="s">
        <v>28</v>
      </c>
      <c r="S39" s="754">
        <f t="shared" si="12"/>
        <v>100</v>
      </c>
      <c r="T39" s="753" t="s">
        <v>28</v>
      </c>
      <c r="U39" s="754">
        <f t="shared" si="13"/>
        <v>100</v>
      </c>
      <c r="V39" s="753" t="s">
        <v>28</v>
      </c>
      <c r="W39" s="754">
        <f t="shared" si="14"/>
        <v>100</v>
      </c>
      <c r="X39" s="1895"/>
      <c r="Y39" s="3158"/>
      <c r="Z39" s="1897" t="str">
        <f t="shared" si="15"/>
        <v>市政基础设施</v>
      </c>
      <c r="AA39" s="1898">
        <f t="shared" si="3"/>
        <v>1</v>
      </c>
      <c r="AB39" s="1898">
        <f t="shared" si="4"/>
        <v>1</v>
      </c>
      <c r="AC39" s="1898">
        <f t="shared" si="5"/>
        <v>1</v>
      </c>
    </row>
    <row r="40" spans="1:29" ht="15">
      <c r="A40" s="453"/>
      <c r="B40" s="402" t="s">
        <v>2371</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c r="L40" s="1249"/>
      <c r="M40" s="1240"/>
      <c r="N40" s="1240"/>
      <c r="O40" s="1240"/>
      <c r="P40" s="3156"/>
      <c r="Q40" s="1894" t="str">
        <f t="shared" si="11"/>
        <v>房型</v>
      </c>
      <c r="R40" s="753" t="s">
        <v>28</v>
      </c>
      <c r="S40" s="754">
        <f t="shared" si="12"/>
        <v>100</v>
      </c>
      <c r="T40" s="753" t="s">
        <v>28</v>
      </c>
      <c r="U40" s="754">
        <f t="shared" si="13"/>
        <v>100</v>
      </c>
      <c r="V40" s="753" t="s">
        <v>28</v>
      </c>
      <c r="W40" s="754">
        <f t="shared" si="14"/>
        <v>100</v>
      </c>
      <c r="X40" s="1895"/>
      <c r="Y40" s="3158"/>
      <c r="Z40" s="1897" t="str">
        <f t="shared" si="15"/>
        <v>房型</v>
      </c>
      <c r="AA40" s="1898">
        <f t="shared" si="3"/>
        <v>1</v>
      </c>
      <c r="AB40" s="1898">
        <f t="shared" si="4"/>
        <v>1</v>
      </c>
      <c r="AC40" s="1898">
        <f t="shared" si="5"/>
        <v>1</v>
      </c>
    </row>
    <row r="41" spans="1:29" s="452" customFormat="1" ht="28.5">
      <c r="A41" s="449"/>
      <c r="B41" s="402" t="s">
        <v>2372</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156"/>
      <c r="Q41" s="755" t="str">
        <f t="shared" si="11"/>
        <v>单套/主力户型建筑面积</v>
      </c>
      <c r="R41" s="756" t="s">
        <v>28</v>
      </c>
      <c r="S41" s="757">
        <f t="shared" si="12"/>
        <v>100</v>
      </c>
      <c r="T41" s="756" t="s">
        <v>28</v>
      </c>
      <c r="U41" s="757">
        <f t="shared" si="13"/>
        <v>100</v>
      </c>
      <c r="V41" s="756" t="s">
        <v>28</v>
      </c>
      <c r="W41" s="757">
        <f t="shared" si="14"/>
        <v>100</v>
      </c>
      <c r="X41" s="758"/>
      <c r="Y41" s="3158"/>
      <c r="Z41" s="759" t="str">
        <f t="shared" si="15"/>
        <v>单套/主力户型建筑面积</v>
      </c>
      <c r="AA41" s="1898">
        <f t="shared" si="3"/>
        <v>1</v>
      </c>
      <c r="AB41" s="1898">
        <f t="shared" si="4"/>
        <v>1</v>
      </c>
      <c r="AC41" s="1898">
        <f t="shared" si="5"/>
        <v>1</v>
      </c>
    </row>
    <row r="42" spans="1:29" ht="15">
      <c r="A42" s="453"/>
      <c r="B42" s="402" t="s">
        <v>2373</v>
      </c>
      <c r="C42" s="2406"/>
      <c r="D42" s="415">
        <v>100</v>
      </c>
      <c r="E42" s="2405"/>
      <c r="F42" s="442">
        <f>SUMIF(122:122,E42,123:123)-SUMIF(122:122,C42,123:123)+100</f>
        <v>100</v>
      </c>
      <c r="G42" s="2406"/>
      <c r="H42" s="415">
        <f>SUMIF(122:122,G42,123:123)-SUMIF(122:122,C42,123:123)+100</f>
        <v>100</v>
      </c>
      <c r="I42" s="2405"/>
      <c r="J42" s="415">
        <f>SUMIF(122:122,I42,123:123)-SUMIF(122:122,C42,123:123)+100</f>
        <v>100</v>
      </c>
      <c r="K42" s="406"/>
      <c r="L42" s="1249"/>
      <c r="M42" s="1240"/>
      <c r="N42" s="1240"/>
      <c r="O42" s="1240"/>
      <c r="P42" s="3156"/>
      <c r="Q42" s="1894" t="str">
        <f t="shared" si="11"/>
        <v>内部装修</v>
      </c>
      <c r="R42" s="753" t="s">
        <v>28</v>
      </c>
      <c r="S42" s="754">
        <f t="shared" si="12"/>
        <v>100</v>
      </c>
      <c r="T42" s="753" t="s">
        <v>28</v>
      </c>
      <c r="U42" s="754">
        <f t="shared" si="13"/>
        <v>100</v>
      </c>
      <c r="V42" s="753" t="s">
        <v>28</v>
      </c>
      <c r="W42" s="754">
        <f t="shared" si="14"/>
        <v>100</v>
      </c>
      <c r="X42" s="1895"/>
      <c r="Y42" s="3158"/>
      <c r="Z42" s="1897" t="str">
        <f t="shared" si="15"/>
        <v>内部装修</v>
      </c>
      <c r="AA42" s="1898">
        <f t="shared" si="3"/>
        <v>1</v>
      </c>
      <c r="AB42" s="1898">
        <f t="shared" si="4"/>
        <v>1</v>
      </c>
      <c r="AC42" s="1898">
        <f t="shared" si="5"/>
        <v>1</v>
      </c>
    </row>
    <row r="43" spans="1:29" ht="15">
      <c r="A43" s="453"/>
      <c r="B43" s="402" t="s">
        <v>2374</v>
      </c>
      <c r="C43" s="2406"/>
      <c r="D43" s="415">
        <v>100</v>
      </c>
      <c r="E43" s="2405"/>
      <c r="F43" s="442">
        <f>SUMIF(124:124,E43,125:125)-SUMIF(124:124,C43,125:125)+100</f>
        <v>100</v>
      </c>
      <c r="G43" s="2406"/>
      <c r="H43" s="415">
        <f>SUMIF(124:124,G43,125:125)-SUMIF(124:124,C43,125:125)+100</f>
        <v>100</v>
      </c>
      <c r="I43" s="2405"/>
      <c r="J43" s="415">
        <f>SUMIF(124:124,I43,125:125)-SUMIF(124:124,C43,125:125)+100</f>
        <v>100</v>
      </c>
      <c r="K43" s="406"/>
      <c r="L43" s="1249"/>
      <c r="M43" s="1240"/>
      <c r="N43" s="1240"/>
      <c r="O43" s="1240"/>
      <c r="P43" s="3156"/>
      <c r="Q43" s="1894" t="str">
        <f t="shared" si="11"/>
        <v>内部装修维护情况</v>
      </c>
      <c r="R43" s="753" t="s">
        <v>28</v>
      </c>
      <c r="S43" s="754">
        <f t="shared" si="12"/>
        <v>100</v>
      </c>
      <c r="T43" s="753" t="s">
        <v>28</v>
      </c>
      <c r="U43" s="754">
        <f t="shared" si="13"/>
        <v>100</v>
      </c>
      <c r="V43" s="753" t="s">
        <v>28</v>
      </c>
      <c r="W43" s="754">
        <f t="shared" si="14"/>
        <v>100</v>
      </c>
      <c r="X43" s="1895"/>
      <c r="Y43" s="3158"/>
      <c r="Z43" s="1897" t="str">
        <f t="shared" si="15"/>
        <v>内部装修维护情况</v>
      </c>
      <c r="AA43" s="1898">
        <f t="shared" si="3"/>
        <v>1</v>
      </c>
      <c r="AB43" s="1898">
        <f t="shared" si="4"/>
        <v>1</v>
      </c>
      <c r="AC43" s="1898">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156"/>
      <c r="Q44" s="1882">
        <f t="shared" si="11"/>
        <v>111</v>
      </c>
      <c r="R44" s="749" t="s">
        <v>28</v>
      </c>
      <c r="S44" s="750">
        <f t="shared" si="12"/>
        <v>100</v>
      </c>
      <c r="T44" s="749" t="s">
        <v>28</v>
      </c>
      <c r="U44" s="750">
        <f t="shared" si="13"/>
        <v>100</v>
      </c>
      <c r="V44" s="749" t="s">
        <v>28</v>
      </c>
      <c r="W44" s="750">
        <f t="shared" si="14"/>
        <v>100</v>
      </c>
      <c r="X44" s="751"/>
      <c r="Y44" s="3158"/>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156"/>
      <c r="Q45" s="1894">
        <f t="shared" si="11"/>
        <v>111</v>
      </c>
      <c r="R45" s="753" t="s">
        <v>28</v>
      </c>
      <c r="S45" s="754">
        <f t="shared" si="12"/>
        <v>100</v>
      </c>
      <c r="T45" s="753" t="s">
        <v>28</v>
      </c>
      <c r="U45" s="754">
        <f t="shared" si="13"/>
        <v>100</v>
      </c>
      <c r="V45" s="753" t="s">
        <v>28</v>
      </c>
      <c r="W45" s="754">
        <f t="shared" si="14"/>
        <v>100</v>
      </c>
      <c r="X45" s="1895"/>
      <c r="Y45" s="3158"/>
      <c r="Z45" s="1897">
        <f t="shared" si="15"/>
        <v>111</v>
      </c>
      <c r="AA45" s="1898">
        <f t="shared" si="3"/>
        <v>1</v>
      </c>
      <c r="AB45" s="1898">
        <f t="shared" si="4"/>
        <v>1</v>
      </c>
      <c r="AC45" s="1898">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157"/>
      <c r="Q46" s="1894">
        <f t="shared" si="11"/>
        <v>111</v>
      </c>
      <c r="R46" s="753" t="s">
        <v>27</v>
      </c>
      <c r="S46" s="754">
        <f t="shared" si="12"/>
        <v>100</v>
      </c>
      <c r="T46" s="753" t="s">
        <v>27</v>
      </c>
      <c r="U46" s="754">
        <f t="shared" si="13"/>
        <v>100</v>
      </c>
      <c r="V46" s="753" t="s">
        <v>27</v>
      </c>
      <c r="W46" s="754">
        <f t="shared" si="14"/>
        <v>100</v>
      </c>
      <c r="X46" s="1895"/>
      <c r="Y46" s="3159"/>
      <c r="Z46" s="1897">
        <f t="shared" si="15"/>
        <v>111</v>
      </c>
      <c r="AA46" s="1898">
        <f t="shared" si="3"/>
        <v>1</v>
      </c>
      <c r="AB46" s="1898">
        <f t="shared" si="4"/>
        <v>1</v>
      </c>
      <c r="AC46" s="1898">
        <f t="shared" si="5"/>
        <v>1</v>
      </c>
    </row>
    <row r="47" spans="1:29" ht="15">
      <c r="A47" s="460" t="s">
        <v>2375</v>
      </c>
      <c r="B47" s="461"/>
      <c r="C47" s="1498" t="s">
        <v>26</v>
      </c>
      <c r="D47" s="1499"/>
      <c r="E47" s="1500"/>
      <c r="F47" s="1501"/>
      <c r="G47" s="1502"/>
      <c r="H47" s="1503"/>
      <c r="I47" s="1500"/>
      <c r="J47" s="1503"/>
      <c r="K47" s="2412"/>
      <c r="L47" s="1252"/>
      <c r="M47" s="1253"/>
      <c r="N47" s="1240"/>
      <c r="O47" s="1253"/>
      <c r="P47" s="3150" t="str">
        <f>A47</f>
        <v>成交单价（元/平方米）</v>
      </c>
      <c r="Q47" s="3150"/>
      <c r="R47" s="3146">
        <f>E47</f>
        <v>0</v>
      </c>
      <c r="S47" s="3146"/>
      <c r="T47" s="3146">
        <f>G47</f>
        <v>0</v>
      </c>
      <c r="U47" s="3146"/>
      <c r="V47" s="3146">
        <f>I47</f>
        <v>0</v>
      </c>
      <c r="W47" s="3146"/>
      <c r="X47" s="738"/>
      <c r="Y47" s="760"/>
      <c r="Z47" s="738"/>
      <c r="AA47" s="738"/>
      <c r="AB47" s="738"/>
      <c r="AC47" s="738"/>
    </row>
    <row r="48" spans="1:29" ht="15.75" thickBot="1">
      <c r="A48" s="467" t="s">
        <v>2376</v>
      </c>
      <c r="B48" s="468"/>
      <c r="C48" s="1504" t="e">
        <f>R49</f>
        <v>#DIV/0!</v>
      </c>
      <c r="D48" s="1505"/>
      <c r="E48" s="1506" t="e">
        <f>R48</f>
        <v>#DIV/0!</v>
      </c>
      <c r="F48" s="1506"/>
      <c r="G48" s="1504" t="e">
        <f>T48</f>
        <v>#DIV/0!</v>
      </c>
      <c r="H48" s="1505"/>
      <c r="I48" s="1506" t="e">
        <f>V48</f>
        <v>#DIV/0!</v>
      </c>
      <c r="J48" s="1505"/>
      <c r="K48" s="2413"/>
      <c r="L48" s="1252"/>
      <c r="M48" s="1253"/>
      <c r="N48" s="1253"/>
      <c r="O48" s="1253"/>
      <c r="P48" s="3150" t="str">
        <f>A48</f>
        <v>比较价值（元/平方米）</v>
      </c>
      <c r="Q48" s="3150"/>
      <c r="R48" s="3146" t="e">
        <f>IF(E1="售价",ROUND(PRODUCT(R47,AA7:AA46),0),ROUND(PRODUCT(R47,AA7:AA46),1))</f>
        <v>#DIV/0!</v>
      </c>
      <c r="S48" s="3146"/>
      <c r="T48" s="3144" t="e">
        <f>IF(E1="售价",ROUND(PRODUCT(T47,AB7:AB46),0),ROUND(PRODUCT(T47,AB7:AB46),1))</f>
        <v>#DIV/0!</v>
      </c>
      <c r="U48" s="3145"/>
      <c r="V48" s="3146" t="e">
        <f>IF(E1="售价",ROUND(PRODUCT(V47,AC7:AC46),0),ROUND(PRODUCT(V47,AC7:AC46),1))</f>
        <v>#DIV/0!</v>
      </c>
      <c r="W48" s="3146"/>
      <c r="X48" s="738"/>
      <c r="Y48" s="738"/>
      <c r="Z48" s="738"/>
      <c r="AA48" s="738"/>
      <c r="AB48" s="738"/>
      <c r="AC48" s="738"/>
    </row>
    <row r="49" spans="1:29" ht="15.75" thickBot="1">
      <c r="A49" s="473" t="s">
        <v>2377</v>
      </c>
      <c r="B49" s="474"/>
      <c r="C49" s="1507" t="e">
        <f>R49</f>
        <v>#DIV/0!</v>
      </c>
      <c r="D49" s="1508"/>
      <c r="E49" s="1508"/>
      <c r="F49" s="1508"/>
      <c r="G49" s="1508"/>
      <c r="H49" s="1508"/>
      <c r="I49" s="1508"/>
      <c r="J49" s="1508"/>
      <c r="K49" s="2414"/>
      <c r="L49" s="1252"/>
      <c r="M49" s="1253"/>
      <c r="N49" s="1253"/>
      <c r="O49" s="1253"/>
      <c r="P49" s="3147" t="str">
        <f>A49</f>
        <v>估价对象XX用房的比较价值（楼面单价，元/平方米）</v>
      </c>
      <c r="Q49" s="3148"/>
      <c r="R49" s="3149" t="e">
        <f>IF(E1="售价",ROUND(AVERAGE(R48:V48),0),ROUND(AVERAGE(R48:V48),1))</f>
        <v>#DIV/0!</v>
      </c>
      <c r="S49" s="3149"/>
      <c r="T49" s="3149"/>
      <c r="U49" s="3149"/>
      <c r="V49" s="3149"/>
      <c r="W49" s="3149"/>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2379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2380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2381</v>
      </c>
      <c r="B57" s="738"/>
      <c r="C57" s="743"/>
      <c r="D57" s="743"/>
      <c r="E57" s="743"/>
      <c r="F57" s="744"/>
      <c r="G57" s="744"/>
      <c r="H57" s="743"/>
      <c r="I57" s="743"/>
      <c r="J57" s="743"/>
      <c r="K57" s="745"/>
      <c r="L57" s="746"/>
      <c r="M57" s="743"/>
      <c r="N57" s="743"/>
      <c r="O57" s="743"/>
      <c r="P57" s="2417"/>
      <c r="Q57" s="485"/>
    </row>
    <row r="58" spans="1:29" s="489" customFormat="1" ht="15">
      <c r="A58" s="486" t="s">
        <v>2382</v>
      </c>
      <c r="B58" s="487"/>
      <c r="C58" s="1674" t="str">
        <f>YEAR(C7)&amp;"-"&amp;MONTH(C7)</f>
        <v>2020-10</v>
      </c>
      <c r="D58" s="1675">
        <f>EDATE(C58,-1)</f>
        <v>44075</v>
      </c>
      <c r="E58" s="1675">
        <f t="shared" ref="E58:O58" si="16">EDATE(D58,-1)</f>
        <v>44044</v>
      </c>
      <c r="F58" s="1675">
        <f t="shared" si="16"/>
        <v>44013</v>
      </c>
      <c r="G58" s="1675">
        <f t="shared" si="16"/>
        <v>43983</v>
      </c>
      <c r="H58" s="1675">
        <f t="shared" si="16"/>
        <v>43952</v>
      </c>
      <c r="I58" s="1675">
        <f t="shared" si="16"/>
        <v>43922</v>
      </c>
      <c r="J58" s="1675">
        <f t="shared" si="16"/>
        <v>43891</v>
      </c>
      <c r="K58" s="1675">
        <f t="shared" si="16"/>
        <v>43862</v>
      </c>
      <c r="L58" s="1675">
        <f t="shared" si="16"/>
        <v>43831</v>
      </c>
      <c r="M58" s="1675">
        <f t="shared" si="16"/>
        <v>43800</v>
      </c>
      <c r="N58" s="1675">
        <f t="shared" si="16"/>
        <v>43770</v>
      </c>
      <c r="O58" s="1675">
        <f t="shared" si="16"/>
        <v>43739</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2384</v>
      </c>
      <c r="B61" s="491"/>
      <c r="C61" s="503" t="s">
        <v>2385</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21"/>
      <c r="Q66" s="485"/>
    </row>
    <row r="67" spans="1:17" ht="15.75" thickTop="1">
      <c r="A67" s="516"/>
      <c r="B67" s="529" t="s">
        <v>2355</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1744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2408</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2409</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2"/>
      <c r="Q90" s="543"/>
    </row>
    <row r="91" spans="1:17" s="452" customFormat="1" ht="15.75" thickBot="1">
      <c r="A91" s="536"/>
      <c r="B91" s="526"/>
      <c r="C91" s="544"/>
      <c r="D91" s="544"/>
      <c r="E91" s="544"/>
      <c r="F91" s="544"/>
      <c r="G91" s="544"/>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2361</v>
      </c>
      <c r="B100" s="509" t="s">
        <v>2410</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1"/>
      <c r="Q101" s="485"/>
    </row>
    <row r="102" spans="1:17" ht="15.75" thickTop="1">
      <c r="A102" s="516"/>
      <c r="B102" s="521" t="s">
        <v>2411</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2"/>
      <c r="Q104" s="543"/>
    </row>
    <row r="105" spans="1:17" ht="15" thickTop="1">
      <c r="A105" s="583"/>
      <c r="B105" s="521" t="s">
        <v>2412</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1"/>
      <c r="Q106" s="485"/>
    </row>
    <row r="107" spans="1:17" ht="15" thickTop="1">
      <c r="A107" s="583"/>
      <c r="B107" s="521" t="s">
        <v>2413</v>
      </c>
      <c r="C107" s="567"/>
      <c r="D107" s="567"/>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1"/>
      <c r="Q108" s="485"/>
    </row>
    <row r="109" spans="1:17" ht="15" thickTop="1">
      <c r="A109" s="583"/>
      <c r="B109" s="521" t="s">
        <v>2414</v>
      </c>
      <c r="C109" s="537"/>
      <c r="D109" s="537"/>
      <c r="E109" s="537"/>
      <c r="F109" s="567"/>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1"/>
      <c r="Q110" s="485"/>
    </row>
    <row r="111" spans="1:17" s="452" customFormat="1" ht="15" thickTop="1">
      <c r="A111" s="577"/>
      <c r="B111" s="521" t="s">
        <v>2415</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2"/>
      <c r="Q113" s="543"/>
    </row>
    <row r="114" spans="1:17" ht="15" thickTop="1">
      <c r="A114" s="583"/>
      <c r="B114" s="521" t="s">
        <v>2416</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1"/>
      <c r="Q115" s="485"/>
    </row>
    <row r="116" spans="1:17" ht="15" thickTop="1">
      <c r="A116" s="583"/>
      <c r="B116" s="521" t="s">
        <v>2417</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2418</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2372</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2419</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2421</v>
      </c>
    </row>
    <row r="137" spans="1:17" ht="15">
      <c r="B137" s="2429" t="s">
        <v>2422</v>
      </c>
      <c r="C137" s="2430"/>
      <c r="D137" s="2430"/>
      <c r="E137" s="2430"/>
      <c r="F137" s="2430"/>
      <c r="G137" s="2431"/>
      <c r="H137" s="2432"/>
      <c r="I137" s="2433" t="s">
        <v>2423</v>
      </c>
      <c r="J137" s="2430"/>
      <c r="K137" s="2434"/>
    </row>
    <row r="138" spans="1:17" ht="15">
      <c r="B138" s="2435"/>
      <c r="C138" s="62" t="s">
        <v>2424</v>
      </c>
      <c r="D138" s="62" t="s">
        <v>2425</v>
      </c>
      <c r="E138" s="2436" t="s">
        <v>2426</v>
      </c>
      <c r="F138" s="2437" t="s">
        <v>2427</v>
      </c>
      <c r="G138" s="62" t="s">
        <v>2425</v>
      </c>
      <c r="H138" s="63" t="s">
        <v>2426</v>
      </c>
      <c r="I138" s="2438"/>
      <c r="J138" s="62" t="s">
        <v>2428</v>
      </c>
      <c r="K138" s="63" t="s">
        <v>2429</v>
      </c>
    </row>
    <row r="139" spans="1:17" ht="15">
      <c r="B139" s="1121">
        <v>6</v>
      </c>
      <c r="C139" s="1129">
        <v>96</v>
      </c>
      <c r="D139" s="2439" t="s">
        <v>2430</v>
      </c>
      <c r="E139" s="1130">
        <v>100</v>
      </c>
      <c r="F139" s="1131">
        <v>102.5</v>
      </c>
      <c r="G139" s="2439" t="s">
        <v>2430</v>
      </c>
      <c r="H139" s="1132">
        <v>105</v>
      </c>
      <c r="I139" s="2440" t="s">
        <v>2431</v>
      </c>
      <c r="J139" s="1129">
        <v>20</v>
      </c>
      <c r="K139" s="1123">
        <f>C145/(J139-2)</f>
        <v>4.0555555555555553E-3</v>
      </c>
    </row>
    <row r="140" spans="1:17" ht="15">
      <c r="B140" s="1122">
        <v>5</v>
      </c>
      <c r="C140" s="1133">
        <v>100</v>
      </c>
      <c r="D140" s="1133"/>
      <c r="E140" s="1134"/>
      <c r="F140" s="1135">
        <v>102</v>
      </c>
      <c r="G140" s="1133"/>
      <c r="H140" s="1136"/>
      <c r="I140" s="2441" t="s">
        <v>2432</v>
      </c>
      <c r="J140" s="217">
        <f>ROUNDUP((J139-1)/2,0)</f>
        <v>10</v>
      </c>
      <c r="K140" s="1124">
        <v>100</v>
      </c>
    </row>
    <row r="141" spans="1:17" ht="15">
      <c r="B141" s="1122">
        <v>4</v>
      </c>
      <c r="C141" s="1133">
        <v>102</v>
      </c>
      <c r="D141" s="1133"/>
      <c r="E141" s="1134"/>
      <c r="F141" s="1135">
        <v>101.5</v>
      </c>
      <c r="G141" s="1133"/>
      <c r="H141" s="1136"/>
      <c r="I141" s="2441" t="s">
        <v>2433</v>
      </c>
      <c r="J141" s="217">
        <v>1</v>
      </c>
      <c r="K141" s="1125">
        <f>ROUND(100+(J141-J140)*K139*100,1)</f>
        <v>96.4</v>
      </c>
    </row>
    <row r="142" spans="1:17" ht="15">
      <c r="B142" s="1122">
        <v>3</v>
      </c>
      <c r="C142" s="1133">
        <v>103</v>
      </c>
      <c r="D142" s="1133"/>
      <c r="E142" s="1134"/>
      <c r="F142" s="1135">
        <v>101</v>
      </c>
      <c r="G142" s="1133"/>
      <c r="H142" s="1136"/>
      <c r="I142" s="2441" t="s">
        <v>2434</v>
      </c>
      <c r="J142" s="217">
        <f>J139</f>
        <v>20</v>
      </c>
      <c r="K142" s="1138">
        <v>95</v>
      </c>
    </row>
    <row r="143" spans="1:17" ht="15">
      <c r="B143" s="1122">
        <v>2</v>
      </c>
      <c r="C143" s="1133">
        <v>100</v>
      </c>
      <c r="D143" s="1133"/>
      <c r="E143" s="1134"/>
      <c r="F143" s="1135">
        <v>100.5</v>
      </c>
      <c r="G143" s="1133"/>
      <c r="H143" s="1136"/>
      <c r="I143" s="2441" t="s">
        <v>2435</v>
      </c>
      <c r="J143" s="1133">
        <v>15</v>
      </c>
      <c r="K143" s="1125">
        <f>ROUND(100+(J143-J140)*K139*100,1)</f>
        <v>102</v>
      </c>
    </row>
    <row r="144" spans="1:17" ht="15">
      <c r="B144" s="1122">
        <v>1</v>
      </c>
      <c r="C144" s="1133">
        <v>98</v>
      </c>
      <c r="D144" s="2442" t="s">
        <v>2436</v>
      </c>
      <c r="E144" s="1134">
        <v>102</v>
      </c>
      <c r="F144" s="1137">
        <v>100</v>
      </c>
      <c r="G144" s="2442" t="s">
        <v>2436</v>
      </c>
      <c r="H144" s="1136">
        <v>105</v>
      </c>
      <c r="I144" s="2441" t="s">
        <v>2435</v>
      </c>
      <c r="J144" s="1133">
        <v>18</v>
      </c>
      <c r="K144" s="1125">
        <f>ROUND(100+(J144-J140)*K139*100,1)</f>
        <v>103.2</v>
      </c>
    </row>
    <row r="145" spans="2:11" ht="15.75" thickBot="1">
      <c r="B145" s="2443" t="s">
        <v>2437</v>
      </c>
      <c r="C145" s="1127">
        <f>ROUND(MAX(C139:C144)/MIN(C139:C144)-1,3)</f>
        <v>7.2999999999999995E-2</v>
      </c>
      <c r="D145" s="1128"/>
      <c r="E145" s="1128"/>
      <c r="F145" s="2444" t="s">
        <v>2438</v>
      </c>
      <c r="G145" s="2445"/>
      <c r="H145" s="2446"/>
      <c r="I145" s="2447" t="s">
        <v>2435</v>
      </c>
      <c r="J145" s="1139">
        <v>8</v>
      </c>
      <c r="K145" s="1126">
        <f>ROUND(100+(J145-J140)*K139*100,1)</f>
        <v>99.2</v>
      </c>
    </row>
    <row r="147" spans="2:11">
      <c r="B147" s="2428" t="s">
        <v>2439</v>
      </c>
    </row>
    <row r="148" spans="2:11">
      <c r="B148" s="2428" t="s">
        <v>2440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90" zoomScaleNormal="90" workbookViewId="0">
      <selection activeCell="M46" sqref="M4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3039</v>
      </c>
      <c r="D1" s="2448"/>
      <c r="E1" s="2377" t="s">
        <v>1231</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2000</v>
      </c>
      <c r="B2" s="1721">
        <f>IF(D2="——",IF(C2="元",ROUND(C49*D3,0),ROUND(C49*D3/10000,0)),IF(C2="元",ROUND(C49*D3,0),ROUND(C49*D3/10000,0))-E2)</f>
        <v>4942</v>
      </c>
      <c r="C2" s="163" t="str">
        <f>'数据-取费表'!B3</f>
        <v>元</v>
      </c>
      <c r="D2" s="2379" t="s">
        <v>1247</v>
      </c>
      <c r="E2" s="2449" t="e">
        <f ca="1">SUMIF(INDIRECT("'"&amp;G2&amp;"'"&amp;"!A:A"),"承租人权益价值",INDIRECT("'"&amp;G2&amp;"'"&amp;"!c:c"))</f>
        <v>#REF!</v>
      </c>
      <c r="F2" s="2380" t="str">
        <f>C2</f>
        <v>元</v>
      </c>
      <c r="G2" s="2381"/>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2001</v>
      </c>
      <c r="B3" s="593">
        <f>ROUND(IF(D2="——",C49,IF(C2="万元",B2*10000/D3,B2/D3)),0)</f>
        <v>13</v>
      </c>
      <c r="C3" s="379" t="s">
        <v>2331</v>
      </c>
      <c r="D3" s="378">
        <f>IF(C1="仅计算典型户型",'数据-取费表'!E5,'数据-取费表'!B5)</f>
        <v>392.22</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87" t="s">
        <v>2335</v>
      </c>
      <c r="AC4" s="3174" t="s">
        <v>2336</v>
      </c>
    </row>
    <row r="5" spans="1:29" ht="15">
      <c r="A5" s="383"/>
      <c r="B5" s="384"/>
      <c r="C5" s="3193" t="s">
        <v>3122</v>
      </c>
      <c r="D5" s="3163"/>
      <c r="E5" s="3192" t="s">
        <v>3162</v>
      </c>
      <c r="F5" s="3189"/>
      <c r="G5" s="3193" t="s">
        <v>3160</v>
      </c>
      <c r="H5" s="3163"/>
      <c r="I5" s="3193" t="s">
        <v>3161</v>
      </c>
      <c r="J5" s="3163"/>
      <c r="K5" s="594"/>
      <c r="L5" s="1239"/>
      <c r="M5" s="1240"/>
      <c r="N5" s="1240"/>
      <c r="O5" s="1240"/>
      <c r="P5" s="3183"/>
      <c r="Q5" s="3184"/>
      <c r="R5" s="3168"/>
      <c r="S5" s="3169"/>
      <c r="T5" s="3168"/>
      <c r="U5" s="3169"/>
      <c r="V5" s="3187"/>
      <c r="W5" s="3187"/>
      <c r="X5" s="1895"/>
      <c r="Y5" s="3168"/>
      <c r="Z5" s="3169"/>
      <c r="AA5" s="3175"/>
      <c r="AB5" s="3187"/>
      <c r="AC5" s="3175"/>
    </row>
    <row r="6" spans="1:29" ht="15.75" thickBot="1">
      <c r="A6" s="385"/>
      <c r="B6" s="386"/>
      <c r="C6" s="3160" t="s">
        <v>2343</v>
      </c>
      <c r="D6" s="3161"/>
      <c r="E6" s="3190" t="s">
        <v>2343</v>
      </c>
      <c r="F6" s="3191"/>
      <c r="G6" s="3194" t="s">
        <v>2343</v>
      </c>
      <c r="H6" s="3195"/>
      <c r="I6" s="3160" t="s">
        <v>2343</v>
      </c>
      <c r="J6" s="3161"/>
      <c r="K6" s="594" t="s">
        <v>2344</v>
      </c>
      <c r="L6" s="1239"/>
      <c r="M6" s="1240"/>
      <c r="N6" s="1240"/>
      <c r="O6" s="1240"/>
      <c r="P6" s="3185"/>
      <c r="Q6" s="3186"/>
      <c r="R6" s="3168"/>
      <c r="S6" s="3169"/>
      <c r="T6" s="3170"/>
      <c r="U6" s="3171"/>
      <c r="V6" s="3187"/>
      <c r="W6" s="3187"/>
      <c r="X6" s="1895"/>
      <c r="Y6" s="3170"/>
      <c r="Z6" s="3171"/>
      <c r="AA6" s="3176"/>
      <c r="AB6" s="3187"/>
      <c r="AC6" s="3176"/>
    </row>
    <row r="7" spans="1:29" s="35" customFormat="1" ht="15.75" thickBot="1">
      <c r="A7" s="387" t="s">
        <v>2345</v>
      </c>
      <c r="B7" s="388"/>
      <c r="C7" s="389">
        <f>'数据-取费表'!B2</f>
        <v>44134</v>
      </c>
      <c r="D7" s="390">
        <v>100</v>
      </c>
      <c r="E7" s="391">
        <v>44118</v>
      </c>
      <c r="F7" s="392">
        <f>SUMIF(58:58,YEAR(E7)&amp;"-"&amp;MONTH(E7),59:59)</f>
        <v>100</v>
      </c>
      <c r="G7" s="391">
        <v>44118</v>
      </c>
      <c r="H7" s="390">
        <f>SUMIF(58:58,YEAR(G7)&amp;"-"&amp;MONTH(G7),59:59)</f>
        <v>100</v>
      </c>
      <c r="I7" s="391">
        <v>44134</v>
      </c>
      <c r="J7" s="390">
        <f>SUMIF(58:58,YEAR(I7)&amp;"-"&amp;MONTH(I7),59:59)</f>
        <v>100</v>
      </c>
      <c r="K7" s="595"/>
      <c r="L7" s="1241"/>
      <c r="M7" s="1242"/>
      <c r="N7" s="1242"/>
      <c r="O7" s="1242"/>
      <c r="P7" s="3164" t="s">
        <v>2346</v>
      </c>
      <c r="Q7" s="3172"/>
      <c r="R7" s="749" t="s">
        <v>25</v>
      </c>
      <c r="S7" s="750">
        <f t="shared" ref="S7:S15" si="0">F7</f>
        <v>100</v>
      </c>
      <c r="T7" s="749" t="s">
        <v>25</v>
      </c>
      <c r="U7" s="750">
        <f t="shared" ref="U7:U15" si="1">H7</f>
        <v>100</v>
      </c>
      <c r="V7" s="749" t="s">
        <v>25</v>
      </c>
      <c r="W7" s="750">
        <f t="shared" ref="W7:W15" si="2">J7</f>
        <v>100</v>
      </c>
      <c r="X7" s="751"/>
      <c r="Y7" s="3164" t="s">
        <v>2346</v>
      </c>
      <c r="Z7" s="3165"/>
      <c r="AA7" s="752">
        <f>D7/F7</f>
        <v>1</v>
      </c>
      <c r="AB7" s="752">
        <f>D7/H7</f>
        <v>1</v>
      </c>
      <c r="AC7" s="752">
        <f>D7/J7</f>
        <v>1</v>
      </c>
    </row>
    <row r="8" spans="1:29" s="35" customFormat="1" ht="15.75" thickBot="1">
      <c r="A8" s="387" t="s">
        <v>2347</v>
      </c>
      <c r="B8" s="388"/>
      <c r="C8" s="394" t="s">
        <v>2348</v>
      </c>
      <c r="D8" s="390">
        <v>100</v>
      </c>
      <c r="E8" s="394" t="s">
        <v>3085</v>
      </c>
      <c r="F8" s="392">
        <f>SUMIF(61:61,E8,62:62)-SUMIF(61:61,C8,62:62)+100</f>
        <v>100</v>
      </c>
      <c r="G8" s="394" t="s">
        <v>3085</v>
      </c>
      <c r="H8" s="390">
        <f>SUMIF(61:61,G8,62:62)-SUMIF(61:61,C8,62:62)+100</f>
        <v>100</v>
      </c>
      <c r="I8" s="394" t="s">
        <v>3085</v>
      </c>
      <c r="J8" s="390">
        <f>SUMIF(61:61,I8,62:62)-SUMIF(61:61,C8,62:62)+100</f>
        <v>100</v>
      </c>
      <c r="K8" s="595"/>
      <c r="L8" s="1241"/>
      <c r="M8" s="1242"/>
      <c r="N8" s="1242"/>
      <c r="O8" s="1242"/>
      <c r="P8" s="3164" t="s">
        <v>2349</v>
      </c>
      <c r="Q8" s="3165"/>
      <c r="R8" s="749" t="s">
        <v>25</v>
      </c>
      <c r="S8" s="750">
        <f t="shared" si="0"/>
        <v>100</v>
      </c>
      <c r="T8" s="749" t="s">
        <v>25</v>
      </c>
      <c r="U8" s="750">
        <f t="shared" si="1"/>
        <v>100</v>
      </c>
      <c r="V8" s="749" t="s">
        <v>25</v>
      </c>
      <c r="W8" s="750">
        <f t="shared" si="2"/>
        <v>100</v>
      </c>
      <c r="X8" s="751"/>
      <c r="Y8" s="3164" t="s">
        <v>2349</v>
      </c>
      <c r="Z8" s="3165"/>
      <c r="AA8" s="752">
        <f t="shared" ref="AA8:AA46" si="3">D8/F8</f>
        <v>1</v>
      </c>
      <c r="AB8" s="752">
        <f t="shared" ref="AB8:AB46" si="4">D8/H8</f>
        <v>1</v>
      </c>
      <c r="AC8" s="752">
        <f t="shared" ref="AC8:AC46" si="5">D8/J8</f>
        <v>1</v>
      </c>
    </row>
    <row r="9" spans="1:29" s="35" customFormat="1" ht="15" thickBot="1">
      <c r="A9" s="395" t="s">
        <v>2350</v>
      </c>
      <c r="B9" s="28" t="s">
        <v>2351</v>
      </c>
      <c r="C9" s="2841" t="s">
        <v>3051</v>
      </c>
      <c r="D9" s="51">
        <v>100</v>
      </c>
      <c r="E9" s="397" t="s">
        <v>3048</v>
      </c>
      <c r="F9" s="398">
        <f>SUMIF(63:63,E9,64:64)-SUMIF(63:63,C9,64:64)+100</f>
        <v>100</v>
      </c>
      <c r="G9" s="397" t="s">
        <v>3048</v>
      </c>
      <c r="H9" s="51">
        <f>SUMIF(63:63,G9,64:64)-SUMIF(63:63,C9,64:64)+100</f>
        <v>100</v>
      </c>
      <c r="I9" s="397" t="s">
        <v>3048</v>
      </c>
      <c r="J9" s="51">
        <f>SUMIF(63:63,I9,64:64)-SUMIF(63:63,C9,64:64)+100</f>
        <v>100</v>
      </c>
      <c r="K9" s="595"/>
      <c r="L9" s="1241"/>
      <c r="M9" s="1242"/>
      <c r="N9" s="1242"/>
      <c r="O9" s="1242"/>
      <c r="P9" s="3173"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hidden="1">
      <c r="A10" s="401"/>
      <c r="B10" s="402" t="s">
        <v>2354</v>
      </c>
      <c r="C10" s="403" t="s">
        <v>3052</v>
      </c>
      <c r="D10" s="52">
        <v>100</v>
      </c>
      <c r="E10" s="404" t="s">
        <v>3052</v>
      </c>
      <c r="F10" s="405">
        <f>SUMIF(65:65,E10,66:66)-SUMIF(65:65,C10,66:66)+100</f>
        <v>100</v>
      </c>
      <c r="G10" s="403" t="s">
        <v>3100</v>
      </c>
      <c r="H10" s="52">
        <f>SUMIF(65:65,G10,66:66)-SUMIF(65:65,C10,66:66)+100</f>
        <v>100</v>
      </c>
      <c r="I10" s="403" t="s">
        <v>3052</v>
      </c>
      <c r="J10" s="52">
        <f>SUMIF(65:65,I10,66:66)-SUMIF(65:65,C10,66:66)+100</f>
        <v>100</v>
      </c>
      <c r="K10" s="596"/>
      <c r="L10" s="1244"/>
      <c r="M10" s="1245"/>
      <c r="N10" s="1245"/>
      <c r="O10" s="1245"/>
      <c r="P10" s="3173"/>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75" hidden="1" thickBot="1">
      <c r="A11" s="408"/>
      <c r="B11" s="402" t="s">
        <v>2355</v>
      </c>
      <c r="C11" s="409">
        <v>4.8</v>
      </c>
      <c r="D11" s="52">
        <v>100</v>
      </c>
      <c r="E11" s="410">
        <v>4.8</v>
      </c>
      <c r="F11" s="405">
        <f>LOOKUP(E11,68:68,69:69)-LOOKUP(C11,68:68,69:69)+100</f>
        <v>100</v>
      </c>
      <c r="G11" s="409">
        <v>6</v>
      </c>
      <c r="H11" s="52">
        <f>LOOKUP(G11,68:68,69:69)-LOOKUP(C11,68:68,69:69)+100</f>
        <v>100</v>
      </c>
      <c r="I11" s="409">
        <v>3.5</v>
      </c>
      <c r="J11" s="52">
        <f>LOOKUP(I11,68:68,69:69)-LOOKUP(C11,68:68,69:69)+100</f>
        <v>100</v>
      </c>
      <c r="K11" s="596"/>
      <c r="L11" s="1247"/>
      <c r="M11" s="1240"/>
      <c r="N11" s="1240"/>
      <c r="O11" s="1240"/>
      <c r="P11" s="3173"/>
      <c r="Q11" s="1882" t="str">
        <f t="shared" si="6"/>
        <v>容积率</v>
      </c>
      <c r="R11" s="749" t="s">
        <v>25</v>
      </c>
      <c r="S11" s="750">
        <f t="shared" si="0"/>
        <v>100</v>
      </c>
      <c r="T11" s="749" t="s">
        <v>25</v>
      </c>
      <c r="U11" s="750">
        <f t="shared" si="1"/>
        <v>100</v>
      </c>
      <c r="V11" s="749" t="s">
        <v>25</v>
      </c>
      <c r="W11" s="750">
        <f t="shared" si="2"/>
        <v>100</v>
      </c>
      <c r="X11" s="751"/>
      <c r="Y11" s="2979"/>
      <c r="Z11" s="23" t="str">
        <f t="shared" si="7"/>
        <v>容积率</v>
      </c>
      <c r="AA11" s="752">
        <f t="shared" si="3"/>
        <v>1</v>
      </c>
      <c r="AB11" s="752">
        <f t="shared" si="4"/>
        <v>1</v>
      </c>
      <c r="AC11" s="752">
        <f t="shared" si="5"/>
        <v>1</v>
      </c>
    </row>
    <row r="12" spans="1:29" s="35" customFormat="1" ht="15" hidden="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73"/>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 hidden="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73"/>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73"/>
      <c r="Q14" s="1882">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71.25">
      <c r="A15" s="419" t="s">
        <v>2356</v>
      </c>
      <c r="B15" s="26" t="s">
        <v>2442</v>
      </c>
      <c r="C15" s="2398" t="str">
        <f>估价对象房地状况!C4</f>
        <v>估价对象位于定福庄商圈，周边商业氛围成熟，人流量大，商业繁华度好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51" t="s">
        <v>2357</v>
      </c>
      <c r="Q15" s="1894" t="str">
        <f t="shared" si="6"/>
        <v>商业繁华度</v>
      </c>
      <c r="R15" s="753" t="s">
        <v>25</v>
      </c>
      <c r="S15" s="754">
        <f t="shared" si="0"/>
        <v>100</v>
      </c>
      <c r="T15" s="753" t="s">
        <v>25</v>
      </c>
      <c r="U15" s="754">
        <f t="shared" si="1"/>
        <v>100</v>
      </c>
      <c r="V15" s="753" t="s">
        <v>25</v>
      </c>
      <c r="W15" s="754">
        <f t="shared" si="2"/>
        <v>100</v>
      </c>
      <c r="X15" s="1895"/>
      <c r="Y15" s="3153" t="s">
        <v>2357</v>
      </c>
      <c r="Z15" s="1897" t="str">
        <f t="shared" si="7"/>
        <v>商业繁华度</v>
      </c>
      <c r="AA15" s="1898">
        <f t="shared" si="3"/>
        <v>1</v>
      </c>
      <c r="AB15" s="1898">
        <f t="shared" si="4"/>
        <v>1</v>
      </c>
      <c r="AC15" s="1898">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52"/>
      <c r="Q16" s="1894"/>
      <c r="R16" s="753"/>
      <c r="S16" s="754"/>
      <c r="T16" s="753"/>
      <c r="U16" s="754"/>
      <c r="V16" s="753"/>
      <c r="W16" s="754"/>
      <c r="X16" s="1895"/>
      <c r="Y16" s="3154"/>
      <c r="Z16" s="1897"/>
      <c r="AA16" s="1898">
        <v>1</v>
      </c>
      <c r="AB16" s="1898">
        <v>1</v>
      </c>
      <c r="AC16" s="1898">
        <v>1</v>
      </c>
    </row>
    <row r="17" spans="1:29" ht="128.25">
      <c r="A17" s="408"/>
      <c r="B17" s="431" t="s">
        <v>1743</v>
      </c>
      <c r="C17" s="2401" t="str">
        <f>估价对象房地状况!C6</f>
        <v>估价对象周边公共交通包括：488路、499路、517路等公交线路，1公里以内有地铁6号线常营地铁站。综合评价交通便捷度好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152"/>
      <c r="Q17" s="1894" t="str">
        <f>B17</f>
        <v>交通便捷度</v>
      </c>
      <c r="R17" s="753" t="s">
        <v>25</v>
      </c>
      <c r="S17" s="754">
        <f>F17</f>
        <v>100</v>
      </c>
      <c r="T17" s="753" t="s">
        <v>25</v>
      </c>
      <c r="U17" s="754">
        <f>H17</f>
        <v>100</v>
      </c>
      <c r="V17" s="753" t="s">
        <v>25</v>
      </c>
      <c r="W17" s="754">
        <f>J17</f>
        <v>100</v>
      </c>
      <c r="X17" s="1895"/>
      <c r="Y17" s="3154"/>
      <c r="Z17" s="1897" t="str">
        <f>Q17</f>
        <v>交通便捷度</v>
      </c>
      <c r="AA17" s="1898">
        <f t="shared" si="3"/>
        <v>1</v>
      </c>
      <c r="AB17" s="1898">
        <f t="shared" si="4"/>
        <v>1</v>
      </c>
      <c r="AC17" s="1898">
        <f t="shared" si="5"/>
        <v>1</v>
      </c>
    </row>
    <row r="18" spans="1:29" ht="15">
      <c r="A18" s="408"/>
      <c r="B18" s="436"/>
      <c r="C18" s="437" t="s">
        <v>29</v>
      </c>
      <c r="D18" s="430"/>
      <c r="E18" s="1464" t="s">
        <v>29</v>
      </c>
      <c r="F18" s="433"/>
      <c r="G18" s="2402" t="s">
        <v>29</v>
      </c>
      <c r="H18" s="427"/>
      <c r="I18" s="1464" t="s">
        <v>29</v>
      </c>
      <c r="J18" s="427"/>
      <c r="K18" s="599"/>
      <c r="L18" s="1249"/>
      <c r="M18" s="1240"/>
      <c r="N18" s="1240"/>
      <c r="O18" s="1240"/>
      <c r="P18" s="3152"/>
      <c r="Q18" s="1894"/>
      <c r="R18" s="753"/>
      <c r="S18" s="754"/>
      <c r="T18" s="753"/>
      <c r="U18" s="754"/>
      <c r="V18" s="753"/>
      <c r="W18" s="754"/>
      <c r="X18" s="1895"/>
      <c r="Y18" s="3154"/>
      <c r="Z18" s="1897"/>
      <c r="AA18" s="1898">
        <v>1</v>
      </c>
      <c r="AB18" s="1898">
        <v>1</v>
      </c>
      <c r="AC18" s="1898">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52"/>
      <c r="Q19" s="1894" t="str">
        <f>B19</f>
        <v>公共配套设施</v>
      </c>
      <c r="R19" s="753" t="s">
        <v>25</v>
      </c>
      <c r="S19" s="754">
        <f>F19</f>
        <v>100</v>
      </c>
      <c r="T19" s="753" t="s">
        <v>25</v>
      </c>
      <c r="U19" s="754">
        <f>H19</f>
        <v>100</v>
      </c>
      <c r="V19" s="753" t="s">
        <v>25</v>
      </c>
      <c r="W19" s="754">
        <f>J19</f>
        <v>100</v>
      </c>
      <c r="X19" s="1895"/>
      <c r="Y19" s="3154"/>
      <c r="Z19" s="1897" t="str">
        <f>Q19</f>
        <v>公共配套设施</v>
      </c>
      <c r="AA19" s="1898">
        <f t="shared" si="3"/>
        <v>1</v>
      </c>
      <c r="AB19" s="1898">
        <f t="shared" si="4"/>
        <v>1</v>
      </c>
      <c r="AC19" s="1898">
        <f t="shared" si="5"/>
        <v>1</v>
      </c>
    </row>
    <row r="20" spans="1:29" ht="14.25" customHeight="1">
      <c r="A20" s="408"/>
      <c r="B20" s="436"/>
      <c r="C20" s="426" t="s">
        <v>29</v>
      </c>
      <c r="D20" s="427"/>
      <c r="E20" s="428" t="s">
        <v>29</v>
      </c>
      <c r="F20" s="429"/>
      <c r="G20" s="2399" t="s">
        <v>29</v>
      </c>
      <c r="H20" s="427"/>
      <c r="I20" s="428" t="s">
        <v>29</v>
      </c>
      <c r="J20" s="427"/>
      <c r="K20" s="599"/>
      <c r="L20" s="1249"/>
      <c r="M20" s="1240"/>
      <c r="N20" s="1240"/>
      <c r="O20" s="1240"/>
      <c r="P20" s="3152"/>
      <c r="Q20" s="1894"/>
      <c r="R20" s="753"/>
      <c r="S20" s="754"/>
      <c r="T20" s="753"/>
      <c r="U20" s="754"/>
      <c r="V20" s="753"/>
      <c r="W20" s="754"/>
      <c r="X20" s="1895"/>
      <c r="Y20" s="3154"/>
      <c r="Z20" s="1897"/>
      <c r="AA20" s="1898">
        <v>1</v>
      </c>
      <c r="AB20" s="1898">
        <v>1</v>
      </c>
      <c r="AC20" s="1898">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52"/>
      <c r="Q21" s="1894" t="str">
        <f>B21</f>
        <v>基础设施水平</v>
      </c>
      <c r="R21" s="753" t="s">
        <v>25</v>
      </c>
      <c r="S21" s="754">
        <f>F21</f>
        <v>100</v>
      </c>
      <c r="T21" s="753" t="s">
        <v>25</v>
      </c>
      <c r="U21" s="754">
        <f>H21</f>
        <v>100</v>
      </c>
      <c r="V21" s="753" t="s">
        <v>25</v>
      </c>
      <c r="W21" s="754">
        <f>J21</f>
        <v>100</v>
      </c>
      <c r="X21" s="1895"/>
      <c r="Y21" s="3154"/>
      <c r="Z21" s="1897" t="str">
        <f>Q21</f>
        <v>基础设施水平</v>
      </c>
      <c r="AA21" s="1898">
        <f t="shared" ref="AA21" si="8">D21/F21</f>
        <v>1</v>
      </c>
      <c r="AB21" s="1898">
        <f t="shared" ref="AB21" si="9">D21/H21</f>
        <v>1</v>
      </c>
      <c r="AC21" s="1898">
        <f t="shared" ref="AC21" si="10">D21/J21</f>
        <v>1</v>
      </c>
    </row>
    <row r="22" spans="1:29" ht="15">
      <c r="A22" s="408"/>
      <c r="B22" s="2403"/>
      <c r="C22" s="437" t="s">
        <v>3054</v>
      </c>
      <c r="D22" s="427"/>
      <c r="E22" s="426" t="s">
        <v>3054</v>
      </c>
      <c r="F22" s="429"/>
      <c r="G22" s="426" t="s">
        <v>3054</v>
      </c>
      <c r="H22" s="427"/>
      <c r="I22" s="426" t="s">
        <v>3054</v>
      </c>
      <c r="J22" s="427"/>
      <c r="K22" s="1465"/>
      <c r="L22" s="1249"/>
      <c r="M22" s="1240"/>
      <c r="N22" s="1240"/>
      <c r="O22" s="1240"/>
      <c r="P22" s="3152"/>
      <c r="Q22" s="1894"/>
      <c r="R22" s="753"/>
      <c r="S22" s="754"/>
      <c r="T22" s="753"/>
      <c r="U22" s="754"/>
      <c r="V22" s="753"/>
      <c r="W22" s="754"/>
      <c r="X22" s="1895"/>
      <c r="Y22" s="3154"/>
      <c r="Z22" s="1897"/>
      <c r="AA22" s="1898">
        <v>1</v>
      </c>
      <c r="AB22" s="1898">
        <v>1</v>
      </c>
      <c r="AC22" s="1898">
        <v>1</v>
      </c>
    </row>
    <row r="23" spans="1:29" ht="114">
      <c r="A23" s="408"/>
      <c r="B23" s="431" t="s">
        <v>1748</v>
      </c>
      <c r="C23" s="2452" t="str">
        <f>估价对象房地状况!C9</f>
        <v>区域自然环境：常营公园、五里桥公园；人文环境：北京科技大学（管庄校区）、北京政法职业学院；综合评价环境状况好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52"/>
      <c r="Q23" s="1894" t="str">
        <f>B23</f>
        <v>自然及人文环境</v>
      </c>
      <c r="R23" s="753" t="s">
        <v>25</v>
      </c>
      <c r="S23" s="754">
        <f>F23</f>
        <v>100</v>
      </c>
      <c r="T23" s="753" t="s">
        <v>25</v>
      </c>
      <c r="U23" s="754">
        <f>H23</f>
        <v>100</v>
      </c>
      <c r="V23" s="753" t="s">
        <v>25</v>
      </c>
      <c r="W23" s="754">
        <f>J23</f>
        <v>100</v>
      </c>
      <c r="X23" s="1895"/>
      <c r="Y23" s="3154"/>
      <c r="Z23" s="1897" t="str">
        <f>Q23</f>
        <v>自然及人文环境</v>
      </c>
      <c r="AA23" s="1898">
        <f t="shared" si="3"/>
        <v>1</v>
      </c>
      <c r="AB23" s="1898">
        <f t="shared" si="4"/>
        <v>1</v>
      </c>
      <c r="AC23" s="1898">
        <f t="shared" si="5"/>
        <v>1</v>
      </c>
    </row>
    <row r="24" spans="1:29" ht="15">
      <c r="A24" s="408"/>
      <c r="B24" s="436"/>
      <c r="C24" s="426" t="s">
        <v>30</v>
      </c>
      <c r="D24" s="427"/>
      <c r="E24" s="428" t="s">
        <v>30</v>
      </c>
      <c r="F24" s="429"/>
      <c r="G24" s="2399" t="s">
        <v>30</v>
      </c>
      <c r="H24" s="427"/>
      <c r="I24" s="428" t="s">
        <v>30</v>
      </c>
      <c r="J24" s="427"/>
      <c r="K24" s="599"/>
      <c r="L24" s="1249"/>
      <c r="M24" s="1240"/>
      <c r="N24" s="1240"/>
      <c r="O24" s="1240"/>
      <c r="P24" s="3152"/>
      <c r="Q24" s="1894"/>
      <c r="R24" s="753"/>
      <c r="S24" s="754"/>
      <c r="T24" s="753"/>
      <c r="U24" s="754"/>
      <c r="V24" s="753"/>
      <c r="W24" s="754"/>
      <c r="X24" s="1895"/>
      <c r="Y24" s="3154"/>
      <c r="Z24" s="1897"/>
      <c r="AA24" s="1898">
        <v>1</v>
      </c>
      <c r="AB24" s="1898">
        <v>1</v>
      </c>
      <c r="AC24" s="1898">
        <v>1</v>
      </c>
    </row>
    <row r="25" spans="1:29" ht="15.75" thickBot="1">
      <c r="A25" s="408"/>
      <c r="B25" s="402" t="s">
        <v>2445</v>
      </c>
      <c r="C25" s="600" t="s">
        <v>3163</v>
      </c>
      <c r="D25" s="415">
        <v>100</v>
      </c>
      <c r="E25" s="600" t="s">
        <v>3055</v>
      </c>
      <c r="F25" s="442">
        <f>SUMIF(86:86,E25,87:87)-SUMIF(86:86,C25,87:87)+100</f>
        <v>97</v>
      </c>
      <c r="G25" s="600" t="s">
        <v>3055</v>
      </c>
      <c r="H25" s="415">
        <f>SUMIF(86:86,G25,87:87)-SUMIF(86:86,C25,87:87)+100</f>
        <v>97</v>
      </c>
      <c r="I25" s="600" t="s">
        <v>3055</v>
      </c>
      <c r="J25" s="415">
        <f>SUMIF(86:86,I25,87:87)-SUMIF(86:86,C25,87:87)+100</f>
        <v>97</v>
      </c>
      <c r="K25" s="596">
        <v>3</v>
      </c>
      <c r="L25" s="1249"/>
      <c r="M25" s="1240"/>
      <c r="N25" s="1240"/>
      <c r="O25" s="1240"/>
      <c r="P25" s="3152"/>
      <c r="Q25" s="1894" t="str">
        <f t="shared" ref="Q25:Q46" si="11">B25</f>
        <v>临街状况</v>
      </c>
      <c r="R25" s="753" t="s">
        <v>25</v>
      </c>
      <c r="S25" s="754">
        <f>F25</f>
        <v>97</v>
      </c>
      <c r="T25" s="753" t="s">
        <v>25</v>
      </c>
      <c r="U25" s="754">
        <f>H25</f>
        <v>97</v>
      </c>
      <c r="V25" s="753" t="s">
        <v>25</v>
      </c>
      <c r="W25" s="754">
        <f>J25</f>
        <v>97</v>
      </c>
      <c r="X25" s="1895"/>
      <c r="Y25" s="3154"/>
      <c r="Z25" s="1897" t="str">
        <f>Q25</f>
        <v>临街状况</v>
      </c>
      <c r="AA25" s="1898">
        <f t="shared" si="3"/>
        <v>1.0309278350515463</v>
      </c>
      <c r="AB25" s="1898">
        <f t="shared" si="4"/>
        <v>1.0309278350515463</v>
      </c>
      <c r="AC25" s="1898">
        <f t="shared" si="5"/>
        <v>1.0309278350515463</v>
      </c>
    </row>
    <row r="26" spans="1:29" ht="28.5" thickTop="1">
      <c r="A26" s="408"/>
      <c r="B26" s="2846" t="s">
        <v>3123</v>
      </c>
      <c r="C26" s="2844" t="s">
        <v>3120</v>
      </c>
      <c r="D26" s="415">
        <v>100</v>
      </c>
      <c r="E26" s="537" t="s">
        <v>3124</v>
      </c>
      <c r="F26" s="442">
        <f>SUMIF(88:88,E26,89:89)-SUMIF(88:88,C26,89:89)+100</f>
        <v>100</v>
      </c>
      <c r="G26" s="537" t="s">
        <v>3164</v>
      </c>
      <c r="H26" s="415">
        <f>SUMIF(88:88,G26,89:89)-SUMIF(88:88,C26,89:89)+100</f>
        <v>100</v>
      </c>
      <c r="I26" s="2844" t="s">
        <v>3165</v>
      </c>
      <c r="J26" s="415">
        <f>SUMIF(88:88,I26,89:89)-SUMIF(88:88,C26,89:89)+100</f>
        <v>100</v>
      </c>
      <c r="K26" s="597"/>
      <c r="L26" s="1249"/>
      <c r="M26" s="1240"/>
      <c r="N26" s="1240"/>
      <c r="O26" s="1240"/>
      <c r="P26" s="3152"/>
      <c r="Q26" s="1894" t="str">
        <f t="shared" si="11"/>
        <v>道路级别</v>
      </c>
      <c r="R26" s="753" t="s">
        <v>25</v>
      </c>
      <c r="S26" s="754">
        <f>F26</f>
        <v>100</v>
      </c>
      <c r="T26" s="753" t="s">
        <v>25</v>
      </c>
      <c r="U26" s="754">
        <f>H26</f>
        <v>100</v>
      </c>
      <c r="V26" s="753" t="s">
        <v>25</v>
      </c>
      <c r="W26" s="754">
        <f>J26</f>
        <v>100</v>
      </c>
      <c r="X26" s="1895"/>
      <c r="Y26" s="3154"/>
      <c r="Z26" s="1897" t="str">
        <f>Q26</f>
        <v>道路级别</v>
      </c>
      <c r="AA26" s="1898">
        <f t="shared" si="3"/>
        <v>1</v>
      </c>
      <c r="AB26" s="1898">
        <f t="shared" si="4"/>
        <v>1</v>
      </c>
      <c r="AC26" s="1898">
        <f t="shared" si="5"/>
        <v>1</v>
      </c>
    </row>
    <row r="27" spans="1:29" s="35" customFormat="1" ht="15">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52"/>
      <c r="Q27" s="1882" t="str">
        <f t="shared" si="11"/>
        <v>人流量</v>
      </c>
      <c r="R27" s="749" t="s">
        <v>25</v>
      </c>
      <c r="S27" s="750">
        <f>F27</f>
        <v>100</v>
      </c>
      <c r="T27" s="749" t="s">
        <v>25</v>
      </c>
      <c r="U27" s="750">
        <f>H27</f>
        <v>100</v>
      </c>
      <c r="V27" s="749" t="s">
        <v>25</v>
      </c>
      <c r="W27" s="750">
        <f>J27</f>
        <v>100</v>
      </c>
      <c r="X27" s="751"/>
      <c r="Y27" s="3154"/>
      <c r="Z27" s="23" t="str">
        <f>Q27</f>
        <v>人流量</v>
      </c>
      <c r="AA27" s="1898">
        <f>D27/F27</f>
        <v>1</v>
      </c>
      <c r="AB27" s="1898">
        <f>D27/H27</f>
        <v>1</v>
      </c>
      <c r="AC27" s="1898">
        <f>D27/J27</f>
        <v>1</v>
      </c>
    </row>
    <row r="28" spans="1:29" ht="15" hidden="1">
      <c r="A28" s="408"/>
      <c r="B28" s="402" t="s">
        <v>2447</v>
      </c>
      <c r="C28" s="600" t="s">
        <v>3068</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52"/>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154"/>
      <c r="Z28" s="1897" t="str">
        <f t="shared" ref="Z28:Z46" si="15">Q28</f>
        <v>楼层</v>
      </c>
      <c r="AA28" s="1898">
        <f t="shared" si="3"/>
        <v>1</v>
      </c>
      <c r="AB28" s="1898">
        <f t="shared" si="4"/>
        <v>1</v>
      </c>
      <c r="AC28" s="1898">
        <f t="shared" si="5"/>
        <v>1</v>
      </c>
    </row>
    <row r="29" spans="1:29" ht="15.75" thickBot="1">
      <c r="A29" s="408"/>
      <c r="B29" s="2846" t="s">
        <v>3069</v>
      </c>
      <c r="C29" s="414" t="s">
        <v>3125</v>
      </c>
      <c r="D29" s="415">
        <v>100</v>
      </c>
      <c r="E29" s="414" t="s">
        <v>3086</v>
      </c>
      <c r="F29" s="442">
        <f>SUMIF(94:94,E29,95:95)-SUMIF(94:94,C29,95:95)+100</f>
        <v>115</v>
      </c>
      <c r="G29" s="414" t="s">
        <v>3086</v>
      </c>
      <c r="H29" s="415">
        <f>SUMIF(94:94,G29,95:95)-SUMIF(94:94,C29,95:95)+100</f>
        <v>115</v>
      </c>
      <c r="I29" s="414" t="s">
        <v>3086</v>
      </c>
      <c r="J29" s="415">
        <f>SUMIF(94:94,I29,95:95)-SUMIF(94:94,C29,95:95)+100</f>
        <v>115</v>
      </c>
      <c r="K29" s="597"/>
      <c r="L29" s="1249"/>
      <c r="M29" s="1240"/>
      <c r="N29" s="1240"/>
      <c r="O29" s="1240"/>
      <c r="P29" s="3152"/>
      <c r="Q29" s="1894" t="str">
        <f t="shared" si="11"/>
        <v>所在楼层</v>
      </c>
      <c r="R29" s="753" t="s">
        <v>25</v>
      </c>
      <c r="S29" s="754">
        <f t="shared" si="12"/>
        <v>115</v>
      </c>
      <c r="T29" s="753" t="s">
        <v>25</v>
      </c>
      <c r="U29" s="754">
        <f t="shared" si="13"/>
        <v>115</v>
      </c>
      <c r="V29" s="753" t="s">
        <v>25</v>
      </c>
      <c r="W29" s="754">
        <f t="shared" si="14"/>
        <v>115</v>
      </c>
      <c r="X29" s="1895"/>
      <c r="Y29" s="3154"/>
      <c r="Z29" s="1897" t="str">
        <f t="shared" si="15"/>
        <v>所在楼层</v>
      </c>
      <c r="AA29" s="1898">
        <f t="shared" si="3"/>
        <v>0.86956521739130432</v>
      </c>
      <c r="AB29" s="1898">
        <f t="shared" si="4"/>
        <v>0.86956521739130432</v>
      </c>
      <c r="AC29" s="1898">
        <f t="shared" si="5"/>
        <v>0.86956521739130432</v>
      </c>
    </row>
    <row r="30" spans="1:29" ht="15" hidden="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52"/>
      <c r="Q30" s="1894">
        <f t="shared" si="11"/>
        <v>111</v>
      </c>
      <c r="R30" s="753" t="s">
        <v>25</v>
      </c>
      <c r="S30" s="754">
        <f t="shared" si="12"/>
        <v>100</v>
      </c>
      <c r="T30" s="753" t="s">
        <v>25</v>
      </c>
      <c r="U30" s="754">
        <f t="shared" si="13"/>
        <v>100</v>
      </c>
      <c r="V30" s="753" t="s">
        <v>25</v>
      </c>
      <c r="W30" s="754">
        <f t="shared" si="14"/>
        <v>100</v>
      </c>
      <c r="X30" s="1895"/>
      <c r="Y30" s="3154"/>
      <c r="Z30" s="1897">
        <f t="shared" si="15"/>
        <v>111</v>
      </c>
      <c r="AA30" s="1898">
        <f t="shared" si="3"/>
        <v>1</v>
      </c>
      <c r="AB30" s="1898">
        <f t="shared" si="4"/>
        <v>1</v>
      </c>
      <c r="AC30" s="1898">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52"/>
      <c r="Q31" s="1894">
        <f t="shared" si="11"/>
        <v>111</v>
      </c>
      <c r="R31" s="753" t="s">
        <v>25</v>
      </c>
      <c r="S31" s="754">
        <f t="shared" si="12"/>
        <v>100</v>
      </c>
      <c r="T31" s="753" t="s">
        <v>25</v>
      </c>
      <c r="U31" s="754">
        <f t="shared" si="13"/>
        <v>100</v>
      </c>
      <c r="V31" s="753" t="s">
        <v>25</v>
      </c>
      <c r="W31" s="754">
        <f t="shared" si="14"/>
        <v>100</v>
      </c>
      <c r="X31" s="1895"/>
      <c r="Y31" s="3154"/>
      <c r="Z31" s="1897">
        <f t="shared" si="15"/>
        <v>111</v>
      </c>
      <c r="AA31" s="1898">
        <f t="shared" si="3"/>
        <v>1</v>
      </c>
      <c r="AB31" s="1898">
        <f t="shared" si="4"/>
        <v>1</v>
      </c>
      <c r="AC31" s="1898">
        <f t="shared" si="5"/>
        <v>1</v>
      </c>
    </row>
    <row r="32" spans="1:29" ht="15">
      <c r="A32" s="419" t="s">
        <v>2361</v>
      </c>
      <c r="B32" s="28" t="s">
        <v>2448</v>
      </c>
      <c r="C32" s="2408" t="s">
        <v>3166</v>
      </c>
      <c r="D32" s="448">
        <v>100</v>
      </c>
      <c r="E32" s="2408" t="s">
        <v>3062</v>
      </c>
      <c r="F32" s="442">
        <f>SUMIF(100:100,E32,101:101)-SUMIF(100:100,C32,101:101)+100</f>
        <v>102</v>
      </c>
      <c r="G32" s="2408" t="s">
        <v>3062</v>
      </c>
      <c r="H32" s="415">
        <f>SUMIF(100:100,G32,101:101)-SUMIF(100:100,C32,101:101)+100</f>
        <v>102</v>
      </c>
      <c r="I32" s="2408" t="s">
        <v>3062</v>
      </c>
      <c r="J32" s="448">
        <f>SUMIF(100:100,I32,101:101)-SUMIF(100:100,C32,101:101)+100</f>
        <v>102</v>
      </c>
      <c r="K32" s="596">
        <v>2</v>
      </c>
      <c r="L32" s="1249"/>
      <c r="M32" s="1240"/>
      <c r="N32" s="1240"/>
      <c r="O32" s="1240"/>
      <c r="P32" s="3155" t="s">
        <v>2363</v>
      </c>
      <c r="Q32" s="1894" t="str">
        <f t="shared" si="11"/>
        <v>商业类型</v>
      </c>
      <c r="R32" s="753" t="s">
        <v>25</v>
      </c>
      <c r="S32" s="754">
        <f t="shared" si="12"/>
        <v>102</v>
      </c>
      <c r="T32" s="753" t="s">
        <v>25</v>
      </c>
      <c r="U32" s="754">
        <f t="shared" si="13"/>
        <v>102</v>
      </c>
      <c r="V32" s="753" t="s">
        <v>25</v>
      </c>
      <c r="W32" s="754">
        <f t="shared" si="14"/>
        <v>102</v>
      </c>
      <c r="X32" s="1895"/>
      <c r="Y32" s="3158" t="s">
        <v>2363</v>
      </c>
      <c r="Z32" s="1897" t="str">
        <f t="shared" si="15"/>
        <v>商业类型</v>
      </c>
      <c r="AA32" s="1898">
        <f t="shared" si="3"/>
        <v>0.98039215686274506</v>
      </c>
      <c r="AB32" s="1898">
        <f t="shared" si="4"/>
        <v>0.98039215686274506</v>
      </c>
      <c r="AC32" s="1898">
        <f t="shared" si="5"/>
        <v>0.98039215686274506</v>
      </c>
    </row>
    <row r="33" spans="1:29" s="452" customFormat="1" ht="15">
      <c r="A33" s="449"/>
      <c r="B33" s="402" t="s">
        <v>2364</v>
      </c>
      <c r="C33" s="450">
        <f>项目基本情况!C12</f>
        <v>392.22</v>
      </c>
      <c r="D33" s="52">
        <v>100</v>
      </c>
      <c r="E33" s="410">
        <v>180</v>
      </c>
      <c r="F33" s="405">
        <f>LOOKUP(E33,103:103,104:104)-LOOKUP(C33,103:103,104:104)+100</f>
        <v>103</v>
      </c>
      <c r="G33" s="409">
        <v>131.83000000000001</v>
      </c>
      <c r="H33" s="52">
        <f>LOOKUP(G33,103:103,104:104)-LOOKUP(C33,103:103,104:104)+100</f>
        <v>103</v>
      </c>
      <c r="I33" s="409">
        <v>166</v>
      </c>
      <c r="J33" s="52">
        <f>LOOKUP(I33,103:103,104:104)-LOOKUP(C33,103:103,104:104)+100</f>
        <v>103</v>
      </c>
      <c r="K33" s="597"/>
      <c r="L33" s="1247"/>
      <c r="M33" s="1250"/>
      <c r="N33" s="1250"/>
      <c r="O33" s="1250"/>
      <c r="P33" s="3156"/>
      <c r="Q33" s="755" t="str">
        <f t="shared" si="11"/>
        <v>项目建筑规模</v>
      </c>
      <c r="R33" s="756" t="s">
        <v>25</v>
      </c>
      <c r="S33" s="757">
        <f t="shared" si="12"/>
        <v>103</v>
      </c>
      <c r="T33" s="756" t="s">
        <v>25</v>
      </c>
      <c r="U33" s="757">
        <f t="shared" si="13"/>
        <v>103</v>
      </c>
      <c r="V33" s="756" t="s">
        <v>25</v>
      </c>
      <c r="W33" s="757">
        <f t="shared" si="14"/>
        <v>103</v>
      </c>
      <c r="X33" s="758"/>
      <c r="Y33" s="3158"/>
      <c r="Z33" s="759" t="str">
        <f t="shared" si="15"/>
        <v>项目建筑规模</v>
      </c>
      <c r="AA33" s="1898">
        <f t="shared" si="3"/>
        <v>0.970873786407767</v>
      </c>
      <c r="AB33" s="1898">
        <f t="shared" si="4"/>
        <v>0.970873786407767</v>
      </c>
      <c r="AC33" s="1898">
        <f t="shared" si="5"/>
        <v>0.970873786407767</v>
      </c>
    </row>
    <row r="34" spans="1:29" ht="15">
      <c r="A34" s="453"/>
      <c r="B34" s="402"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56"/>
      <c r="Q34" s="1894" t="str">
        <f t="shared" si="11"/>
        <v>建筑结构</v>
      </c>
      <c r="R34" s="753" t="s">
        <v>25</v>
      </c>
      <c r="S34" s="754">
        <f t="shared" si="12"/>
        <v>100</v>
      </c>
      <c r="T34" s="753" t="s">
        <v>25</v>
      </c>
      <c r="U34" s="754">
        <f t="shared" si="13"/>
        <v>100</v>
      </c>
      <c r="V34" s="753" t="s">
        <v>25</v>
      </c>
      <c r="W34" s="754">
        <f t="shared" si="14"/>
        <v>100</v>
      </c>
      <c r="X34" s="1895"/>
      <c r="Y34" s="3158"/>
      <c r="Z34" s="1897" t="str">
        <f t="shared" si="15"/>
        <v>建筑结构</v>
      </c>
      <c r="AA34" s="1898">
        <f t="shared" si="3"/>
        <v>1</v>
      </c>
      <c r="AB34" s="1898">
        <f t="shared" si="4"/>
        <v>1</v>
      </c>
      <c r="AC34" s="1898">
        <f t="shared" si="5"/>
        <v>1</v>
      </c>
    </row>
    <row r="35" spans="1:29" ht="15">
      <c r="A35" s="453"/>
      <c r="B35" s="402"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56"/>
      <c r="Q35" s="1894" t="str">
        <f t="shared" si="11"/>
        <v>公共部分装修</v>
      </c>
      <c r="R35" s="753" t="s">
        <v>25</v>
      </c>
      <c r="S35" s="754">
        <f t="shared" si="12"/>
        <v>100</v>
      </c>
      <c r="T35" s="753" t="s">
        <v>25</v>
      </c>
      <c r="U35" s="754">
        <f t="shared" si="13"/>
        <v>100</v>
      </c>
      <c r="V35" s="753" t="s">
        <v>25</v>
      </c>
      <c r="W35" s="754">
        <f t="shared" si="14"/>
        <v>100</v>
      </c>
      <c r="X35" s="1895"/>
      <c r="Y35" s="3158"/>
      <c r="Z35" s="1897" t="str">
        <f t="shared" si="15"/>
        <v>公共部分装修</v>
      </c>
      <c r="AA35" s="1898">
        <f t="shared" si="3"/>
        <v>1</v>
      </c>
      <c r="AB35" s="1898">
        <f t="shared" si="4"/>
        <v>1</v>
      </c>
      <c r="AC35" s="1898">
        <f t="shared" si="5"/>
        <v>1</v>
      </c>
    </row>
    <row r="36" spans="1:29" ht="15" hidden="1">
      <c r="A36" s="453"/>
      <c r="B36" s="402" t="s">
        <v>2450</v>
      </c>
      <c r="C36" s="455">
        <f>'数据-取费表'!E20</f>
        <v>0.85</v>
      </c>
      <c r="D36" s="415">
        <v>100</v>
      </c>
      <c r="E36" s="455">
        <v>0.8</v>
      </c>
      <c r="F36" s="442">
        <f>LOOKUP(E36,110:110,111:111)-LOOKUP(C36,110:110,111:111)+100</f>
        <v>100</v>
      </c>
      <c r="G36" s="455">
        <v>0.8</v>
      </c>
      <c r="H36" s="442">
        <f>LOOKUP(G36,110:110,111:111)-LOOKUP(C36,110:110,111:111)+100</f>
        <v>100</v>
      </c>
      <c r="I36" s="455">
        <v>0.8</v>
      </c>
      <c r="J36" s="415">
        <f>LOOKUP(I36,110:110,111:111)-LOOKUP(C36,110:110,111:111)+100</f>
        <v>100</v>
      </c>
      <c r="K36" s="596"/>
      <c r="L36" s="1249"/>
      <c r="M36" s="1240"/>
      <c r="N36" s="1240"/>
      <c r="O36" s="1240"/>
      <c r="P36" s="3156"/>
      <c r="Q36" s="1894" t="str">
        <f t="shared" si="11"/>
        <v>成新度</v>
      </c>
      <c r="R36" s="753" t="s">
        <v>25</v>
      </c>
      <c r="S36" s="754">
        <f t="shared" si="12"/>
        <v>100</v>
      </c>
      <c r="T36" s="753" t="s">
        <v>25</v>
      </c>
      <c r="U36" s="754">
        <f t="shared" si="13"/>
        <v>100</v>
      </c>
      <c r="V36" s="753" t="s">
        <v>25</v>
      </c>
      <c r="W36" s="754">
        <f t="shared" si="14"/>
        <v>100</v>
      </c>
      <c r="X36" s="1895"/>
      <c r="Y36" s="3158"/>
      <c r="Z36" s="1897" t="str">
        <f t="shared" si="15"/>
        <v>成新度</v>
      </c>
      <c r="AA36" s="1898">
        <f t="shared" si="3"/>
        <v>1</v>
      </c>
      <c r="AB36" s="1898">
        <f t="shared" si="4"/>
        <v>1</v>
      </c>
      <c r="AC36" s="1898">
        <f t="shared" si="5"/>
        <v>1</v>
      </c>
    </row>
    <row r="37" spans="1:29" s="35" customFormat="1" ht="15">
      <c r="A37" s="454"/>
      <c r="B37" s="402" t="s">
        <v>2451</v>
      </c>
      <c r="C37" s="2406" t="s">
        <v>3129</v>
      </c>
      <c r="D37" s="52">
        <v>100</v>
      </c>
      <c r="E37" s="2406" t="s">
        <v>3129</v>
      </c>
      <c r="F37" s="442">
        <f>SUMIF(112:112,E37,113:113)-SUMIF(112:112,C37,113:113)+100</f>
        <v>100</v>
      </c>
      <c r="G37" s="2406" t="s">
        <v>3129</v>
      </c>
      <c r="H37" s="415">
        <f>SUMIF(112:112,G37,113:113)-SUMIF(112:112,C37,113:113)+100</f>
        <v>100</v>
      </c>
      <c r="I37" s="2406" t="s">
        <v>3129</v>
      </c>
      <c r="J37" s="415">
        <f>SUMIF(112:112,I37,113:113)-SUMIF(112:112,C37,113:113)+100</f>
        <v>100</v>
      </c>
      <c r="K37" s="596"/>
      <c r="L37" s="1241"/>
      <c r="M37" s="1242"/>
      <c r="N37" s="1242"/>
      <c r="O37" s="1242"/>
      <c r="P37" s="3156"/>
      <c r="Q37" s="1882" t="str">
        <f t="shared" si="11"/>
        <v>市政基础设施</v>
      </c>
      <c r="R37" s="749" t="s">
        <v>25</v>
      </c>
      <c r="S37" s="750">
        <f t="shared" si="12"/>
        <v>100</v>
      </c>
      <c r="T37" s="749" t="s">
        <v>25</v>
      </c>
      <c r="U37" s="750">
        <f t="shared" si="13"/>
        <v>100</v>
      </c>
      <c r="V37" s="749" t="s">
        <v>25</v>
      </c>
      <c r="W37" s="750">
        <f t="shared" si="14"/>
        <v>100</v>
      </c>
      <c r="X37" s="751"/>
      <c r="Y37" s="3158"/>
      <c r="Z37" s="23" t="str">
        <f t="shared" si="15"/>
        <v>市政基础设施</v>
      </c>
      <c r="AA37" s="752">
        <f t="shared" si="3"/>
        <v>1</v>
      </c>
      <c r="AB37" s="752">
        <f t="shared" si="4"/>
        <v>1</v>
      </c>
      <c r="AC37" s="752">
        <f t="shared" si="5"/>
        <v>1</v>
      </c>
    </row>
    <row r="38" spans="1:29" ht="15" hidden="1">
      <c r="A38" s="453"/>
      <c r="B38" s="402"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56" t="s">
        <v>2363</v>
      </c>
      <c r="Q38" s="1894" t="str">
        <f t="shared" si="11"/>
        <v>业态</v>
      </c>
      <c r="R38" s="753" t="s">
        <v>25</v>
      </c>
      <c r="S38" s="754">
        <f t="shared" si="12"/>
        <v>100</v>
      </c>
      <c r="T38" s="753" t="s">
        <v>25</v>
      </c>
      <c r="U38" s="754">
        <f t="shared" si="13"/>
        <v>100</v>
      </c>
      <c r="V38" s="753" t="s">
        <v>25</v>
      </c>
      <c r="W38" s="754">
        <f t="shared" si="14"/>
        <v>100</v>
      </c>
      <c r="X38" s="1895"/>
      <c r="Y38" s="3158" t="s">
        <v>2363</v>
      </c>
      <c r="Z38" s="1897" t="str">
        <f t="shared" si="15"/>
        <v>业态</v>
      </c>
      <c r="AA38" s="1898">
        <f t="shared" si="3"/>
        <v>1</v>
      </c>
      <c r="AB38" s="1898">
        <f t="shared" si="4"/>
        <v>1</v>
      </c>
      <c r="AC38" s="1898">
        <f t="shared" si="5"/>
        <v>1</v>
      </c>
    </row>
    <row r="39" spans="1:29" ht="15">
      <c r="A39" s="453"/>
      <c r="B39" s="402" t="s">
        <v>2453</v>
      </c>
      <c r="C39" s="2406" t="s">
        <v>3067</v>
      </c>
      <c r="D39" s="415">
        <v>100</v>
      </c>
      <c r="E39" s="2406" t="s">
        <v>3067</v>
      </c>
      <c r="F39" s="442">
        <f>SUMIF(116:116,E39,117:117)-SUMIF(116:116,C39,117:117)+100</f>
        <v>100</v>
      </c>
      <c r="G39" s="2406" t="s">
        <v>3067</v>
      </c>
      <c r="H39" s="415">
        <f>SUMIF(116:116,G39,117:117)-SUMIF(116:116,C39,117:117)+100</f>
        <v>100</v>
      </c>
      <c r="I39" s="2406" t="s">
        <v>3067</v>
      </c>
      <c r="J39" s="415">
        <f>SUMIF(116:116,I39,117:117)-SUMIF(116:116,C39,117:117)+100</f>
        <v>100</v>
      </c>
      <c r="K39" s="596"/>
      <c r="L39" s="1249"/>
      <c r="M39" s="1240"/>
      <c r="N39" s="1240"/>
      <c r="O39" s="1240"/>
      <c r="P39" s="3156"/>
      <c r="Q39" s="1894" t="str">
        <f t="shared" si="11"/>
        <v>层高</v>
      </c>
      <c r="R39" s="753" t="s">
        <v>25</v>
      </c>
      <c r="S39" s="754">
        <f t="shared" si="12"/>
        <v>100</v>
      </c>
      <c r="T39" s="753" t="s">
        <v>25</v>
      </c>
      <c r="U39" s="754">
        <f t="shared" si="13"/>
        <v>100</v>
      </c>
      <c r="V39" s="753" t="s">
        <v>25</v>
      </c>
      <c r="W39" s="754">
        <f t="shared" si="14"/>
        <v>100</v>
      </c>
      <c r="X39" s="1895"/>
      <c r="Y39" s="3158"/>
      <c r="Z39" s="1897" t="str">
        <f t="shared" si="15"/>
        <v>层高</v>
      </c>
      <c r="AA39" s="1898">
        <f t="shared" si="3"/>
        <v>1</v>
      </c>
      <c r="AB39" s="1898">
        <f t="shared" si="4"/>
        <v>1</v>
      </c>
      <c r="AC39" s="1898">
        <f t="shared" si="5"/>
        <v>1</v>
      </c>
    </row>
    <row r="40" spans="1:29" ht="15" hidden="1">
      <c r="A40" s="453"/>
      <c r="B40" s="402"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56"/>
      <c r="Q40" s="1894" t="str">
        <f t="shared" si="11"/>
        <v>单套建筑面积</v>
      </c>
      <c r="R40" s="753" t="s">
        <v>25</v>
      </c>
      <c r="S40" s="754">
        <f t="shared" si="12"/>
        <v>100</v>
      </c>
      <c r="T40" s="753" t="s">
        <v>25</v>
      </c>
      <c r="U40" s="754">
        <f t="shared" si="13"/>
        <v>100</v>
      </c>
      <c r="V40" s="753" t="s">
        <v>25</v>
      </c>
      <c r="W40" s="754">
        <f t="shared" si="14"/>
        <v>100</v>
      </c>
      <c r="X40" s="1895"/>
      <c r="Y40" s="3158"/>
      <c r="Z40" s="1897" t="str">
        <f t="shared" si="15"/>
        <v>单套建筑面积</v>
      </c>
      <c r="AA40" s="1898">
        <f t="shared" si="3"/>
        <v>1</v>
      </c>
      <c r="AB40" s="1898">
        <f t="shared" si="4"/>
        <v>1</v>
      </c>
      <c r="AC40" s="1898">
        <f t="shared" si="5"/>
        <v>1</v>
      </c>
    </row>
    <row r="41" spans="1:29" s="452" customFormat="1" ht="15" hidden="1">
      <c r="A41" s="449"/>
      <c r="B41" s="1899"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56"/>
      <c r="Q41" s="755" t="str">
        <f t="shared" si="11"/>
        <v>进深比</v>
      </c>
      <c r="R41" s="756" t="s">
        <v>25</v>
      </c>
      <c r="S41" s="757">
        <f t="shared" si="12"/>
        <v>100</v>
      </c>
      <c r="T41" s="756" t="s">
        <v>25</v>
      </c>
      <c r="U41" s="757">
        <f t="shared" si="13"/>
        <v>100</v>
      </c>
      <c r="V41" s="756" t="s">
        <v>25</v>
      </c>
      <c r="W41" s="757">
        <f t="shared" si="14"/>
        <v>100</v>
      </c>
      <c r="X41" s="758"/>
      <c r="Y41" s="3158"/>
      <c r="Z41" s="759" t="str">
        <f t="shared" si="15"/>
        <v>进深比</v>
      </c>
      <c r="AA41" s="1898">
        <f t="shared" si="3"/>
        <v>1</v>
      </c>
      <c r="AB41" s="1898">
        <f t="shared" si="4"/>
        <v>1</v>
      </c>
      <c r="AC41" s="1898">
        <f t="shared" si="5"/>
        <v>1</v>
      </c>
    </row>
    <row r="42" spans="1:29" ht="15">
      <c r="A42" s="453"/>
      <c r="B42" s="402" t="s">
        <v>2456</v>
      </c>
      <c r="C42" s="2406" t="s">
        <v>2851</v>
      </c>
      <c r="D42" s="415">
        <v>100</v>
      </c>
      <c r="E42" s="2406" t="s">
        <v>2851</v>
      </c>
      <c r="F42" s="442">
        <f>SUMIF(122:122,E42,123:123)-SUMIF(122:122,C42,123:123)+100</f>
        <v>100</v>
      </c>
      <c r="G42" s="2406" t="s">
        <v>2882</v>
      </c>
      <c r="H42" s="415">
        <f>SUMIF(122:122,G42,123:123)-SUMIF(122:122,C42,123:123)+100</f>
        <v>95</v>
      </c>
      <c r="I42" s="2406" t="s">
        <v>2882</v>
      </c>
      <c r="J42" s="415">
        <f>SUMIF(122:122,I42,123:123)-SUMIF(122:122,C42,123:123)+100</f>
        <v>95</v>
      </c>
      <c r="K42" s="596">
        <v>5</v>
      </c>
      <c r="L42" s="1249"/>
      <c r="M42" s="1240"/>
      <c r="N42" s="1240"/>
      <c r="O42" s="1240"/>
      <c r="P42" s="3156"/>
      <c r="Q42" s="1894" t="str">
        <f t="shared" si="11"/>
        <v>内部装修</v>
      </c>
      <c r="R42" s="753" t="s">
        <v>25</v>
      </c>
      <c r="S42" s="754">
        <f t="shared" si="12"/>
        <v>100</v>
      </c>
      <c r="T42" s="753" t="s">
        <v>25</v>
      </c>
      <c r="U42" s="754">
        <f t="shared" si="13"/>
        <v>95</v>
      </c>
      <c r="V42" s="753" t="s">
        <v>25</v>
      </c>
      <c r="W42" s="754">
        <f t="shared" si="14"/>
        <v>95</v>
      </c>
      <c r="X42" s="1895"/>
      <c r="Y42" s="3158"/>
      <c r="Z42" s="1897" t="str">
        <f t="shared" si="15"/>
        <v>内部装修</v>
      </c>
      <c r="AA42" s="1898">
        <f t="shared" si="3"/>
        <v>1</v>
      </c>
      <c r="AB42" s="1898">
        <f t="shared" si="4"/>
        <v>1.0526315789473684</v>
      </c>
      <c r="AC42" s="1898">
        <f t="shared" si="5"/>
        <v>1.0526315789473684</v>
      </c>
    </row>
    <row r="43" spans="1:29" ht="15">
      <c r="A43" s="453"/>
      <c r="B43" s="402"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56"/>
      <c r="Q43" s="1894" t="str">
        <f t="shared" si="11"/>
        <v>内部装修维护情况</v>
      </c>
      <c r="R43" s="753" t="s">
        <v>25</v>
      </c>
      <c r="S43" s="754">
        <f t="shared" si="12"/>
        <v>100</v>
      </c>
      <c r="T43" s="753" t="s">
        <v>25</v>
      </c>
      <c r="U43" s="754">
        <f t="shared" si="13"/>
        <v>100</v>
      </c>
      <c r="V43" s="753" t="s">
        <v>25</v>
      </c>
      <c r="W43" s="754">
        <f t="shared" si="14"/>
        <v>100</v>
      </c>
      <c r="X43" s="1895"/>
      <c r="Y43" s="3158"/>
      <c r="Z43" s="1897" t="str">
        <f t="shared" si="15"/>
        <v>内部装修维护情况</v>
      </c>
      <c r="AA43" s="1898">
        <f t="shared" si="3"/>
        <v>1</v>
      </c>
      <c r="AB43" s="1898">
        <f t="shared" si="4"/>
        <v>1</v>
      </c>
      <c r="AC43" s="1898">
        <f t="shared" si="5"/>
        <v>1</v>
      </c>
    </row>
    <row r="44" spans="1:29" s="35" customFormat="1" ht="15">
      <c r="A44" s="454"/>
      <c r="B44" s="2846" t="s">
        <v>3070</v>
      </c>
      <c r="C44" s="2847" t="s">
        <v>3133</v>
      </c>
      <c r="D44" s="52">
        <v>100</v>
      </c>
      <c r="E44" s="2878" t="s">
        <v>3134</v>
      </c>
      <c r="F44" s="405">
        <f>SUMIF(126:126,E44,127:127)-SUMIF(126:126,C44,127:127)+100</f>
        <v>105</v>
      </c>
      <c r="G44" s="2878" t="s">
        <v>3134</v>
      </c>
      <c r="H44" s="52">
        <f>SUMIF(126:126,G44,127:127)-SUMIF(126:126,C44,127:127)+100</f>
        <v>105</v>
      </c>
      <c r="I44" s="2878" t="s">
        <v>3134</v>
      </c>
      <c r="J44" s="52">
        <f>SUMIF(126:126,I44,127:127)-SUMIF(126:126,C44,127:127)+100</f>
        <v>105</v>
      </c>
      <c r="K44" s="597"/>
      <c r="L44" s="1241"/>
      <c r="M44" s="1242"/>
      <c r="N44" s="1242"/>
      <c r="O44" s="1242"/>
      <c r="P44" s="3156"/>
      <c r="Q44" s="1882" t="str">
        <f t="shared" si="11"/>
        <v>是否可做餐饮</v>
      </c>
      <c r="R44" s="749" t="s">
        <v>25</v>
      </c>
      <c r="S44" s="750">
        <f t="shared" si="12"/>
        <v>105</v>
      </c>
      <c r="T44" s="749" t="s">
        <v>25</v>
      </c>
      <c r="U44" s="750">
        <f t="shared" si="13"/>
        <v>105</v>
      </c>
      <c r="V44" s="749" t="s">
        <v>25</v>
      </c>
      <c r="W44" s="750">
        <f t="shared" si="14"/>
        <v>105</v>
      </c>
      <c r="X44" s="751"/>
      <c r="Y44" s="3158"/>
      <c r="Z44" s="23" t="str">
        <f t="shared" si="15"/>
        <v>是否可做餐饮</v>
      </c>
      <c r="AA44" s="752">
        <f t="shared" si="3"/>
        <v>0.95238095238095233</v>
      </c>
      <c r="AB44" s="752">
        <f t="shared" si="4"/>
        <v>0.95238095238095233</v>
      </c>
      <c r="AC44" s="752">
        <f t="shared" si="5"/>
        <v>0.95238095238095233</v>
      </c>
    </row>
    <row r="45" spans="1:29" ht="15.75" thickBot="1">
      <c r="A45" s="453"/>
      <c r="B45" s="2846" t="s">
        <v>3132</v>
      </c>
      <c r="C45" s="2881">
        <v>0.9</v>
      </c>
      <c r="D45" s="415">
        <v>100</v>
      </c>
      <c r="E45" s="2881">
        <v>0.9</v>
      </c>
      <c r="F45" s="442">
        <f>SUMIF(128:128,E45,129:129)-SUMIF(128:128,C45,129:129)+100</f>
        <v>100</v>
      </c>
      <c r="G45" s="2881">
        <v>0.9</v>
      </c>
      <c r="H45" s="415">
        <f>SUMIF(128:128,G45,129:129)-SUMIF(128:128,C45,129:129)+100</f>
        <v>100</v>
      </c>
      <c r="I45" s="2881">
        <v>0.9</v>
      </c>
      <c r="J45" s="415">
        <f>SUMIF(128:128,I45,129:129)-SUMIF(128:128,C45,129:129)+100</f>
        <v>100</v>
      </c>
      <c r="K45" s="597"/>
      <c r="L45" s="1249"/>
      <c r="M45" s="1240"/>
      <c r="N45" s="1240"/>
      <c r="O45" s="1240"/>
      <c r="P45" s="3156"/>
      <c r="Q45" s="1894" t="str">
        <f t="shared" si="11"/>
        <v>建成年代</v>
      </c>
      <c r="R45" s="753" t="s">
        <v>25</v>
      </c>
      <c r="S45" s="754">
        <f t="shared" si="12"/>
        <v>100</v>
      </c>
      <c r="T45" s="753" t="s">
        <v>25</v>
      </c>
      <c r="U45" s="754">
        <f t="shared" si="13"/>
        <v>100</v>
      </c>
      <c r="V45" s="753" t="s">
        <v>25</v>
      </c>
      <c r="W45" s="754">
        <f t="shared" si="14"/>
        <v>100</v>
      </c>
      <c r="X45" s="1895"/>
      <c r="Y45" s="3158"/>
      <c r="Z45" s="1897" t="str">
        <f t="shared" si="15"/>
        <v>建成年代</v>
      </c>
      <c r="AA45" s="1898">
        <f t="shared" si="3"/>
        <v>1</v>
      </c>
      <c r="AB45" s="1898">
        <f t="shared" si="4"/>
        <v>1</v>
      </c>
      <c r="AC45" s="1898">
        <f t="shared" si="5"/>
        <v>1</v>
      </c>
    </row>
    <row r="46" spans="1:29" ht="16.5" thickTop="1" thickBot="1">
      <c r="A46" s="459"/>
      <c r="B46" s="2879" t="s">
        <v>3135</v>
      </c>
      <c r="C46" s="2844" t="s">
        <v>3136</v>
      </c>
      <c r="D46" s="417">
        <v>100</v>
      </c>
      <c r="E46" s="537" t="s">
        <v>3137</v>
      </c>
      <c r="F46" s="418">
        <f>SUMIF(130:130,E46,131:131)-SUMIF(130:130,C46,131:131)+100</f>
        <v>98</v>
      </c>
      <c r="G46" s="537" t="s">
        <v>3137</v>
      </c>
      <c r="H46" s="417">
        <f>SUMIF(130:130,G46,131:131)-SUMIF(130:130,C46,131:131)+100</f>
        <v>98</v>
      </c>
      <c r="I46" s="537" t="s">
        <v>3137</v>
      </c>
      <c r="J46" s="417">
        <f>SUMIF(130:130,I46,131:131)-SUMIF(130:130,C46,131:131)+100</f>
        <v>98</v>
      </c>
      <c r="K46" s="597"/>
      <c r="L46" s="1249"/>
      <c r="M46" s="1240"/>
      <c r="N46" s="1240"/>
      <c r="O46" s="1240"/>
      <c r="P46" s="3157"/>
      <c r="Q46" s="1894" t="str">
        <f t="shared" si="11"/>
        <v>展示面宽</v>
      </c>
      <c r="R46" s="753" t="s">
        <v>25</v>
      </c>
      <c r="S46" s="754">
        <f t="shared" si="12"/>
        <v>98</v>
      </c>
      <c r="T46" s="753" t="s">
        <v>25</v>
      </c>
      <c r="U46" s="754">
        <f t="shared" si="13"/>
        <v>98</v>
      </c>
      <c r="V46" s="753" t="s">
        <v>25</v>
      </c>
      <c r="W46" s="754">
        <f t="shared" si="14"/>
        <v>98</v>
      </c>
      <c r="X46" s="1895"/>
      <c r="Y46" s="3159"/>
      <c r="Z46" s="1897" t="str">
        <f t="shared" si="15"/>
        <v>展示面宽</v>
      </c>
      <c r="AA46" s="1898">
        <f t="shared" si="3"/>
        <v>1.0204081632653061</v>
      </c>
      <c r="AB46" s="1898">
        <f t="shared" si="4"/>
        <v>1.0204081632653061</v>
      </c>
      <c r="AC46" s="1898">
        <f t="shared" si="5"/>
        <v>1.0204081632653061</v>
      </c>
    </row>
    <row r="47" spans="1:29" ht="15">
      <c r="A47" s="460" t="s">
        <v>2375</v>
      </c>
      <c r="B47" s="461"/>
      <c r="C47" s="1498" t="s">
        <v>1</v>
      </c>
      <c r="D47" s="1499"/>
      <c r="E47" s="1500">
        <v>15</v>
      </c>
      <c r="F47" s="1501"/>
      <c r="G47" s="1502">
        <v>15</v>
      </c>
      <c r="H47" s="1503"/>
      <c r="I47" s="1500">
        <v>14</v>
      </c>
      <c r="J47" s="1503"/>
      <c r="K47" s="762"/>
      <c r="L47" s="1252"/>
      <c r="M47" s="1253"/>
      <c r="N47" s="1240"/>
      <c r="O47" s="1253"/>
      <c r="P47" s="3150" t="str">
        <f>A47</f>
        <v>成交单价（元/平方米）</v>
      </c>
      <c r="Q47" s="3150"/>
      <c r="R47" s="3146">
        <f>E47</f>
        <v>15</v>
      </c>
      <c r="S47" s="3146"/>
      <c r="T47" s="3146">
        <f>G47</f>
        <v>15</v>
      </c>
      <c r="U47" s="3146"/>
      <c r="V47" s="3146">
        <f>I47</f>
        <v>14</v>
      </c>
      <c r="W47" s="3146"/>
      <c r="X47" s="738"/>
      <c r="Y47" s="760"/>
      <c r="Z47" s="738"/>
      <c r="AA47" s="738"/>
      <c r="AB47" s="738"/>
      <c r="AC47" s="738"/>
    </row>
    <row r="48" spans="1:29" ht="15.75" thickBot="1">
      <c r="A48" s="467" t="s">
        <v>2457</v>
      </c>
      <c r="B48" s="468"/>
      <c r="C48" s="1504">
        <f>R49</f>
        <v>12.6</v>
      </c>
      <c r="D48" s="1505"/>
      <c r="E48" s="1506">
        <f>R48</f>
        <v>12.4</v>
      </c>
      <c r="F48" s="1506"/>
      <c r="G48" s="1504">
        <f>T48</f>
        <v>13.1</v>
      </c>
      <c r="H48" s="1505"/>
      <c r="I48" s="1506">
        <f>V48</f>
        <v>12.2</v>
      </c>
      <c r="J48" s="1505"/>
      <c r="K48" s="763"/>
      <c r="L48" s="1252"/>
      <c r="M48" s="1253"/>
      <c r="N48" s="1240"/>
      <c r="O48" s="1253"/>
      <c r="P48" s="3150" t="str">
        <f>A48</f>
        <v>比较价值（元/平方米）</v>
      </c>
      <c r="Q48" s="3150"/>
      <c r="R48" s="3146">
        <f>IF(E1="售价",ROUND(PRODUCT(R47,AA7:AA46),0),ROUND(PRODUCT(R47,AA7:AA46),1))</f>
        <v>12.4</v>
      </c>
      <c r="S48" s="3146"/>
      <c r="T48" s="3146">
        <f>IF(E1="售价",ROUND(PRODUCT(T47,AB7:AB46),0),ROUND(PRODUCT(T47,AB7:AB46),1))</f>
        <v>13.1</v>
      </c>
      <c r="U48" s="3146"/>
      <c r="V48" s="3146">
        <f>IF(E1="售价",ROUND(PRODUCT(V47,AC7:AC46),0),ROUND(PRODUCT(V47,AC7:AC46),1))</f>
        <v>12.2</v>
      </c>
      <c r="W48" s="3146"/>
      <c r="X48" s="738"/>
      <c r="Y48" s="738"/>
      <c r="Z48" s="738"/>
      <c r="AA48" s="738"/>
      <c r="AB48" s="738"/>
      <c r="AC48" s="738"/>
    </row>
    <row r="49" spans="1:29" ht="15.75" thickBot="1">
      <c r="A49" s="473" t="s">
        <v>3095</v>
      </c>
      <c r="B49" s="474"/>
      <c r="C49" s="1508">
        <f>R49</f>
        <v>12.6</v>
      </c>
      <c r="D49" s="1508"/>
      <c r="E49" s="1508"/>
      <c r="F49" s="1508"/>
      <c r="G49" s="1508"/>
      <c r="H49" s="1508"/>
      <c r="I49" s="1508"/>
      <c r="J49" s="1508"/>
      <c r="K49" s="764"/>
      <c r="L49" s="1252"/>
      <c r="M49" s="1253"/>
      <c r="N49" s="1240"/>
      <c r="O49" s="1253"/>
      <c r="P49" s="3147" t="str">
        <f>A49</f>
        <v>估价对象商业用房的比较价值（楼面单价，元/平方米）</v>
      </c>
      <c r="Q49" s="3148"/>
      <c r="R49" s="3149">
        <f>IF(E1="售价",ROUND(AVERAGE(R48:V48),0),ROUND(AVERAGE(R48:V48),1))</f>
        <v>12.6</v>
      </c>
      <c r="S49" s="3149"/>
      <c r="T49" s="3149"/>
      <c r="U49" s="3149"/>
      <c r="V49" s="3149"/>
      <c r="W49" s="3149"/>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2458</v>
      </c>
      <c r="D52" s="479"/>
      <c r="E52" s="480">
        <f>IF(E47&lt;E48,E48/E47-1,E47/E48-1)</f>
        <v>0.20967741935483875</v>
      </c>
      <c r="F52" s="481" t="str">
        <f>IF(OR(E52&gt;=0.3,E52&lt;=-0.3),"超过30%","")</f>
        <v/>
      </c>
      <c r="G52" s="480">
        <f>IF(G47&lt;G48,G48/G47-1,G47/G48-1)</f>
        <v>0.14503816793893143</v>
      </c>
      <c r="H52" s="481" t="str">
        <f>IF(OR(G52&gt;=0.3,G52&lt;=-0.3),"超过30%","")</f>
        <v/>
      </c>
      <c r="I52" s="480">
        <f>IF(I47&lt;I48,I48/I47-1,I47/I48-1)</f>
        <v>0.14754098360655754</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2459</v>
      </c>
      <c r="D53" s="482"/>
      <c r="E53" s="480">
        <f>IF(E48&lt;G48,G48/E48-1,E48/G48-1)</f>
        <v>5.6451612903225756E-2</v>
      </c>
      <c r="F53" s="481" t="str">
        <f>IF(OR(E53&gt;=0.2,E53&lt;=-0.2),"超过20%","")</f>
        <v/>
      </c>
      <c r="G53" s="480">
        <f>IF(G48&lt;I48,I48/G48-1,G48/I48-1)</f>
        <v>7.3770491803278659E-2</v>
      </c>
      <c r="H53" s="481" t="str">
        <f>IF(OR(G53&gt;=0.2,G53&lt;=-0.2),"超过20%","")</f>
        <v/>
      </c>
      <c r="I53" s="480">
        <f>IF(I48&lt;E48,E48/I48-1,I48/E48-1)</f>
        <v>1.6393442622950838E-2</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2460</v>
      </c>
      <c r="D54" s="482"/>
      <c r="E54" s="480">
        <f>IF(E47&lt;G47,G47/E47-1,E47/G47-1)</f>
        <v>0</v>
      </c>
      <c r="F54" s="481" t="str">
        <f>IF(OR(E54&gt;=0.3,E54&lt;=-0.3),"超过30%","")</f>
        <v/>
      </c>
      <c r="G54" s="480">
        <f>IF(G47&lt;I47,I47/G47-1,G47/I47-1)</f>
        <v>7.1428571428571397E-2</v>
      </c>
      <c r="H54" s="481" t="str">
        <f>IF(OR(G54&gt;=0.3,G54&lt;=-0.3),"超过30%","")</f>
        <v/>
      </c>
      <c r="I54" s="480">
        <f>IF(I47&lt;E47,E47/I47-1,I47/E47-1)</f>
        <v>7.1428571428571397E-2</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2461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2020-10</v>
      </c>
      <c r="D58" s="1675">
        <f>EDATE(C58,-1)</f>
        <v>44075</v>
      </c>
      <c r="E58" s="1675">
        <f t="shared" ref="E58:O58" si="16">EDATE(D58,-1)</f>
        <v>44044</v>
      </c>
      <c r="F58" s="1675">
        <f t="shared" si="16"/>
        <v>44013</v>
      </c>
      <c r="G58" s="1675">
        <f t="shared" si="16"/>
        <v>43983</v>
      </c>
      <c r="H58" s="1675">
        <f t="shared" si="16"/>
        <v>43952</v>
      </c>
      <c r="I58" s="1675">
        <f t="shared" si="16"/>
        <v>43922</v>
      </c>
      <c r="J58" s="1675">
        <f t="shared" si="16"/>
        <v>43891</v>
      </c>
      <c r="K58" s="1675">
        <f t="shared" si="16"/>
        <v>43862</v>
      </c>
      <c r="L58" s="1675">
        <f t="shared" si="16"/>
        <v>43831</v>
      </c>
      <c r="M58" s="1675">
        <f t="shared" si="16"/>
        <v>43800</v>
      </c>
      <c r="N58" s="1675">
        <f t="shared" si="16"/>
        <v>43770</v>
      </c>
      <c r="O58" s="1675">
        <f t="shared" si="16"/>
        <v>43739</v>
      </c>
      <c r="P58" s="2418"/>
    </row>
    <row r="59" spans="1:29" s="35" customFormat="1" ht="15">
      <c r="A59" s="490"/>
      <c r="B59" s="491"/>
      <c r="C59" s="623">
        <v>100</v>
      </c>
      <c r="D59" s="493">
        <v>100</v>
      </c>
      <c r="E59" s="493">
        <v>100</v>
      </c>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3.5（含）-10</v>
      </c>
      <c r="E67" s="530" t="str">
        <f t="shared" si="17"/>
        <v>10（含）-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v>10</v>
      </c>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4" t="s">
        <v>3057</v>
      </c>
      <c r="D86" s="2844" t="s">
        <v>3056</v>
      </c>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97</v>
      </c>
      <c r="E87" s="527">
        <f t="shared" si="19"/>
        <v>94</v>
      </c>
      <c r="F87" s="527">
        <f t="shared" si="19"/>
        <v>91</v>
      </c>
      <c r="G87" s="527">
        <f t="shared" si="19"/>
        <v>88</v>
      </c>
      <c r="H87" s="527">
        <f t="shared" si="19"/>
        <v>85</v>
      </c>
      <c r="I87" s="527">
        <f t="shared" si="19"/>
        <v>82</v>
      </c>
      <c r="J87" s="527">
        <f t="shared" si="19"/>
        <v>79</v>
      </c>
      <c r="K87" s="527">
        <f t="shared" si="19"/>
        <v>76</v>
      </c>
      <c r="L87" s="527">
        <f t="shared" si="19"/>
        <v>73</v>
      </c>
      <c r="M87" s="527">
        <f t="shared" si="19"/>
        <v>70</v>
      </c>
      <c r="N87" s="1264"/>
      <c r="O87" s="1264"/>
      <c r="P87" s="2421"/>
      <c r="Q87" s="485"/>
    </row>
    <row r="88" spans="1:17" s="35" customFormat="1" ht="28.5" thickTop="1">
      <c r="A88" s="563"/>
      <c r="B88" s="521" t="str">
        <f>B26</f>
        <v>道路级别</v>
      </c>
      <c r="C88" s="2844" t="s">
        <v>3120</v>
      </c>
      <c r="D88" s="537" t="s">
        <v>3124</v>
      </c>
      <c r="E88" s="2844"/>
      <c r="F88" s="2426"/>
      <c r="G88" s="537"/>
      <c r="H88" s="537"/>
      <c r="I88" s="537"/>
      <c r="J88" s="537"/>
      <c r="K88" s="537"/>
      <c r="L88" s="537"/>
      <c r="M88" s="565"/>
      <c r="N88" s="1262"/>
      <c r="O88" s="1262"/>
      <c r="P88" s="2421"/>
      <c r="Q88" s="485"/>
    </row>
    <row r="89" spans="1:17" s="35" customFormat="1" ht="15.75" thickBot="1">
      <c r="A89" s="563"/>
      <c r="B89" s="526"/>
      <c r="C89" s="544">
        <v>100</v>
      </c>
      <c r="D89" s="518">
        <v>100</v>
      </c>
      <c r="E89" s="518"/>
      <c r="F89" s="518"/>
      <c r="G89" s="518"/>
      <c r="H89" s="518"/>
      <c r="I89" s="518"/>
      <c r="J89" s="518"/>
      <c r="K89" s="518"/>
      <c r="L89" s="518"/>
      <c r="M89" s="518"/>
      <c r="N89" s="1264"/>
      <c r="O89" s="1264"/>
      <c r="P89" s="2421"/>
      <c r="Q89" s="485"/>
    </row>
    <row r="90" spans="1:17" s="452" customFormat="1" ht="15.75" thickTop="1">
      <c r="A90" s="536"/>
      <c r="B90" s="521" t="str">
        <f>B27</f>
        <v>人流量</v>
      </c>
      <c r="C90" s="2844" t="s">
        <v>3059</v>
      </c>
      <c r="D90" s="2844" t="s">
        <v>3058</v>
      </c>
      <c r="E90" s="2844" t="s">
        <v>3060</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3061</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3126</v>
      </c>
      <c r="D94" s="537" t="s">
        <v>3127</v>
      </c>
      <c r="E94" s="537"/>
      <c r="F94" s="537"/>
      <c r="G94" s="567"/>
      <c r="H94" s="567"/>
      <c r="I94" s="567"/>
      <c r="J94" s="567"/>
      <c r="K94" s="568"/>
      <c r="L94" s="569"/>
      <c r="M94" s="570"/>
      <c r="N94" s="1263"/>
      <c r="O94" s="1263"/>
      <c r="P94" s="2421"/>
      <c r="Q94" s="485"/>
    </row>
    <row r="95" spans="1:17" ht="15.75" thickBot="1">
      <c r="A95" s="516"/>
      <c r="B95" s="526"/>
      <c r="C95" s="544">
        <v>100</v>
      </c>
      <c r="D95" s="518">
        <v>115</v>
      </c>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ht="27">
      <c r="A100" s="508" t="s">
        <v>2361</v>
      </c>
      <c r="B100" s="509" t="s">
        <v>2463</v>
      </c>
      <c r="C100" s="2845" t="s">
        <v>3101</v>
      </c>
      <c r="D100" s="2845" t="s">
        <v>3167</v>
      </c>
      <c r="E100" s="2845"/>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98</v>
      </c>
      <c r="E101" s="527">
        <f t="shared" si="21"/>
        <v>96</v>
      </c>
      <c r="F101" s="527">
        <f t="shared" si="21"/>
        <v>94</v>
      </c>
      <c r="G101" s="527">
        <f t="shared" si="21"/>
        <v>92</v>
      </c>
      <c r="H101" s="527">
        <f t="shared" si="21"/>
        <v>90</v>
      </c>
      <c r="I101" s="527">
        <f t="shared" si="21"/>
        <v>88</v>
      </c>
      <c r="J101" s="527">
        <f t="shared" si="21"/>
        <v>86</v>
      </c>
      <c r="K101" s="527">
        <f t="shared" si="21"/>
        <v>84</v>
      </c>
      <c r="L101" s="527">
        <f t="shared" si="21"/>
        <v>82</v>
      </c>
      <c r="M101" s="528">
        <f t="shared" si="21"/>
        <v>80</v>
      </c>
      <c r="N101" s="1264"/>
      <c r="O101" s="1264"/>
      <c r="P101" s="2421"/>
      <c r="Q101" s="485"/>
    </row>
    <row r="102" spans="1:17" ht="15.75" thickTop="1">
      <c r="A102" s="516"/>
      <c r="B102" s="521" t="s">
        <v>2411</v>
      </c>
      <c r="C102" s="562" t="str">
        <f>C103&amp;"(含)"&amp;"-"&amp;D103</f>
        <v>0(含)-300</v>
      </c>
      <c r="D102" s="562" t="str">
        <f t="shared" ref="D102:L102" si="22">D103&amp;"(含)"&amp;"-"&amp;E103</f>
        <v>300(含)-600</v>
      </c>
      <c r="E102" s="562" t="str">
        <f t="shared" si="22"/>
        <v>600(含)-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600</v>
      </c>
      <c r="F103" s="579"/>
      <c r="G103" s="579"/>
      <c r="H103" s="579"/>
      <c r="I103" s="579"/>
      <c r="J103" s="580"/>
      <c r="K103" s="580"/>
      <c r="L103" s="581"/>
      <c r="M103" s="582"/>
      <c r="N103" s="1265"/>
      <c r="O103" s="1265"/>
      <c r="P103" s="2422"/>
      <c r="Q103" s="543"/>
    </row>
    <row r="104" spans="1:17" s="452" customFormat="1" ht="15.75" thickBot="1">
      <c r="A104" s="536"/>
      <c r="B104" s="526"/>
      <c r="C104" s="544">
        <v>100</v>
      </c>
      <c r="D104" s="518">
        <v>97</v>
      </c>
      <c r="E104" s="518">
        <v>94</v>
      </c>
      <c r="F104" s="518"/>
      <c r="G104" s="518"/>
      <c r="H104" s="518"/>
      <c r="I104" s="518"/>
      <c r="J104" s="518"/>
      <c r="K104" s="518"/>
      <c r="L104" s="518"/>
      <c r="M104" s="519"/>
      <c r="N104" s="1264"/>
      <c r="O104" s="1264"/>
      <c r="P104" s="2422"/>
      <c r="Q104" s="543"/>
    </row>
    <row r="105" spans="1:17" ht="15" thickTop="1">
      <c r="A105" s="583"/>
      <c r="B105" s="521" t="s">
        <v>2412</v>
      </c>
      <c r="C105" s="2844" t="s">
        <v>3064</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4" t="s">
        <v>3065</v>
      </c>
      <c r="D107" s="2844" t="s">
        <v>3066</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4" t="s">
        <v>3130</v>
      </c>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27.75" thickTop="1">
      <c r="A116" s="583"/>
      <c r="B116" s="521" t="s">
        <v>2465</v>
      </c>
      <c r="C116" s="2844"/>
      <c r="D116" s="2844" t="str">
        <f>'比较法-售价'!D116</f>
        <v>7m（可分割2层）</v>
      </c>
      <c r="E116" s="2844" t="s">
        <v>3099</v>
      </c>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4" t="s">
        <v>3065</v>
      </c>
      <c r="D122" s="2844" t="s">
        <v>3131</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8">
        <f t="shared" si="29"/>
        <v>50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4" t="s">
        <v>2811</v>
      </c>
      <c r="D126" s="2844" t="s">
        <v>3133</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95</v>
      </c>
      <c r="E127" s="518"/>
      <c r="F127" s="518"/>
      <c r="G127" s="544"/>
      <c r="H127" s="546"/>
      <c r="I127" s="546"/>
      <c r="J127" s="546"/>
      <c r="K127" s="546"/>
      <c r="L127" s="546"/>
      <c r="M127" s="547"/>
      <c r="N127" s="1265"/>
      <c r="O127" s="1265"/>
      <c r="P127" s="2422"/>
      <c r="Q127" s="543"/>
    </row>
    <row r="128" spans="1:17" ht="15" thickTop="1">
      <c r="A128" s="583"/>
      <c r="B128" s="521" t="str">
        <f>B45</f>
        <v>建成年代</v>
      </c>
      <c r="C128" s="2880">
        <v>0.9</v>
      </c>
      <c r="D128" s="2880">
        <v>0.8</v>
      </c>
      <c r="E128" s="2880">
        <v>0.7</v>
      </c>
      <c r="F128" s="537"/>
      <c r="G128" s="567"/>
      <c r="H128" s="567"/>
      <c r="I128" s="567"/>
      <c r="J128" s="567"/>
      <c r="K128" s="568"/>
      <c r="L128" s="569"/>
      <c r="M128" s="570"/>
      <c r="N128" s="1263"/>
      <c r="O128" s="1263"/>
      <c r="P128" s="2421"/>
      <c r="Q128" s="485"/>
    </row>
    <row r="129" spans="1:17" ht="15.75" thickBot="1">
      <c r="A129" s="516"/>
      <c r="B129" s="526"/>
      <c r="C129" s="544">
        <v>100</v>
      </c>
      <c r="D129" s="518">
        <v>98</v>
      </c>
      <c r="E129" s="518">
        <v>96</v>
      </c>
      <c r="F129" s="518"/>
      <c r="G129" s="518"/>
      <c r="H129" s="518"/>
      <c r="I129" s="518"/>
      <c r="J129" s="518"/>
      <c r="K129" s="518"/>
      <c r="L129" s="518"/>
      <c r="M129" s="519"/>
      <c r="N129" s="1264"/>
      <c r="O129" s="1264"/>
      <c r="P129" s="2421"/>
      <c r="Q129" s="485"/>
    </row>
    <row r="130" spans="1:17" ht="15" thickTop="1">
      <c r="A130" s="583"/>
      <c r="B130" s="529" t="str">
        <f>B46</f>
        <v>展示面宽</v>
      </c>
      <c r="C130" s="2844" t="s">
        <v>3136</v>
      </c>
      <c r="D130" s="537" t="s">
        <v>3137</v>
      </c>
      <c r="E130" s="537"/>
      <c r="F130" s="537"/>
      <c r="G130" s="571"/>
      <c r="H130" s="571"/>
      <c r="I130" s="571"/>
      <c r="J130" s="571"/>
      <c r="K130" s="504"/>
      <c r="L130" s="505"/>
      <c r="M130" s="574"/>
      <c r="N130" s="1263"/>
      <c r="O130" s="1263"/>
      <c r="P130" s="2421"/>
      <c r="Q130" s="485"/>
    </row>
    <row r="131" spans="1:17" ht="15.75" thickBot="1">
      <c r="A131" s="2427"/>
      <c r="B131" s="553"/>
      <c r="C131" s="554">
        <v>100</v>
      </c>
      <c r="D131" s="554">
        <v>98</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2468</v>
      </c>
      <c r="C1" s="1722"/>
      <c r="D1" s="1735"/>
      <c r="E1" s="2377"/>
      <c r="F1" s="1736" t="s">
        <v>2330</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2000</v>
      </c>
      <c r="B2" s="1721" t="e">
        <f ca="1">IF(D2="——",IF(C2="元",ROUND(C50*D3,0),ROUND(C50*D3/10000,0)),IF(C2="元",ROUND(C50*D3,0),ROUND(C50*D3/10000,0))-E2)</f>
        <v>#DIV/0!</v>
      </c>
      <c r="C2" s="163" t="str">
        <f>'数据-取费表'!B3</f>
        <v>元</v>
      </c>
      <c r="D2" s="2379"/>
      <c r="E2" s="1838"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2001</v>
      </c>
      <c r="B3" s="593" t="e">
        <f ca="1">ROUND(IF(D2="——",C50,IF(C2="万元",B2*10000/D3,B2/D3)),0)</f>
        <v>#DIV/0!</v>
      </c>
      <c r="C3" s="379" t="s">
        <v>2331</v>
      </c>
      <c r="D3" s="378">
        <f>IF(C1="仅计算典型户型",'数据-取费表'!E5,'数据-取费表'!B5)</f>
        <v>392.22</v>
      </c>
      <c r="E3" s="2451"/>
      <c r="F3" s="978"/>
      <c r="G3" s="977"/>
      <c r="H3" s="977"/>
      <c r="I3" s="977"/>
      <c r="J3" s="977"/>
      <c r="K3" s="979"/>
      <c r="L3" s="1237"/>
      <c r="M3" s="1238"/>
      <c r="N3" s="1238"/>
      <c r="O3" s="1238"/>
      <c r="P3" s="737"/>
      <c r="Q3" s="737"/>
      <c r="R3" s="737"/>
      <c r="S3" s="737"/>
      <c r="T3" s="737"/>
      <c r="U3" s="737"/>
      <c r="V3" s="737"/>
      <c r="W3" s="737"/>
      <c r="X3" s="747"/>
      <c r="Y3" s="737"/>
      <c r="Z3" s="737"/>
      <c r="AA3" s="737"/>
      <c r="AB3" s="2460"/>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200" t="s">
        <v>2338</v>
      </c>
      <c r="Q4" s="3182"/>
      <c r="R4" s="3166" t="s">
        <v>2334</v>
      </c>
      <c r="S4" s="3167"/>
      <c r="T4" s="3166" t="s">
        <v>2335</v>
      </c>
      <c r="U4" s="3167"/>
      <c r="V4" s="3187" t="s">
        <v>2336</v>
      </c>
      <c r="W4" s="3187"/>
      <c r="X4" s="1895"/>
      <c r="Y4" s="3166" t="s">
        <v>2338</v>
      </c>
      <c r="Z4" s="3167"/>
      <c r="AA4" s="3174" t="s">
        <v>2334</v>
      </c>
      <c r="AB4" s="3174" t="s">
        <v>2335</v>
      </c>
      <c r="AC4" s="3174" t="s">
        <v>2336</v>
      </c>
    </row>
    <row r="5" spans="1:29" ht="15">
      <c r="A5" s="383"/>
      <c r="B5" s="384"/>
      <c r="C5" s="3162" t="s">
        <v>2339</v>
      </c>
      <c r="D5" s="3163"/>
      <c r="E5" s="3188" t="s">
        <v>2340</v>
      </c>
      <c r="F5" s="3189"/>
      <c r="G5" s="3162" t="s">
        <v>2341</v>
      </c>
      <c r="H5" s="3163"/>
      <c r="I5" s="3162" t="s">
        <v>2342</v>
      </c>
      <c r="J5" s="3163"/>
      <c r="K5" s="594"/>
      <c r="L5" s="1239"/>
      <c r="M5" s="1240"/>
      <c r="N5" s="1240"/>
      <c r="O5" s="1240"/>
      <c r="P5" s="3201"/>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239"/>
      <c r="M6" s="1240"/>
      <c r="N6" s="1240"/>
      <c r="O6" s="1240"/>
      <c r="P6" s="3202"/>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44134</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172" t="s">
        <v>2346</v>
      </c>
      <c r="Q7" s="3172"/>
      <c r="R7" s="749" t="s">
        <v>25</v>
      </c>
      <c r="S7" s="750">
        <f t="shared" ref="S7:S15" si="0">F7</f>
        <v>0</v>
      </c>
      <c r="T7" s="749" t="s">
        <v>25</v>
      </c>
      <c r="U7" s="750">
        <f t="shared" ref="U7:U15" si="1">H7</f>
        <v>0</v>
      </c>
      <c r="V7" s="749" t="s">
        <v>25</v>
      </c>
      <c r="W7" s="750">
        <f t="shared" ref="W7:W15" si="2">J7</f>
        <v>0</v>
      </c>
      <c r="X7" s="751"/>
      <c r="Y7" s="3164" t="s">
        <v>2346</v>
      </c>
      <c r="Z7" s="3165"/>
      <c r="AA7" s="752" t="e">
        <f>D7/F7</f>
        <v>#DIV/0!</v>
      </c>
      <c r="AB7" s="752" t="e">
        <f>D7/H7</f>
        <v>#DIV/0!</v>
      </c>
      <c r="AC7" s="752" t="e">
        <f>D7/J7</f>
        <v>#DIV/0!</v>
      </c>
    </row>
    <row r="8" spans="1:29" s="35" customFormat="1" ht="15.75" thickBot="1">
      <c r="A8" s="387" t="s">
        <v>2347</v>
      </c>
      <c r="B8" s="388"/>
      <c r="C8" s="394" t="s">
        <v>2348</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172" t="s">
        <v>2349</v>
      </c>
      <c r="Q8" s="3165"/>
      <c r="R8" s="749" t="s">
        <v>25</v>
      </c>
      <c r="S8" s="750">
        <f t="shared" si="0"/>
        <v>0</v>
      </c>
      <c r="T8" s="749" t="s">
        <v>25</v>
      </c>
      <c r="U8" s="750">
        <f t="shared" si="1"/>
        <v>0</v>
      </c>
      <c r="V8" s="749" t="s">
        <v>25</v>
      </c>
      <c r="W8" s="750">
        <f t="shared" si="2"/>
        <v>0</v>
      </c>
      <c r="X8" s="751"/>
      <c r="Y8" s="3164" t="s">
        <v>2349</v>
      </c>
      <c r="Z8" s="3165"/>
      <c r="AA8" s="752" t="e">
        <f t="shared" ref="AA8:AA47" si="3">D8/F8</f>
        <v>#DIV/0!</v>
      </c>
      <c r="AB8" s="752" t="e">
        <f t="shared" ref="AB8:AB47" si="4">D8/H8</f>
        <v>#DIV/0!</v>
      </c>
      <c r="AC8" s="752" t="e">
        <f t="shared" ref="AC8:AC47" si="5">D8/J8</f>
        <v>#DIV/0!</v>
      </c>
    </row>
    <row r="9" spans="1:29" s="35" customFormat="1">
      <c r="A9" s="395" t="s">
        <v>2350</v>
      </c>
      <c r="B9" s="28" t="s">
        <v>2351</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148"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148"/>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148"/>
      <c r="Q11" s="1882" t="str">
        <f t="shared" si="6"/>
        <v>容积率</v>
      </c>
      <c r="R11" s="749" t="s">
        <v>25</v>
      </c>
      <c r="S11" s="750" t="e">
        <f t="shared" si="0"/>
        <v>#N/A</v>
      </c>
      <c r="T11" s="749" t="s">
        <v>25</v>
      </c>
      <c r="U11" s="750" t="e">
        <f t="shared" si="1"/>
        <v>#N/A</v>
      </c>
      <c r="V11" s="749" t="s">
        <v>25</v>
      </c>
      <c r="W11" s="750" t="e">
        <f t="shared" si="2"/>
        <v>#N/A</v>
      </c>
      <c r="X11" s="751"/>
      <c r="Y11" s="2979"/>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148"/>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148"/>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148"/>
      <c r="Q14" s="1882">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71.25">
      <c r="A15" s="419" t="s">
        <v>2356</v>
      </c>
      <c r="B15" s="613" t="s">
        <v>2469</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182" t="s">
        <v>2357</v>
      </c>
      <c r="Q15" s="1894" t="str">
        <f t="shared" si="6"/>
        <v>办公集聚程度</v>
      </c>
      <c r="R15" s="753" t="s">
        <v>25</v>
      </c>
      <c r="S15" s="754">
        <f t="shared" si="0"/>
        <v>100</v>
      </c>
      <c r="T15" s="753" t="s">
        <v>25</v>
      </c>
      <c r="U15" s="754">
        <f t="shared" si="1"/>
        <v>100</v>
      </c>
      <c r="V15" s="753" t="s">
        <v>25</v>
      </c>
      <c r="W15" s="754">
        <f t="shared" si="2"/>
        <v>100</v>
      </c>
      <c r="X15" s="1895"/>
      <c r="Y15" s="3153" t="s">
        <v>2357</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184"/>
      <c r="Q16" s="1894"/>
      <c r="R16" s="753"/>
      <c r="S16" s="754"/>
      <c r="T16" s="753"/>
      <c r="U16" s="754"/>
      <c r="V16" s="753"/>
      <c r="W16" s="754"/>
      <c r="X16" s="1895"/>
      <c r="Y16" s="3154"/>
      <c r="Z16" s="1897"/>
      <c r="AA16" s="1898">
        <v>1</v>
      </c>
      <c r="AB16" s="1898">
        <v>1</v>
      </c>
      <c r="AC16" s="1898">
        <v>1</v>
      </c>
    </row>
    <row r="17" spans="1:29" ht="128.25">
      <c r="A17" s="408"/>
      <c r="B17" s="615" t="s">
        <v>1743</v>
      </c>
      <c r="C17" s="2463" t="str">
        <f>估价对象房地状况!C6</f>
        <v>估价对象周边公共交通包括：488路、499路、517路等公交线路，1公里以内有地铁6号线常营地铁站。综合评价交通便捷度好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184"/>
      <c r="Q17" s="1894" t="str">
        <f>B17</f>
        <v>交通便捷度</v>
      </c>
      <c r="R17" s="753" t="s">
        <v>25</v>
      </c>
      <c r="S17" s="754">
        <f>F17</f>
        <v>100</v>
      </c>
      <c r="T17" s="753" t="s">
        <v>25</v>
      </c>
      <c r="U17" s="754">
        <f>H17</f>
        <v>100</v>
      </c>
      <c r="V17" s="753" t="s">
        <v>25</v>
      </c>
      <c r="W17" s="754">
        <f>J17</f>
        <v>100</v>
      </c>
      <c r="X17" s="1895"/>
      <c r="Y17" s="3154"/>
      <c r="Z17" s="1897" t="str">
        <f>Q17</f>
        <v>交通便捷度</v>
      </c>
      <c r="AA17" s="1898">
        <f t="shared" si="3"/>
        <v>1</v>
      </c>
      <c r="AB17" s="1898">
        <f t="shared" si="4"/>
        <v>1</v>
      </c>
      <c r="AC17" s="1898">
        <f t="shared" si="5"/>
        <v>1</v>
      </c>
    </row>
    <row r="18" spans="1:29" ht="15">
      <c r="A18" s="408"/>
      <c r="B18" s="616"/>
      <c r="C18" s="2464"/>
      <c r="D18" s="430"/>
      <c r="E18" s="2402"/>
      <c r="F18" s="430"/>
      <c r="G18" s="1464"/>
      <c r="H18" s="427"/>
      <c r="I18" s="1464"/>
      <c r="J18" s="427"/>
      <c r="K18" s="599"/>
      <c r="L18" s="1249"/>
      <c r="M18" s="1240"/>
      <c r="N18" s="1240"/>
      <c r="O18" s="1240"/>
      <c r="P18" s="3184"/>
      <c r="Q18" s="1894"/>
      <c r="R18" s="753"/>
      <c r="S18" s="754"/>
      <c r="T18" s="753"/>
      <c r="U18" s="754"/>
      <c r="V18" s="753"/>
      <c r="W18" s="754"/>
      <c r="X18" s="1895"/>
      <c r="Y18" s="3154"/>
      <c r="Z18" s="1897"/>
      <c r="AA18" s="1898">
        <v>1</v>
      </c>
      <c r="AB18" s="1898">
        <v>1</v>
      </c>
      <c r="AC18" s="1898">
        <v>1</v>
      </c>
    </row>
    <row r="19" spans="1:29" ht="42.75">
      <c r="A19" s="408"/>
      <c r="B19" s="615" t="s">
        <v>2470</v>
      </c>
      <c r="C19" s="2463" t="str">
        <f>估价对象房地状况!C7</f>
        <v>估价对象所在区域公共配套设施齐备</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184"/>
      <c r="Q19" s="1894" t="str">
        <f>B19</f>
        <v>公共配套设施</v>
      </c>
      <c r="R19" s="753" t="s">
        <v>25</v>
      </c>
      <c r="S19" s="754">
        <f>F19</f>
        <v>100</v>
      </c>
      <c r="T19" s="753" t="s">
        <v>25</v>
      </c>
      <c r="U19" s="754">
        <f>H19</f>
        <v>100</v>
      </c>
      <c r="V19" s="753" t="s">
        <v>25</v>
      </c>
      <c r="W19" s="754">
        <f>J19</f>
        <v>100</v>
      </c>
      <c r="X19" s="1895"/>
      <c r="Y19" s="3154"/>
      <c r="Z19" s="1897" t="str">
        <f>Q19</f>
        <v>公共配套设施</v>
      </c>
      <c r="AA19" s="1898">
        <f t="shared" si="3"/>
        <v>1</v>
      </c>
      <c r="AB19" s="1898">
        <f t="shared" si="4"/>
        <v>1</v>
      </c>
      <c r="AC19" s="1898">
        <f t="shared" si="5"/>
        <v>1</v>
      </c>
    </row>
    <row r="20" spans="1:29" ht="15">
      <c r="A20" s="408"/>
      <c r="B20" s="616"/>
      <c r="C20" s="1468"/>
      <c r="D20" s="427"/>
      <c r="E20" s="2399"/>
      <c r="F20" s="427"/>
      <c r="G20" s="428"/>
      <c r="H20" s="427"/>
      <c r="I20" s="428"/>
      <c r="J20" s="427"/>
      <c r="K20" s="599"/>
      <c r="L20" s="1249"/>
      <c r="M20" s="1240"/>
      <c r="N20" s="1240"/>
      <c r="O20" s="1240"/>
      <c r="P20" s="3184"/>
      <c r="Q20" s="1894"/>
      <c r="R20" s="753"/>
      <c r="S20" s="754"/>
      <c r="T20" s="753"/>
      <c r="U20" s="754"/>
      <c r="V20" s="753"/>
      <c r="W20" s="754"/>
      <c r="X20" s="1895"/>
      <c r="Y20" s="3154"/>
      <c r="Z20" s="1897"/>
      <c r="AA20" s="1898">
        <v>1</v>
      </c>
      <c r="AB20" s="1898">
        <v>1</v>
      </c>
      <c r="AC20" s="1898">
        <v>1</v>
      </c>
    </row>
    <row r="21" spans="1:29" ht="15">
      <c r="A21" s="408"/>
      <c r="B21" s="617" t="s">
        <v>2471</v>
      </c>
      <c r="C21" s="2463"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184"/>
      <c r="Q21" s="1894" t="str">
        <f>B21</f>
        <v>基础设施水平</v>
      </c>
      <c r="R21" s="753" t="s">
        <v>25</v>
      </c>
      <c r="S21" s="754">
        <f>F21</f>
        <v>100</v>
      </c>
      <c r="T21" s="753" t="s">
        <v>25</v>
      </c>
      <c r="U21" s="754">
        <f>H21</f>
        <v>100</v>
      </c>
      <c r="V21" s="753" t="s">
        <v>25</v>
      </c>
      <c r="W21" s="754">
        <f>J21</f>
        <v>100</v>
      </c>
      <c r="X21" s="1895"/>
      <c r="Y21" s="3154"/>
      <c r="Z21" s="1897" t="str">
        <f>Q21</f>
        <v>基础设施水平</v>
      </c>
      <c r="AA21" s="1898">
        <f t="shared" ref="AA21" si="8">D21/F21</f>
        <v>1</v>
      </c>
      <c r="AB21" s="1898">
        <f t="shared" ref="AB21" si="9">D21/H21</f>
        <v>1</v>
      </c>
      <c r="AC21" s="1898">
        <f t="shared" ref="AC21" si="10">D21/J21</f>
        <v>1</v>
      </c>
    </row>
    <row r="22" spans="1:29" ht="15">
      <c r="A22" s="408"/>
      <c r="B22" s="617"/>
      <c r="C22" s="2464"/>
      <c r="D22" s="427"/>
      <c r="E22" s="426"/>
      <c r="F22" s="427"/>
      <c r="G22" s="1468"/>
      <c r="H22" s="427"/>
      <c r="I22" s="1468"/>
      <c r="J22" s="427"/>
      <c r="K22" s="1465"/>
      <c r="L22" s="1249"/>
      <c r="M22" s="1240"/>
      <c r="N22" s="1240"/>
      <c r="O22" s="1240"/>
      <c r="P22" s="3184"/>
      <c r="Q22" s="1894"/>
      <c r="R22" s="753"/>
      <c r="S22" s="754"/>
      <c r="T22" s="753"/>
      <c r="U22" s="754"/>
      <c r="V22" s="753"/>
      <c r="W22" s="754"/>
      <c r="X22" s="1895"/>
      <c r="Y22" s="3154"/>
      <c r="Z22" s="1897"/>
      <c r="AA22" s="1898">
        <v>1</v>
      </c>
      <c r="AB22" s="1898">
        <v>1</v>
      </c>
      <c r="AC22" s="1898">
        <v>1</v>
      </c>
    </row>
    <row r="23" spans="1:29" ht="114">
      <c r="A23" s="408"/>
      <c r="B23" s="615" t="s">
        <v>2472</v>
      </c>
      <c r="C23" s="2463" t="str">
        <f>估价对象房地状况!C9</f>
        <v>区域自然环境：常营公园、五里桥公园；人文环境：北京科技大学（管庄校区）、北京政法职业学院；综合评价环境状况好</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184"/>
      <c r="Q23" s="1894" t="str">
        <f>B23</f>
        <v>环境质量</v>
      </c>
      <c r="R23" s="753" t="s">
        <v>25</v>
      </c>
      <c r="S23" s="754">
        <f>F23</f>
        <v>100</v>
      </c>
      <c r="T23" s="753" t="s">
        <v>25</v>
      </c>
      <c r="U23" s="754">
        <f>H23</f>
        <v>100</v>
      </c>
      <c r="V23" s="753" t="s">
        <v>25</v>
      </c>
      <c r="W23" s="754">
        <f>J23</f>
        <v>100</v>
      </c>
      <c r="X23" s="1895"/>
      <c r="Y23" s="3154"/>
      <c r="Z23" s="1897" t="str">
        <f>Q23</f>
        <v>环境质量</v>
      </c>
      <c r="AA23" s="1898">
        <f t="shared" si="3"/>
        <v>1</v>
      </c>
      <c r="AB23" s="1898">
        <f t="shared" si="4"/>
        <v>1</v>
      </c>
      <c r="AC23" s="1898">
        <f t="shared" si="5"/>
        <v>1</v>
      </c>
    </row>
    <row r="24" spans="1:29" ht="15">
      <c r="A24" s="408"/>
      <c r="B24" s="617"/>
      <c r="C24" s="1468"/>
      <c r="D24" s="427"/>
      <c r="E24" s="2399"/>
      <c r="F24" s="427"/>
      <c r="G24" s="428"/>
      <c r="H24" s="427"/>
      <c r="I24" s="428"/>
      <c r="J24" s="427"/>
      <c r="K24" s="599"/>
      <c r="L24" s="1249"/>
      <c r="M24" s="1240"/>
      <c r="N24" s="1240"/>
      <c r="O24" s="1240"/>
      <c r="P24" s="3184"/>
      <c r="Q24" s="1894"/>
      <c r="R24" s="753"/>
      <c r="S24" s="754"/>
      <c r="T24" s="753"/>
      <c r="U24" s="754"/>
      <c r="V24" s="753"/>
      <c r="W24" s="754"/>
      <c r="X24" s="1895"/>
      <c r="Y24" s="3154"/>
      <c r="Z24" s="1897"/>
      <c r="AA24" s="1898">
        <v>1</v>
      </c>
      <c r="AB24" s="1898">
        <v>1</v>
      </c>
      <c r="AC24" s="1898">
        <v>1</v>
      </c>
    </row>
    <row r="25" spans="1:29" ht="27">
      <c r="A25" s="383"/>
      <c r="B25" s="615" t="s">
        <v>2473</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184"/>
      <c r="Q25" s="1894" t="str">
        <f>B25</f>
        <v>毗邻道路的类型与等级</v>
      </c>
      <c r="R25" s="753" t="s">
        <v>25</v>
      </c>
      <c r="S25" s="754">
        <f>F25</f>
        <v>100</v>
      </c>
      <c r="T25" s="753" t="s">
        <v>25</v>
      </c>
      <c r="U25" s="754">
        <f>H25</f>
        <v>100</v>
      </c>
      <c r="V25" s="753" t="s">
        <v>25</v>
      </c>
      <c r="W25" s="754">
        <f>J25</f>
        <v>100</v>
      </c>
      <c r="X25" s="1895"/>
      <c r="Y25" s="3154"/>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184"/>
      <c r="Q26" s="1894"/>
      <c r="R26" s="753"/>
      <c r="S26" s="754"/>
      <c r="T26" s="753"/>
      <c r="U26" s="754"/>
      <c r="V26" s="753"/>
      <c r="W26" s="754"/>
      <c r="X26" s="1895"/>
      <c r="Y26" s="3154"/>
      <c r="Z26" s="1897"/>
      <c r="AA26" s="1898">
        <v>1</v>
      </c>
      <c r="AB26" s="1898">
        <v>1</v>
      </c>
      <c r="AC26" s="1898">
        <v>1</v>
      </c>
    </row>
    <row r="27" spans="1:29" ht="15">
      <c r="A27" s="408"/>
      <c r="B27" s="616" t="s">
        <v>2447</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184"/>
      <c r="Q27" s="1894" t="str">
        <f t="shared" ref="Q27:Q47" si="11">B27</f>
        <v>楼层</v>
      </c>
      <c r="R27" s="753" t="s">
        <v>25</v>
      </c>
      <c r="S27" s="754">
        <f>F27</f>
        <v>100</v>
      </c>
      <c r="T27" s="753" t="s">
        <v>25</v>
      </c>
      <c r="U27" s="754">
        <f>H27</f>
        <v>100</v>
      </c>
      <c r="V27" s="753" t="s">
        <v>25</v>
      </c>
      <c r="W27" s="754">
        <f>J27</f>
        <v>100</v>
      </c>
      <c r="X27" s="1895"/>
      <c r="Y27" s="3154"/>
      <c r="Z27" s="1897" t="str">
        <f>Q27</f>
        <v>楼层</v>
      </c>
      <c r="AA27" s="1898">
        <f t="shared" si="3"/>
        <v>1</v>
      </c>
      <c r="AB27" s="1898">
        <f t="shared" si="4"/>
        <v>1</v>
      </c>
      <c r="AC27" s="1898">
        <f t="shared" si="5"/>
        <v>1</v>
      </c>
    </row>
    <row r="28" spans="1:29" s="35" customFormat="1" ht="15">
      <c r="A28" s="411"/>
      <c r="B28" s="615" t="s">
        <v>2474</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184"/>
      <c r="Q28" s="1882" t="str">
        <f t="shared" si="11"/>
        <v>朝向</v>
      </c>
      <c r="R28" s="749" t="s">
        <v>25</v>
      </c>
      <c r="S28" s="750">
        <f>F28</f>
        <v>100</v>
      </c>
      <c r="T28" s="749" t="s">
        <v>25</v>
      </c>
      <c r="U28" s="750">
        <f>H28</f>
        <v>100</v>
      </c>
      <c r="V28" s="749" t="s">
        <v>25</v>
      </c>
      <c r="W28" s="750">
        <f>J28</f>
        <v>100</v>
      </c>
      <c r="X28" s="751"/>
      <c r="Y28" s="3154"/>
      <c r="Z28" s="23" t="str">
        <f>Q28</f>
        <v>朝向</v>
      </c>
      <c r="AA28" s="1898">
        <f>D28/F28</f>
        <v>1</v>
      </c>
      <c r="AB28" s="1898">
        <f>D28/H28</f>
        <v>1</v>
      </c>
      <c r="AC28" s="1898">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184"/>
      <c r="Q29" s="1894">
        <f t="shared" si="11"/>
        <v>111</v>
      </c>
      <c r="R29" s="753" t="s">
        <v>25</v>
      </c>
      <c r="S29" s="754">
        <f t="shared" ref="S29:S47" si="12">F29</f>
        <v>100</v>
      </c>
      <c r="T29" s="753" t="s">
        <v>25</v>
      </c>
      <c r="U29" s="754">
        <f t="shared" ref="U29:U47" si="13">H29</f>
        <v>100</v>
      </c>
      <c r="V29" s="753" t="s">
        <v>25</v>
      </c>
      <c r="W29" s="754">
        <f t="shared" ref="W29:W47" si="14">J29</f>
        <v>100</v>
      </c>
      <c r="X29" s="1895"/>
      <c r="Y29" s="3154"/>
      <c r="Z29" s="1897">
        <f t="shared" ref="Z29:Z47" si="15">Q29</f>
        <v>111</v>
      </c>
      <c r="AA29" s="1898">
        <f t="shared" si="3"/>
        <v>1</v>
      </c>
      <c r="AB29" s="1898">
        <f t="shared" si="4"/>
        <v>1</v>
      </c>
      <c r="AC29" s="1898">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184"/>
      <c r="Q30" s="1894">
        <f t="shared" si="11"/>
        <v>111</v>
      </c>
      <c r="R30" s="753" t="s">
        <v>25</v>
      </c>
      <c r="S30" s="754">
        <f t="shared" si="12"/>
        <v>100</v>
      </c>
      <c r="T30" s="753" t="s">
        <v>25</v>
      </c>
      <c r="U30" s="754">
        <f t="shared" si="13"/>
        <v>100</v>
      </c>
      <c r="V30" s="753" t="s">
        <v>25</v>
      </c>
      <c r="W30" s="754">
        <f t="shared" si="14"/>
        <v>100</v>
      </c>
      <c r="X30" s="1895"/>
      <c r="Y30" s="3154"/>
      <c r="Z30" s="1897">
        <f t="shared" si="15"/>
        <v>111</v>
      </c>
      <c r="AA30" s="1898">
        <f t="shared" si="3"/>
        <v>1</v>
      </c>
      <c r="AB30" s="1898">
        <f t="shared" si="4"/>
        <v>1</v>
      </c>
      <c r="AC30" s="1898">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184"/>
      <c r="Q31" s="1894">
        <f t="shared" si="11"/>
        <v>111</v>
      </c>
      <c r="R31" s="753" t="s">
        <v>25</v>
      </c>
      <c r="S31" s="754">
        <f t="shared" si="12"/>
        <v>100</v>
      </c>
      <c r="T31" s="753" t="s">
        <v>25</v>
      </c>
      <c r="U31" s="754">
        <f t="shared" si="13"/>
        <v>100</v>
      </c>
      <c r="V31" s="753" t="s">
        <v>25</v>
      </c>
      <c r="W31" s="754">
        <f t="shared" si="14"/>
        <v>100</v>
      </c>
      <c r="X31" s="1895"/>
      <c r="Y31" s="3154"/>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184"/>
      <c r="Q32" s="1894">
        <f t="shared" si="11"/>
        <v>111</v>
      </c>
      <c r="R32" s="753" t="s">
        <v>25</v>
      </c>
      <c r="S32" s="754">
        <f t="shared" si="12"/>
        <v>100</v>
      </c>
      <c r="T32" s="753" t="s">
        <v>25</v>
      </c>
      <c r="U32" s="754">
        <f t="shared" si="13"/>
        <v>100</v>
      </c>
      <c r="V32" s="753" t="s">
        <v>25</v>
      </c>
      <c r="W32" s="754">
        <f t="shared" si="14"/>
        <v>100</v>
      </c>
      <c r="X32" s="1895"/>
      <c r="Y32" s="3154"/>
      <c r="Z32" s="1897">
        <f t="shared" si="15"/>
        <v>111</v>
      </c>
      <c r="AA32" s="1898">
        <f t="shared" si="3"/>
        <v>1</v>
      </c>
      <c r="AB32" s="1898">
        <f t="shared" si="4"/>
        <v>1</v>
      </c>
      <c r="AC32" s="1898">
        <f t="shared" si="5"/>
        <v>1</v>
      </c>
    </row>
    <row r="33" spans="1:29" ht="15">
      <c r="A33" s="419" t="s">
        <v>2361</v>
      </c>
      <c r="B33" s="28" t="s">
        <v>2475</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197" t="s">
        <v>2363</v>
      </c>
      <c r="Q33" s="1894" t="str">
        <f t="shared" si="11"/>
        <v>建筑类型</v>
      </c>
      <c r="R33" s="753" t="s">
        <v>25</v>
      </c>
      <c r="S33" s="754">
        <f t="shared" si="12"/>
        <v>100</v>
      </c>
      <c r="T33" s="753" t="s">
        <v>25</v>
      </c>
      <c r="U33" s="754">
        <f t="shared" si="13"/>
        <v>100</v>
      </c>
      <c r="V33" s="753" t="s">
        <v>25</v>
      </c>
      <c r="W33" s="754">
        <f t="shared" si="14"/>
        <v>100</v>
      </c>
      <c r="X33" s="1895"/>
      <c r="Y33" s="3158" t="s">
        <v>2363</v>
      </c>
      <c r="Z33" s="1897" t="str">
        <f t="shared" si="15"/>
        <v>建筑类型</v>
      </c>
      <c r="AA33" s="1898">
        <f t="shared" si="3"/>
        <v>1</v>
      </c>
      <c r="AB33" s="1898">
        <f t="shared" si="4"/>
        <v>1</v>
      </c>
      <c r="AC33" s="1898">
        <f t="shared" si="5"/>
        <v>1</v>
      </c>
    </row>
    <row r="34" spans="1:29" s="452" customFormat="1" ht="15">
      <c r="A34" s="449"/>
      <c r="B34" s="402" t="s">
        <v>2364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198"/>
      <c r="Q34" s="755" t="str">
        <f t="shared" si="11"/>
        <v>项目建筑规模</v>
      </c>
      <c r="R34" s="756" t="s">
        <v>25</v>
      </c>
      <c r="S34" s="757" t="e">
        <f t="shared" si="12"/>
        <v>#N/A</v>
      </c>
      <c r="T34" s="756" t="s">
        <v>25</v>
      </c>
      <c r="U34" s="757" t="e">
        <f t="shared" si="13"/>
        <v>#N/A</v>
      </c>
      <c r="V34" s="756" t="s">
        <v>25</v>
      </c>
      <c r="W34" s="757" t="e">
        <f t="shared" si="14"/>
        <v>#N/A</v>
      </c>
      <c r="X34" s="758"/>
      <c r="Y34" s="3158"/>
      <c r="Z34" s="759" t="str">
        <f t="shared" si="15"/>
        <v>项目建筑规模</v>
      </c>
      <c r="AA34" s="1898" t="e">
        <f t="shared" si="3"/>
        <v>#N/A</v>
      </c>
      <c r="AB34" s="1898" t="e">
        <f t="shared" si="4"/>
        <v>#N/A</v>
      </c>
      <c r="AC34" s="1898" t="e">
        <f t="shared" si="5"/>
        <v>#N/A</v>
      </c>
    </row>
    <row r="35" spans="1:29" ht="15">
      <c r="A35" s="453"/>
      <c r="B35" s="402" t="s">
        <v>2365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198"/>
      <c r="Q35" s="1894" t="str">
        <f t="shared" si="11"/>
        <v>建筑结构</v>
      </c>
      <c r="R35" s="753" t="s">
        <v>25</v>
      </c>
      <c r="S35" s="754">
        <f t="shared" si="12"/>
        <v>100</v>
      </c>
      <c r="T35" s="753" t="s">
        <v>25</v>
      </c>
      <c r="U35" s="754">
        <f t="shared" si="13"/>
        <v>100</v>
      </c>
      <c r="V35" s="753" t="s">
        <v>25</v>
      </c>
      <c r="W35" s="754">
        <f t="shared" si="14"/>
        <v>100</v>
      </c>
      <c r="X35" s="1895"/>
      <c r="Y35" s="3158"/>
      <c r="Z35" s="1897" t="str">
        <f t="shared" si="15"/>
        <v>建筑结构</v>
      </c>
      <c r="AA35" s="1898">
        <f t="shared" si="3"/>
        <v>1</v>
      </c>
      <c r="AB35" s="1898">
        <f t="shared" si="4"/>
        <v>1</v>
      </c>
      <c r="AC35" s="1898">
        <f t="shared" si="5"/>
        <v>1</v>
      </c>
    </row>
    <row r="36" spans="1:29" ht="15">
      <c r="A36" s="453"/>
      <c r="B36" s="402" t="s">
        <v>2449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198"/>
      <c r="Q36" s="1894" t="str">
        <f t="shared" si="11"/>
        <v>公共部分装修</v>
      </c>
      <c r="R36" s="753" t="s">
        <v>25</v>
      </c>
      <c r="S36" s="754">
        <f t="shared" si="12"/>
        <v>100</v>
      </c>
      <c r="T36" s="753" t="s">
        <v>25</v>
      </c>
      <c r="U36" s="754">
        <f t="shared" si="13"/>
        <v>100</v>
      </c>
      <c r="V36" s="753" t="s">
        <v>25</v>
      </c>
      <c r="W36" s="754">
        <f t="shared" si="14"/>
        <v>100</v>
      </c>
      <c r="X36" s="1895"/>
      <c r="Y36" s="3158"/>
      <c r="Z36" s="1897" t="str">
        <f t="shared" si="15"/>
        <v>公共部分装修</v>
      </c>
      <c r="AA36" s="1898">
        <f t="shared" si="3"/>
        <v>1</v>
      </c>
      <c r="AB36" s="1898">
        <f t="shared" si="4"/>
        <v>1</v>
      </c>
      <c r="AC36" s="1898">
        <f t="shared" si="5"/>
        <v>1</v>
      </c>
    </row>
    <row r="37" spans="1:29" ht="15">
      <c r="A37" s="453"/>
      <c r="B37" s="402" t="s">
        <v>2450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198"/>
      <c r="Q37" s="1894" t="str">
        <f t="shared" si="11"/>
        <v>成新度</v>
      </c>
      <c r="R37" s="753" t="s">
        <v>25</v>
      </c>
      <c r="S37" s="754" t="e">
        <f t="shared" si="12"/>
        <v>#N/A</v>
      </c>
      <c r="T37" s="753" t="s">
        <v>25</v>
      </c>
      <c r="U37" s="754" t="e">
        <f t="shared" si="13"/>
        <v>#N/A</v>
      </c>
      <c r="V37" s="753" t="s">
        <v>25</v>
      </c>
      <c r="W37" s="754" t="e">
        <f t="shared" si="14"/>
        <v>#N/A</v>
      </c>
      <c r="X37" s="1895"/>
      <c r="Y37" s="3158"/>
      <c r="Z37" s="1897" t="str">
        <f t="shared" si="15"/>
        <v>成新度</v>
      </c>
      <c r="AA37" s="1898" t="e">
        <f t="shared" si="3"/>
        <v>#N/A</v>
      </c>
      <c r="AB37" s="1898" t="e">
        <f t="shared" si="4"/>
        <v>#N/A</v>
      </c>
      <c r="AC37" s="1898" t="e">
        <f t="shared" si="5"/>
        <v>#N/A</v>
      </c>
    </row>
    <row r="38" spans="1:29" s="35" customFormat="1" ht="15">
      <c r="A38" s="454"/>
      <c r="B38" s="402" t="s">
        <v>2476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198"/>
      <c r="Q38" s="1882" t="str">
        <f t="shared" si="11"/>
        <v>写字楼等级</v>
      </c>
      <c r="R38" s="749" t="s">
        <v>25</v>
      </c>
      <c r="S38" s="750">
        <f t="shared" si="12"/>
        <v>100</v>
      </c>
      <c r="T38" s="749" t="s">
        <v>25</v>
      </c>
      <c r="U38" s="750">
        <f t="shared" si="13"/>
        <v>100</v>
      </c>
      <c r="V38" s="749" t="s">
        <v>25</v>
      </c>
      <c r="W38" s="750">
        <f t="shared" si="14"/>
        <v>100</v>
      </c>
      <c r="X38" s="751"/>
      <c r="Y38" s="3158"/>
      <c r="Z38" s="23" t="str">
        <f t="shared" si="15"/>
        <v>写字楼等级</v>
      </c>
      <c r="AA38" s="752">
        <f t="shared" si="3"/>
        <v>1</v>
      </c>
      <c r="AB38" s="752">
        <f t="shared" si="4"/>
        <v>1</v>
      </c>
      <c r="AC38" s="752">
        <f t="shared" si="5"/>
        <v>1</v>
      </c>
    </row>
    <row r="39" spans="1:29" ht="15">
      <c r="A39" s="453"/>
      <c r="B39" s="402" t="s">
        <v>2477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198" t="s">
        <v>2363</v>
      </c>
      <c r="Q39" s="1894" t="str">
        <f t="shared" si="11"/>
        <v>物业管理</v>
      </c>
      <c r="R39" s="753" t="s">
        <v>25</v>
      </c>
      <c r="S39" s="754">
        <f t="shared" si="12"/>
        <v>100</v>
      </c>
      <c r="T39" s="753" t="s">
        <v>25</v>
      </c>
      <c r="U39" s="754">
        <f t="shared" si="13"/>
        <v>100</v>
      </c>
      <c r="V39" s="753" t="s">
        <v>25</v>
      </c>
      <c r="W39" s="754">
        <f t="shared" si="14"/>
        <v>100</v>
      </c>
      <c r="X39" s="1895"/>
      <c r="Y39" s="3158" t="s">
        <v>2363</v>
      </c>
      <c r="Z39" s="1897" t="str">
        <f t="shared" si="15"/>
        <v>物业管理</v>
      </c>
      <c r="AA39" s="1898">
        <f t="shared" si="3"/>
        <v>1</v>
      </c>
      <c r="AB39" s="1898">
        <f t="shared" si="4"/>
        <v>1</v>
      </c>
      <c r="AC39" s="1898">
        <f t="shared" si="5"/>
        <v>1</v>
      </c>
    </row>
    <row r="40" spans="1:29" ht="15">
      <c r="A40" s="453"/>
      <c r="B40" s="402" t="s">
        <v>2451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198"/>
      <c r="Q40" s="1894" t="str">
        <f t="shared" si="11"/>
        <v>市政基础设施</v>
      </c>
      <c r="R40" s="753" t="s">
        <v>25</v>
      </c>
      <c r="S40" s="754">
        <f t="shared" si="12"/>
        <v>100</v>
      </c>
      <c r="T40" s="753" t="s">
        <v>25</v>
      </c>
      <c r="U40" s="754">
        <f t="shared" si="13"/>
        <v>100</v>
      </c>
      <c r="V40" s="753" t="s">
        <v>25</v>
      </c>
      <c r="W40" s="754">
        <f t="shared" si="14"/>
        <v>100</v>
      </c>
      <c r="X40" s="1895"/>
      <c r="Y40" s="3158"/>
      <c r="Z40" s="1897" t="str">
        <f t="shared" si="15"/>
        <v>市政基础设施</v>
      </c>
      <c r="AA40" s="1898">
        <f t="shared" si="3"/>
        <v>1</v>
      </c>
      <c r="AB40" s="1898">
        <f t="shared" si="4"/>
        <v>1</v>
      </c>
      <c r="AC40" s="1898">
        <f t="shared" si="5"/>
        <v>1</v>
      </c>
    </row>
    <row r="41" spans="1:29" ht="15">
      <c r="A41" s="453"/>
      <c r="B41" s="402" t="s">
        <v>2453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198"/>
      <c r="Q41" s="1894" t="str">
        <f t="shared" si="11"/>
        <v>层高</v>
      </c>
      <c r="R41" s="753" t="s">
        <v>25</v>
      </c>
      <c r="S41" s="754">
        <f t="shared" si="12"/>
        <v>100</v>
      </c>
      <c r="T41" s="753" t="s">
        <v>25</v>
      </c>
      <c r="U41" s="754">
        <f t="shared" si="13"/>
        <v>100</v>
      </c>
      <c r="V41" s="753" t="s">
        <v>25</v>
      </c>
      <c r="W41" s="754">
        <f t="shared" si="14"/>
        <v>100</v>
      </c>
      <c r="X41" s="1895"/>
      <c r="Y41" s="3158"/>
      <c r="Z41" s="1897" t="str">
        <f t="shared" si="15"/>
        <v>层高</v>
      </c>
      <c r="AA41" s="1898">
        <f t="shared" si="3"/>
        <v>1</v>
      </c>
      <c r="AB41" s="1898">
        <f t="shared" si="4"/>
        <v>1</v>
      </c>
      <c r="AC41" s="1898">
        <f t="shared" si="5"/>
        <v>1</v>
      </c>
    </row>
    <row r="42" spans="1:29" s="452" customFormat="1" ht="15">
      <c r="A42" s="449"/>
      <c r="B42" s="1899" t="s">
        <v>2478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198"/>
      <c r="Q42" s="755" t="str">
        <f t="shared" si="11"/>
        <v>单套建筑面积</v>
      </c>
      <c r="R42" s="756" t="s">
        <v>25</v>
      </c>
      <c r="S42" s="757">
        <f t="shared" si="12"/>
        <v>100</v>
      </c>
      <c r="T42" s="756" t="s">
        <v>25</v>
      </c>
      <c r="U42" s="757">
        <f t="shared" si="13"/>
        <v>100</v>
      </c>
      <c r="V42" s="756" t="s">
        <v>25</v>
      </c>
      <c r="W42" s="757">
        <f t="shared" si="14"/>
        <v>100</v>
      </c>
      <c r="X42" s="758"/>
      <c r="Y42" s="3158"/>
      <c r="Z42" s="759" t="str">
        <f t="shared" si="15"/>
        <v>单套建筑面积</v>
      </c>
      <c r="AA42" s="1898">
        <f t="shared" si="3"/>
        <v>1</v>
      </c>
      <c r="AB42" s="1898">
        <f t="shared" si="4"/>
        <v>1</v>
      </c>
      <c r="AC42" s="1898">
        <f t="shared" si="5"/>
        <v>1</v>
      </c>
    </row>
    <row r="43" spans="1:29" ht="15">
      <c r="A43" s="453"/>
      <c r="B43" s="402" t="s">
        <v>2456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198"/>
      <c r="Q43" s="1894" t="str">
        <f t="shared" si="11"/>
        <v>内部装修</v>
      </c>
      <c r="R43" s="753" t="s">
        <v>25</v>
      </c>
      <c r="S43" s="754">
        <f t="shared" si="12"/>
        <v>100</v>
      </c>
      <c r="T43" s="753" t="s">
        <v>25</v>
      </c>
      <c r="U43" s="754">
        <f t="shared" si="13"/>
        <v>100</v>
      </c>
      <c r="V43" s="753" t="s">
        <v>25</v>
      </c>
      <c r="W43" s="754">
        <f t="shared" si="14"/>
        <v>100</v>
      </c>
      <c r="X43" s="1895"/>
      <c r="Y43" s="3158"/>
      <c r="Z43" s="1897" t="str">
        <f t="shared" si="15"/>
        <v>内部装修</v>
      </c>
      <c r="AA43" s="1898">
        <f t="shared" si="3"/>
        <v>1</v>
      </c>
      <c r="AB43" s="1898">
        <f t="shared" si="4"/>
        <v>1</v>
      </c>
      <c r="AC43" s="1898">
        <f t="shared" si="5"/>
        <v>1</v>
      </c>
    </row>
    <row r="44" spans="1:29" ht="15">
      <c r="A44" s="453"/>
      <c r="B44" s="402" t="s">
        <v>2374</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198"/>
      <c r="Q44" s="1894" t="str">
        <f t="shared" si="11"/>
        <v>内部装修维护情况</v>
      </c>
      <c r="R44" s="753" t="s">
        <v>25</v>
      </c>
      <c r="S44" s="754">
        <f t="shared" si="12"/>
        <v>100</v>
      </c>
      <c r="T44" s="753" t="s">
        <v>25</v>
      </c>
      <c r="U44" s="754">
        <f t="shared" si="13"/>
        <v>100</v>
      </c>
      <c r="V44" s="753" t="s">
        <v>25</v>
      </c>
      <c r="W44" s="754">
        <f t="shared" si="14"/>
        <v>100</v>
      </c>
      <c r="X44" s="1895"/>
      <c r="Y44" s="3158"/>
      <c r="Z44" s="1897" t="str">
        <f t="shared" si="15"/>
        <v>内部装修维护情况</v>
      </c>
      <c r="AA44" s="1898">
        <f t="shared" si="3"/>
        <v>1</v>
      </c>
      <c r="AB44" s="1898">
        <f t="shared" si="4"/>
        <v>1</v>
      </c>
      <c r="AC44" s="1898">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198"/>
      <c r="Q45" s="1882">
        <f t="shared" si="11"/>
        <v>111</v>
      </c>
      <c r="R45" s="749" t="s">
        <v>25</v>
      </c>
      <c r="S45" s="750">
        <f t="shared" si="12"/>
        <v>100</v>
      </c>
      <c r="T45" s="749" t="s">
        <v>25</v>
      </c>
      <c r="U45" s="750">
        <f t="shared" si="13"/>
        <v>100</v>
      </c>
      <c r="V45" s="749" t="s">
        <v>25</v>
      </c>
      <c r="W45" s="750">
        <f t="shared" si="14"/>
        <v>100</v>
      </c>
      <c r="X45" s="751"/>
      <c r="Y45" s="3158"/>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198"/>
      <c r="Q46" s="1894">
        <f t="shared" si="11"/>
        <v>111</v>
      </c>
      <c r="R46" s="753" t="s">
        <v>25</v>
      </c>
      <c r="S46" s="754">
        <f t="shared" si="12"/>
        <v>100</v>
      </c>
      <c r="T46" s="753" t="s">
        <v>25</v>
      </c>
      <c r="U46" s="754">
        <f t="shared" si="13"/>
        <v>100</v>
      </c>
      <c r="V46" s="753" t="s">
        <v>25</v>
      </c>
      <c r="W46" s="754">
        <f t="shared" si="14"/>
        <v>100</v>
      </c>
      <c r="X46" s="1895"/>
      <c r="Y46" s="3158"/>
      <c r="Z46" s="1897">
        <f t="shared" si="15"/>
        <v>111</v>
      </c>
      <c r="AA46" s="1898">
        <f t="shared" si="3"/>
        <v>1</v>
      </c>
      <c r="AB46" s="1898">
        <f t="shared" si="4"/>
        <v>1</v>
      </c>
      <c r="AC46" s="1898">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199"/>
      <c r="Q47" s="1894">
        <f t="shared" si="11"/>
        <v>111</v>
      </c>
      <c r="R47" s="753" t="s">
        <v>25</v>
      </c>
      <c r="S47" s="754">
        <f t="shared" si="12"/>
        <v>100</v>
      </c>
      <c r="T47" s="753" t="s">
        <v>25</v>
      </c>
      <c r="U47" s="754">
        <f t="shared" si="13"/>
        <v>100</v>
      </c>
      <c r="V47" s="753" t="s">
        <v>25</v>
      </c>
      <c r="W47" s="754">
        <f t="shared" si="14"/>
        <v>100</v>
      </c>
      <c r="X47" s="1895"/>
      <c r="Y47" s="3159"/>
      <c r="Z47" s="1897">
        <f t="shared" si="15"/>
        <v>111</v>
      </c>
      <c r="AA47" s="1898">
        <f t="shared" si="3"/>
        <v>1</v>
      </c>
      <c r="AB47" s="1898">
        <f t="shared" si="4"/>
        <v>1</v>
      </c>
      <c r="AC47" s="1898">
        <f t="shared" si="5"/>
        <v>1</v>
      </c>
    </row>
    <row r="48" spans="1:29" ht="15">
      <c r="A48" s="460" t="s">
        <v>2375</v>
      </c>
      <c r="B48" s="461"/>
      <c r="C48" s="1498" t="s">
        <v>1</v>
      </c>
      <c r="D48" s="1499"/>
      <c r="E48" s="1500"/>
      <c r="F48" s="1501"/>
      <c r="G48" s="1502"/>
      <c r="H48" s="1503"/>
      <c r="I48" s="1500"/>
      <c r="J48" s="1503"/>
      <c r="K48" s="762"/>
      <c r="L48" s="1252"/>
      <c r="M48" s="1240"/>
      <c r="N48" s="1240"/>
      <c r="O48" s="1240"/>
      <c r="P48" s="3148" t="str">
        <f>A48</f>
        <v>成交单价（元/平方米）</v>
      </c>
      <c r="Q48" s="3150"/>
      <c r="R48" s="3146">
        <f>E48</f>
        <v>0</v>
      </c>
      <c r="S48" s="3146"/>
      <c r="T48" s="3146">
        <f>G48</f>
        <v>0</v>
      </c>
      <c r="U48" s="3146"/>
      <c r="V48" s="3146">
        <f>I48</f>
        <v>0</v>
      </c>
      <c r="W48" s="3146"/>
      <c r="X48" s="738"/>
      <c r="Y48" s="760"/>
      <c r="Z48" s="738"/>
      <c r="AA48" s="738"/>
      <c r="AB48" s="738"/>
      <c r="AC48" s="738"/>
    </row>
    <row r="49" spans="1:29" ht="15.75" thickBot="1">
      <c r="A49" s="467" t="s">
        <v>2457</v>
      </c>
      <c r="B49" s="468"/>
      <c r="C49" s="1504" t="e">
        <f>R50</f>
        <v>#DIV/0!</v>
      </c>
      <c r="D49" s="1505"/>
      <c r="E49" s="1506" t="e">
        <f>R49</f>
        <v>#DIV/0!</v>
      </c>
      <c r="F49" s="1506"/>
      <c r="G49" s="1504" t="e">
        <f>T49</f>
        <v>#DIV/0!</v>
      </c>
      <c r="H49" s="1505"/>
      <c r="I49" s="1506" t="e">
        <f>V49</f>
        <v>#DIV/0!</v>
      </c>
      <c r="J49" s="1505"/>
      <c r="K49" s="763"/>
      <c r="L49" s="1252"/>
      <c r="M49" s="1240"/>
      <c r="N49" s="1240"/>
      <c r="O49" s="1240"/>
      <c r="P49" s="3148" t="str">
        <f>A49</f>
        <v>比较价值（元/平方米）</v>
      </c>
      <c r="Q49" s="3150"/>
      <c r="R49" s="3146" t="e">
        <f>IF(E1="售价",ROUND(PRODUCT(R48,AA7:AA47),0),ROUND(PRODUCT(R48,AA7:AA47),1))</f>
        <v>#DIV/0!</v>
      </c>
      <c r="S49" s="3146"/>
      <c r="T49" s="3146" t="e">
        <f>IF(E1="售价",ROUND(PRODUCT(T48,AB7:AB47),0),ROUND(PRODUCT(T48,AB7:AB47),1))</f>
        <v>#DIV/0!</v>
      </c>
      <c r="U49" s="3146"/>
      <c r="V49" s="3146" t="e">
        <f>IF(E1="售价",ROUND(PRODUCT(V48,AC7:AC47),0),ROUND(PRODUCT(V48,AC7:AC47),1))</f>
        <v>#DIV/0!</v>
      </c>
      <c r="W49" s="3146"/>
      <c r="X49" s="738"/>
      <c r="Y49" s="738"/>
      <c r="Z49" s="738"/>
      <c r="AA49" s="738"/>
      <c r="AB49" s="738"/>
      <c r="AC49" s="738"/>
    </row>
    <row r="50" spans="1:29" ht="15.75" thickBot="1">
      <c r="A50" s="473" t="s">
        <v>2479</v>
      </c>
      <c r="B50" s="474"/>
      <c r="C50" s="1508" t="e">
        <f>R50</f>
        <v>#DIV/0!</v>
      </c>
      <c r="D50" s="1508"/>
      <c r="E50" s="1508"/>
      <c r="F50" s="1508"/>
      <c r="G50" s="1508"/>
      <c r="H50" s="1508"/>
      <c r="I50" s="1508"/>
      <c r="J50" s="1508"/>
      <c r="K50" s="764"/>
      <c r="L50" s="1252"/>
      <c r="M50" s="1240"/>
      <c r="N50" s="1240"/>
      <c r="O50" s="1240"/>
      <c r="P50" s="3196" t="str">
        <f>A50</f>
        <v>估价对象XX用房的比较价值（楼面单价，元/平方米）</v>
      </c>
      <c r="Q50" s="3148"/>
      <c r="R50" s="3149" t="e">
        <f>IF(E1="售价",ROUND(AVERAGE(R49:V49),0),ROUND(AVERAGE(R49:V49),1))</f>
        <v>#DIV/0!</v>
      </c>
      <c r="S50" s="3149"/>
      <c r="T50" s="3149"/>
      <c r="U50" s="3149"/>
      <c r="V50" s="3149"/>
      <c r="W50" s="3149"/>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2458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2459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2461</v>
      </c>
      <c r="B58" s="738"/>
      <c r="C58" s="743"/>
      <c r="D58" s="743"/>
      <c r="E58" s="743"/>
      <c r="F58" s="744"/>
      <c r="G58" s="744"/>
      <c r="H58" s="743"/>
      <c r="I58" s="743"/>
      <c r="J58" s="743"/>
      <c r="K58" s="745"/>
      <c r="L58" s="746"/>
      <c r="M58" s="743"/>
      <c r="N58" s="743"/>
      <c r="O58" s="743"/>
      <c r="P58" s="484"/>
      <c r="Q58" s="485"/>
    </row>
    <row r="59" spans="1:29" s="489" customFormat="1" ht="15">
      <c r="A59" s="486" t="s">
        <v>2345</v>
      </c>
      <c r="B59" s="487"/>
      <c r="C59" s="1674" t="str">
        <f>YEAR(C7)&amp;"-"&amp;MONTH(C7)</f>
        <v>2020-10</v>
      </c>
      <c r="D59" s="1675">
        <f>EDATE(C59,-1)</f>
        <v>44075</v>
      </c>
      <c r="E59" s="1675">
        <f t="shared" ref="E59:O59" si="16">EDATE(D59,-1)</f>
        <v>44044</v>
      </c>
      <c r="F59" s="1675">
        <f t="shared" si="16"/>
        <v>44013</v>
      </c>
      <c r="G59" s="1675">
        <f t="shared" si="16"/>
        <v>43983</v>
      </c>
      <c r="H59" s="1675">
        <f t="shared" si="16"/>
        <v>43952</v>
      </c>
      <c r="I59" s="1675">
        <f t="shared" si="16"/>
        <v>43922</v>
      </c>
      <c r="J59" s="1675">
        <f t="shared" si="16"/>
        <v>43891</v>
      </c>
      <c r="K59" s="1675">
        <f t="shared" si="16"/>
        <v>43862</v>
      </c>
      <c r="L59" s="1675">
        <f t="shared" si="16"/>
        <v>43831</v>
      </c>
      <c r="M59" s="1675">
        <f t="shared" si="16"/>
        <v>43800</v>
      </c>
      <c r="N59" s="1675">
        <f t="shared" si="16"/>
        <v>43770</v>
      </c>
      <c r="O59" s="1675">
        <f t="shared" si="16"/>
        <v>43739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2383</v>
      </c>
      <c r="B61" s="497"/>
      <c r="C61" s="498"/>
      <c r="D61" s="499"/>
      <c r="E61" s="499"/>
      <c r="F61" s="499"/>
      <c r="G61" s="499"/>
      <c r="H61" s="499"/>
      <c r="I61" s="499"/>
      <c r="J61" s="499"/>
      <c r="K61" s="499"/>
      <c r="L61" s="499"/>
      <c r="M61" s="500"/>
      <c r="N61" s="499"/>
      <c r="O61" s="501"/>
      <c r="P61" s="485"/>
      <c r="Q61" s="485"/>
    </row>
    <row r="62" spans="1:29" s="35" customFormat="1" ht="15">
      <c r="A62" s="502" t="s">
        <v>2347</v>
      </c>
      <c r="B62" s="491"/>
      <c r="C62" s="503" t="s">
        <v>2348</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2386</v>
      </c>
      <c r="B64" s="509" t="s">
        <v>2351</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2354</v>
      </c>
      <c r="C66" s="522" t="s">
        <v>2387</v>
      </c>
      <c r="D66" s="522" t="s">
        <v>2388</v>
      </c>
      <c r="E66" s="522" t="s">
        <v>2389</v>
      </c>
      <c r="F66" s="522" t="s">
        <v>2390</v>
      </c>
      <c r="G66" s="522" t="s">
        <v>2391</v>
      </c>
      <c r="H66" s="522" t="s">
        <v>2392</v>
      </c>
      <c r="I66" s="522" t="s">
        <v>2393</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2356</v>
      </c>
      <c r="B77" s="509" t="s">
        <v>2480</v>
      </c>
      <c r="C77" s="557" t="s">
        <v>2395</v>
      </c>
      <c r="D77" s="557" t="s">
        <v>2396</v>
      </c>
      <c r="E77" s="557" t="s">
        <v>2397</v>
      </c>
      <c r="F77" s="557" t="s">
        <v>2398</v>
      </c>
      <c r="G77" s="557" t="s">
        <v>2399</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2400</v>
      </c>
      <c r="C79" s="562" t="s">
        <v>2395</v>
      </c>
      <c r="D79" s="562" t="s">
        <v>2396</v>
      </c>
      <c r="E79" s="562" t="s">
        <v>2397</v>
      </c>
      <c r="F79" s="562" t="s">
        <v>2398</v>
      </c>
      <c r="G79" s="562" t="s">
        <v>2399</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2401</v>
      </c>
      <c r="C81" s="562" t="s">
        <v>2395</v>
      </c>
      <c r="D81" s="562" t="s">
        <v>2396</v>
      </c>
      <c r="E81" s="562" t="s">
        <v>2397</v>
      </c>
      <c r="F81" s="562" t="s">
        <v>2398</v>
      </c>
      <c r="G81" s="562" t="s">
        <v>2399</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2444</v>
      </c>
      <c r="C83" s="522" t="s">
        <v>2402</v>
      </c>
      <c r="D83" s="522" t="s">
        <v>2403</v>
      </c>
      <c r="E83" s="522" t="s">
        <v>2404</v>
      </c>
      <c r="F83" s="522" t="s">
        <v>2405</v>
      </c>
      <c r="G83" s="522" t="s">
        <v>2406</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2481</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2482</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2361</v>
      </c>
      <c r="B101" s="509" t="s">
        <v>2410</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2411</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2412</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2414</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2415</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2483</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2416</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2417</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2484</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2466</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2419</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2420</v>
      </c>
      <c r="C125" s="562" t="s">
        <v>2395</v>
      </c>
      <c r="D125" s="562" t="s">
        <v>2396</v>
      </c>
      <c r="E125" s="562" t="s">
        <v>2397</v>
      </c>
      <c r="F125" s="562" t="s">
        <v>2398</v>
      </c>
      <c r="G125" s="562" t="s">
        <v>2399</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2485</v>
      </c>
      <c r="C1" s="1722"/>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IF(D2="——",IF(C2="元",ROUND(C43*D3,0),ROUND(C43*D3/10000,0)),IF(C2="元",ROUND(C43*D3,0),ROUND(C43*D3/10000,0))-E2)</f>
        <v>#DIV/0!</v>
      </c>
      <c r="C2" s="163" t="str">
        <f>'数据-取费表'!B3</f>
        <v>元</v>
      </c>
      <c r="D2" s="2379"/>
      <c r="E2" s="2472"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2001</v>
      </c>
      <c r="B3" s="593" t="e">
        <f ca="1">ROUND(IF(D2="——",C43,IF(C2="万元",B2*10000/D3,B2/D3)),0)</f>
        <v>#DIV/0!</v>
      </c>
      <c r="C3" s="379" t="s">
        <v>2331</v>
      </c>
      <c r="D3" s="378">
        <f>IF(C1="仅计算典型户型",'数据-取费表'!E5,'数据-取费表'!B5)</f>
        <v>392.22</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29" ht="15">
      <c r="A5" s="383"/>
      <c r="B5" s="384"/>
      <c r="C5" s="3162" t="s">
        <v>2339</v>
      </c>
      <c r="D5" s="3163"/>
      <c r="E5" s="3188" t="s">
        <v>2340</v>
      </c>
      <c r="F5" s="3189"/>
      <c r="G5" s="3162" t="s">
        <v>2341</v>
      </c>
      <c r="H5" s="3163"/>
      <c r="I5" s="3162" t="s">
        <v>2342</v>
      </c>
      <c r="J5" s="3163"/>
      <c r="K5" s="594"/>
      <c r="L5" s="1239"/>
      <c r="M5" s="1240"/>
      <c r="N5" s="1240"/>
      <c r="O5" s="1240"/>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239"/>
      <c r="M6" s="1240"/>
      <c r="N6" s="1240"/>
      <c r="O6" s="1240"/>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44134</v>
      </c>
      <c r="D7" s="390">
        <v>100</v>
      </c>
      <c r="E7" s="391"/>
      <c r="F7" s="392">
        <f>SUMIF(52:52,YEAR(E7)&amp;"-"&amp;MONTH(E7),53:53)</f>
        <v>0</v>
      </c>
      <c r="G7" s="391"/>
      <c r="H7" s="390">
        <f>SUMIF(52:52,YEAR(G7)&amp;"-"&amp;MONTH(G7),53:53)</f>
        <v>0</v>
      </c>
      <c r="I7" s="391"/>
      <c r="J7" s="390">
        <f>SUMIF(52:52,YEAR(I7)&amp;"-"&amp;MONTH(I7),53:53)</f>
        <v>0</v>
      </c>
      <c r="K7" s="595"/>
      <c r="L7" s="1241"/>
      <c r="M7" s="1242"/>
      <c r="N7" s="1242"/>
      <c r="O7" s="1242"/>
      <c r="P7" s="3164" t="s">
        <v>2346</v>
      </c>
      <c r="Q7" s="3172"/>
      <c r="R7" s="749" t="s">
        <v>25</v>
      </c>
      <c r="S7" s="750">
        <f t="shared" ref="S7:S15" si="0">F7</f>
        <v>0</v>
      </c>
      <c r="T7" s="749" t="s">
        <v>25</v>
      </c>
      <c r="U7" s="750">
        <f t="shared" ref="U7:U15" si="1">H7</f>
        <v>0</v>
      </c>
      <c r="V7" s="749" t="s">
        <v>25</v>
      </c>
      <c r="W7" s="750">
        <f t="shared" ref="W7:W15" si="2">J7</f>
        <v>0</v>
      </c>
      <c r="X7" s="751"/>
      <c r="Y7" s="3164" t="s">
        <v>2346</v>
      </c>
      <c r="Z7" s="3165"/>
      <c r="AA7" s="752" t="e">
        <f>D7/F7</f>
        <v>#DIV/0!</v>
      </c>
      <c r="AB7" s="752" t="e">
        <f>D7/H7</f>
        <v>#DIV/0!</v>
      </c>
      <c r="AC7" s="752" t="e">
        <f>D7/J7</f>
        <v>#DIV/0!</v>
      </c>
    </row>
    <row r="8" spans="1:29" s="35" customFormat="1" ht="15.75" thickBot="1">
      <c r="A8" s="387" t="s">
        <v>2347</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164" t="s">
        <v>2349</v>
      </c>
      <c r="Q8" s="3165"/>
      <c r="R8" s="749" t="s">
        <v>25</v>
      </c>
      <c r="S8" s="750">
        <f t="shared" si="0"/>
        <v>100</v>
      </c>
      <c r="T8" s="749" t="s">
        <v>25</v>
      </c>
      <c r="U8" s="750">
        <f t="shared" si="1"/>
        <v>100</v>
      </c>
      <c r="V8" s="749" t="s">
        <v>25</v>
      </c>
      <c r="W8" s="750">
        <f t="shared" si="2"/>
        <v>100</v>
      </c>
      <c r="X8" s="751"/>
      <c r="Y8" s="3164" t="s">
        <v>2349</v>
      </c>
      <c r="Z8" s="3165"/>
      <c r="AA8" s="752">
        <f t="shared" ref="AA8:AA40" si="3">D8/F8</f>
        <v>1</v>
      </c>
      <c r="AB8" s="752">
        <f t="shared" ref="AB8:AB40" si="4">D8/H8</f>
        <v>1</v>
      </c>
      <c r="AC8" s="752">
        <f t="shared" ref="AC8:AC40" si="5">D8/J8</f>
        <v>1</v>
      </c>
    </row>
    <row r="9" spans="1:29" s="35" customFormat="1">
      <c r="A9" s="395" t="s">
        <v>2350</v>
      </c>
      <c r="B9" s="28" t="s">
        <v>2351</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150"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150"/>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150"/>
      <c r="Q11" s="1882" t="str">
        <f t="shared" si="6"/>
        <v>容积率</v>
      </c>
      <c r="R11" s="749" t="s">
        <v>25</v>
      </c>
      <c r="S11" s="750" t="e">
        <f t="shared" si="0"/>
        <v>#N/A</v>
      </c>
      <c r="T11" s="749" t="s">
        <v>25</v>
      </c>
      <c r="U11" s="750" t="e">
        <f t="shared" si="1"/>
        <v>#N/A</v>
      </c>
      <c r="V11" s="749" t="s">
        <v>25</v>
      </c>
      <c r="W11" s="750" t="e">
        <f t="shared" si="2"/>
        <v>#N/A</v>
      </c>
      <c r="X11" s="751"/>
      <c r="Y11" s="2979"/>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150"/>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150"/>
      <c r="Q14" s="1882">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57">
      <c r="A15" s="419" t="s">
        <v>2356</v>
      </c>
      <c r="B15" s="26" t="s">
        <v>2486</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153" t="s">
        <v>2357</v>
      </c>
      <c r="Q15" s="1894" t="str">
        <f t="shared" si="6"/>
        <v>产业集聚程度</v>
      </c>
      <c r="R15" s="753" t="s">
        <v>25</v>
      </c>
      <c r="S15" s="754">
        <f t="shared" si="0"/>
        <v>100</v>
      </c>
      <c r="T15" s="753" t="s">
        <v>25</v>
      </c>
      <c r="U15" s="754">
        <f t="shared" si="1"/>
        <v>100</v>
      </c>
      <c r="V15" s="753" t="s">
        <v>25</v>
      </c>
      <c r="W15" s="754">
        <f t="shared" si="2"/>
        <v>100</v>
      </c>
      <c r="X15" s="1895"/>
      <c r="Y15" s="3153" t="s">
        <v>2357</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154"/>
      <c r="Q16" s="1894"/>
      <c r="R16" s="753"/>
      <c r="S16" s="754"/>
      <c r="T16" s="753"/>
      <c r="U16" s="754"/>
      <c r="V16" s="753"/>
      <c r="W16" s="754"/>
      <c r="X16" s="1895"/>
      <c r="Y16" s="3154"/>
      <c r="Z16" s="1897"/>
      <c r="AA16" s="1898">
        <v>1</v>
      </c>
      <c r="AB16" s="1898">
        <v>1</v>
      </c>
      <c r="AC16" s="1898">
        <v>1</v>
      </c>
    </row>
    <row r="17" spans="1:29" ht="85.5">
      <c r="A17" s="408"/>
      <c r="B17" s="431" t="s">
        <v>1743</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154"/>
      <c r="Q17" s="1894" t="str">
        <f>B17</f>
        <v>交通便捷度</v>
      </c>
      <c r="R17" s="753" t="s">
        <v>25</v>
      </c>
      <c r="S17" s="754">
        <f>F17</f>
        <v>100</v>
      </c>
      <c r="T17" s="753" t="s">
        <v>25</v>
      </c>
      <c r="U17" s="754">
        <f>H17</f>
        <v>100</v>
      </c>
      <c r="V17" s="753" t="s">
        <v>25</v>
      </c>
      <c r="W17" s="754">
        <f>J17</f>
        <v>100</v>
      </c>
      <c r="X17" s="1895"/>
      <c r="Y17" s="3154"/>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599"/>
      <c r="L18" s="1249"/>
      <c r="M18" s="1240"/>
      <c r="N18" s="1240"/>
      <c r="O18" s="1248"/>
      <c r="P18" s="3154"/>
      <c r="Q18" s="1894"/>
      <c r="R18" s="753"/>
      <c r="S18" s="754"/>
      <c r="T18" s="753"/>
      <c r="U18" s="754"/>
      <c r="V18" s="753"/>
      <c r="W18" s="754"/>
      <c r="X18" s="1895"/>
      <c r="Y18" s="3154"/>
      <c r="Z18" s="1897"/>
      <c r="AA18" s="1898">
        <v>1</v>
      </c>
      <c r="AB18" s="1898">
        <v>1</v>
      </c>
      <c r="AC18" s="1898">
        <v>1</v>
      </c>
    </row>
    <row r="19" spans="1:29" ht="42.75">
      <c r="A19" s="408"/>
      <c r="B19" s="615" t="s">
        <v>2470</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154"/>
      <c r="Q19" s="1894" t="str">
        <f>B19</f>
        <v>公共配套设施</v>
      </c>
      <c r="R19" s="753" t="s">
        <v>25</v>
      </c>
      <c r="S19" s="754">
        <f>F19</f>
        <v>100</v>
      </c>
      <c r="T19" s="753" t="s">
        <v>25</v>
      </c>
      <c r="U19" s="754">
        <f>H19</f>
        <v>100</v>
      </c>
      <c r="V19" s="753" t="s">
        <v>25</v>
      </c>
      <c r="W19" s="754">
        <f>J19</f>
        <v>100</v>
      </c>
      <c r="X19" s="1895"/>
      <c r="Y19" s="3154"/>
      <c r="Z19" s="1897" t="str">
        <f>Q19</f>
        <v>公共配套设施</v>
      </c>
      <c r="AA19" s="1898">
        <f t="shared" si="3"/>
        <v>1</v>
      </c>
      <c r="AB19" s="1898">
        <f t="shared" si="4"/>
        <v>1</v>
      </c>
      <c r="AC19" s="1898">
        <f t="shared" si="5"/>
        <v>1</v>
      </c>
    </row>
    <row r="20" spans="1:29" ht="15">
      <c r="A20" s="408"/>
      <c r="B20" s="616"/>
      <c r="C20" s="426"/>
      <c r="D20" s="427"/>
      <c r="E20" s="428"/>
      <c r="F20" s="429"/>
      <c r="G20" s="2399"/>
      <c r="H20" s="427"/>
      <c r="I20" s="428"/>
      <c r="J20" s="427"/>
      <c r="K20" s="599"/>
      <c r="L20" s="1249"/>
      <c r="M20" s="1240"/>
      <c r="N20" s="1240"/>
      <c r="O20" s="1248"/>
      <c r="P20" s="3154"/>
      <c r="Q20" s="1894"/>
      <c r="R20" s="753"/>
      <c r="S20" s="754"/>
      <c r="T20" s="753"/>
      <c r="U20" s="754"/>
      <c r="V20" s="753"/>
      <c r="W20" s="754"/>
      <c r="X20" s="1895"/>
      <c r="Y20" s="3154"/>
      <c r="Z20" s="1897"/>
      <c r="AA20" s="1898">
        <v>1</v>
      </c>
      <c r="AB20" s="1898">
        <v>1</v>
      </c>
      <c r="AC20" s="1898">
        <v>1</v>
      </c>
    </row>
    <row r="21" spans="1:29" ht="28.5">
      <c r="A21" s="408"/>
      <c r="B21" s="617" t="s">
        <v>2471</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154"/>
      <c r="Q21" s="1894" t="str">
        <f>B21</f>
        <v>基础设施水平</v>
      </c>
      <c r="R21" s="753" t="s">
        <v>25</v>
      </c>
      <c r="S21" s="754">
        <f>F21</f>
        <v>100</v>
      </c>
      <c r="T21" s="753" t="s">
        <v>25</v>
      </c>
      <c r="U21" s="754">
        <f>H21</f>
        <v>100</v>
      </c>
      <c r="V21" s="753" t="s">
        <v>25</v>
      </c>
      <c r="W21" s="754">
        <f>J21</f>
        <v>100</v>
      </c>
      <c r="X21" s="1895"/>
      <c r="Y21" s="3154"/>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1465"/>
      <c r="L22" s="1249"/>
      <c r="M22" s="1240"/>
      <c r="N22" s="1240"/>
      <c r="O22" s="1248"/>
      <c r="P22" s="3154"/>
      <c r="Q22" s="1894"/>
      <c r="R22" s="753"/>
      <c r="S22" s="754"/>
      <c r="T22" s="753"/>
      <c r="U22" s="754"/>
      <c r="V22" s="753"/>
      <c r="W22" s="754"/>
      <c r="X22" s="1895"/>
      <c r="Y22" s="3154"/>
      <c r="Z22" s="1897"/>
      <c r="AA22" s="1898">
        <v>1</v>
      </c>
      <c r="AB22" s="1898">
        <v>1</v>
      </c>
      <c r="AC22" s="1898">
        <v>1</v>
      </c>
    </row>
    <row r="23" spans="1:29" ht="71.25">
      <c r="A23" s="408"/>
      <c r="B23" s="431" t="s">
        <v>2472</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154"/>
      <c r="Q23" s="1894" t="str">
        <f>B23</f>
        <v>环境质量</v>
      </c>
      <c r="R23" s="753" t="s">
        <v>25</v>
      </c>
      <c r="S23" s="754">
        <f>F23</f>
        <v>100</v>
      </c>
      <c r="T23" s="753" t="s">
        <v>25</v>
      </c>
      <c r="U23" s="754">
        <f>H23</f>
        <v>100</v>
      </c>
      <c r="V23" s="753" t="s">
        <v>25</v>
      </c>
      <c r="W23" s="754">
        <f>J23</f>
        <v>100</v>
      </c>
      <c r="X23" s="1895"/>
      <c r="Y23" s="3154"/>
      <c r="Z23" s="1897" t="str">
        <f>Q23</f>
        <v>环境质量</v>
      </c>
      <c r="AA23" s="1898">
        <f t="shared" si="3"/>
        <v>1</v>
      </c>
      <c r="AB23" s="1898">
        <f t="shared" si="4"/>
        <v>1</v>
      </c>
      <c r="AC23" s="1898">
        <f t="shared" si="5"/>
        <v>1</v>
      </c>
    </row>
    <row r="24" spans="1:29" ht="15">
      <c r="A24" s="408"/>
      <c r="B24" s="2403"/>
      <c r="C24" s="426"/>
      <c r="D24" s="427"/>
      <c r="E24" s="428"/>
      <c r="F24" s="429"/>
      <c r="G24" s="2399"/>
      <c r="H24" s="427"/>
      <c r="I24" s="428"/>
      <c r="J24" s="427"/>
      <c r="K24" s="599"/>
      <c r="L24" s="1249"/>
      <c r="M24" s="1240"/>
      <c r="N24" s="1240"/>
      <c r="O24" s="1248"/>
      <c r="P24" s="3154"/>
      <c r="Q24" s="1894"/>
      <c r="R24" s="753"/>
      <c r="S24" s="754"/>
      <c r="T24" s="753"/>
      <c r="U24" s="754"/>
      <c r="V24" s="753"/>
      <c r="W24" s="754"/>
      <c r="X24" s="1895"/>
      <c r="Y24" s="3154"/>
      <c r="Z24" s="1897"/>
      <c r="AA24" s="1898">
        <v>1</v>
      </c>
      <c r="AB24" s="1898">
        <v>1</v>
      </c>
      <c r="AC24" s="1898">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154"/>
      <c r="Q25" s="1894">
        <f>B25</f>
        <v>111</v>
      </c>
      <c r="R25" s="753" t="s">
        <v>25</v>
      </c>
      <c r="S25" s="754">
        <f>F25</f>
        <v>100</v>
      </c>
      <c r="T25" s="753" t="s">
        <v>25</v>
      </c>
      <c r="U25" s="754">
        <f>H25</f>
        <v>100</v>
      </c>
      <c r="V25" s="753" t="s">
        <v>25</v>
      </c>
      <c r="W25" s="754">
        <f>J25</f>
        <v>100</v>
      </c>
      <c r="X25" s="1895"/>
      <c r="Y25" s="3154"/>
      <c r="Z25" s="1897">
        <f>Q25</f>
        <v>111</v>
      </c>
      <c r="AA25" s="1898">
        <f t="shared" si="3"/>
        <v>1</v>
      </c>
      <c r="AB25" s="1898">
        <f t="shared" si="4"/>
        <v>1</v>
      </c>
      <c r="AC25" s="1898">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154"/>
      <c r="Q26" s="1894">
        <f t="shared" ref="Q26:Q40" si="11">B26</f>
        <v>111</v>
      </c>
      <c r="R26" s="753" t="s">
        <v>25</v>
      </c>
      <c r="S26" s="754">
        <f>F26</f>
        <v>100</v>
      </c>
      <c r="T26" s="753" t="s">
        <v>25</v>
      </c>
      <c r="U26" s="754">
        <f>H26</f>
        <v>100</v>
      </c>
      <c r="V26" s="753" t="s">
        <v>25</v>
      </c>
      <c r="W26" s="754">
        <f>J26</f>
        <v>100</v>
      </c>
      <c r="X26" s="1895"/>
      <c r="Y26" s="3154"/>
      <c r="Z26" s="1897">
        <f>Q26</f>
        <v>111</v>
      </c>
      <c r="AA26" s="1898">
        <f t="shared" si="3"/>
        <v>1</v>
      </c>
      <c r="AB26" s="1898">
        <f t="shared" si="4"/>
        <v>1</v>
      </c>
      <c r="AC26" s="1898">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154"/>
      <c r="Q27" s="1882">
        <f t="shared" si="11"/>
        <v>111</v>
      </c>
      <c r="R27" s="749" t="s">
        <v>25</v>
      </c>
      <c r="S27" s="750">
        <f>F27</f>
        <v>100</v>
      </c>
      <c r="T27" s="749" t="s">
        <v>25</v>
      </c>
      <c r="U27" s="750">
        <f>H27</f>
        <v>100</v>
      </c>
      <c r="V27" s="749" t="s">
        <v>25</v>
      </c>
      <c r="W27" s="750">
        <f>J27</f>
        <v>100</v>
      </c>
      <c r="X27" s="751"/>
      <c r="Y27" s="3154"/>
      <c r="Z27" s="23">
        <f>Q27</f>
        <v>111</v>
      </c>
      <c r="AA27" s="1898">
        <f>D27/F27</f>
        <v>1</v>
      </c>
      <c r="AB27" s="1898">
        <f>D27/H27</f>
        <v>1</v>
      </c>
      <c r="AC27" s="1898">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154"/>
      <c r="Q28" s="1894">
        <f t="shared" si="11"/>
        <v>111</v>
      </c>
      <c r="R28" s="753" t="s">
        <v>25</v>
      </c>
      <c r="S28" s="754">
        <f t="shared" ref="S28:S40" si="12">F28</f>
        <v>100</v>
      </c>
      <c r="T28" s="753" t="s">
        <v>25</v>
      </c>
      <c r="U28" s="754">
        <f t="shared" ref="U28:U40" si="13">H28</f>
        <v>100</v>
      </c>
      <c r="V28" s="753" t="s">
        <v>25</v>
      </c>
      <c r="W28" s="754">
        <f t="shared" ref="W28:W40" si="14">J28</f>
        <v>100</v>
      </c>
      <c r="X28" s="1895"/>
      <c r="Y28" s="3154"/>
      <c r="Z28" s="1897">
        <f t="shared" ref="Z28:Z40" si="15">Q28</f>
        <v>111</v>
      </c>
      <c r="AA28" s="1898">
        <f t="shared" si="3"/>
        <v>1</v>
      </c>
      <c r="AB28" s="1898">
        <f t="shared" si="4"/>
        <v>1</v>
      </c>
      <c r="AC28" s="1898">
        <f t="shared" si="5"/>
        <v>1</v>
      </c>
    </row>
    <row r="29" spans="1:29" ht="28.5">
      <c r="A29" s="447" t="s">
        <v>2361</v>
      </c>
      <c r="B29" s="28" t="s">
        <v>2475</v>
      </c>
      <c r="C29" s="2468" t="s">
        <v>2487</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203" t="s">
        <v>2363</v>
      </c>
      <c r="Q29" s="1894" t="str">
        <f t="shared" si="11"/>
        <v>建筑类型</v>
      </c>
      <c r="R29" s="753" t="s">
        <v>25</v>
      </c>
      <c r="S29" s="754">
        <f t="shared" si="12"/>
        <v>100</v>
      </c>
      <c r="T29" s="753" t="s">
        <v>25</v>
      </c>
      <c r="U29" s="754">
        <f t="shared" si="13"/>
        <v>100</v>
      </c>
      <c r="V29" s="753" t="s">
        <v>25</v>
      </c>
      <c r="W29" s="754">
        <f t="shared" si="14"/>
        <v>100</v>
      </c>
      <c r="X29" s="1895"/>
      <c r="Y29" s="3158" t="s">
        <v>2363</v>
      </c>
      <c r="Z29" s="1897" t="str">
        <f t="shared" si="15"/>
        <v>建筑类型</v>
      </c>
      <c r="AA29" s="1898">
        <f t="shared" si="3"/>
        <v>1</v>
      </c>
      <c r="AB29" s="1898">
        <f t="shared" si="4"/>
        <v>1</v>
      </c>
      <c r="AC29" s="1898">
        <f t="shared" si="5"/>
        <v>1</v>
      </c>
    </row>
    <row r="30" spans="1:29" s="452" customFormat="1" ht="15">
      <c r="A30" s="449"/>
      <c r="B30" s="402" t="s">
        <v>2364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158"/>
      <c r="Q30" s="755" t="str">
        <f t="shared" si="11"/>
        <v>项目建筑规模</v>
      </c>
      <c r="R30" s="756" t="s">
        <v>25</v>
      </c>
      <c r="S30" s="757" t="e">
        <f t="shared" si="12"/>
        <v>#N/A</v>
      </c>
      <c r="T30" s="756" t="s">
        <v>25</v>
      </c>
      <c r="U30" s="757" t="e">
        <f t="shared" si="13"/>
        <v>#N/A</v>
      </c>
      <c r="V30" s="756" t="s">
        <v>25</v>
      </c>
      <c r="W30" s="757" t="e">
        <f t="shared" si="14"/>
        <v>#N/A</v>
      </c>
      <c r="X30" s="758"/>
      <c r="Y30" s="3158"/>
      <c r="Z30" s="759" t="str">
        <f t="shared" si="15"/>
        <v>项目建筑规模</v>
      </c>
      <c r="AA30" s="1898" t="e">
        <f t="shared" si="3"/>
        <v>#N/A</v>
      </c>
      <c r="AB30" s="1898" t="e">
        <f t="shared" si="4"/>
        <v>#N/A</v>
      </c>
      <c r="AC30" s="1898" t="e">
        <f t="shared" si="5"/>
        <v>#N/A</v>
      </c>
    </row>
    <row r="31" spans="1:29" ht="15">
      <c r="A31" s="453"/>
      <c r="B31" s="402" t="s">
        <v>2365</v>
      </c>
      <c r="C31" s="441" t="s">
        <v>2488</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158"/>
      <c r="Q31" s="1894" t="str">
        <f t="shared" si="11"/>
        <v>建筑结构</v>
      </c>
      <c r="R31" s="753" t="s">
        <v>25</v>
      </c>
      <c r="S31" s="754">
        <f t="shared" si="12"/>
        <v>100</v>
      </c>
      <c r="T31" s="753" t="s">
        <v>25</v>
      </c>
      <c r="U31" s="754">
        <f t="shared" si="13"/>
        <v>100</v>
      </c>
      <c r="V31" s="753" t="s">
        <v>25</v>
      </c>
      <c r="W31" s="754">
        <f t="shared" si="14"/>
        <v>100</v>
      </c>
      <c r="X31" s="1895"/>
      <c r="Y31" s="3158"/>
      <c r="Z31" s="1897" t="str">
        <f t="shared" si="15"/>
        <v>建筑结构</v>
      </c>
      <c r="AA31" s="1898">
        <f t="shared" si="3"/>
        <v>1</v>
      </c>
      <c r="AB31" s="1898">
        <f t="shared" si="4"/>
        <v>1</v>
      </c>
      <c r="AC31" s="1898">
        <f t="shared" si="5"/>
        <v>1</v>
      </c>
    </row>
    <row r="32" spans="1:29" ht="15">
      <c r="A32" s="453"/>
      <c r="B32" s="402" t="s">
        <v>2449</v>
      </c>
      <c r="C32" s="441" t="s">
        <v>2489</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158"/>
      <c r="Q32" s="1894" t="str">
        <f t="shared" si="11"/>
        <v>公共部分装修</v>
      </c>
      <c r="R32" s="753" t="s">
        <v>25</v>
      </c>
      <c r="S32" s="754">
        <f t="shared" si="12"/>
        <v>100</v>
      </c>
      <c r="T32" s="753" t="s">
        <v>25</v>
      </c>
      <c r="U32" s="754">
        <f t="shared" si="13"/>
        <v>100</v>
      </c>
      <c r="V32" s="753" t="s">
        <v>25</v>
      </c>
      <c r="W32" s="754">
        <f t="shared" si="14"/>
        <v>100</v>
      </c>
      <c r="X32" s="1895"/>
      <c r="Y32" s="3158"/>
      <c r="Z32" s="1897" t="str">
        <f t="shared" si="15"/>
        <v>公共部分装修</v>
      </c>
      <c r="AA32" s="1898">
        <f t="shared" si="3"/>
        <v>1</v>
      </c>
      <c r="AB32" s="1898">
        <f t="shared" si="4"/>
        <v>1</v>
      </c>
      <c r="AC32" s="1898">
        <f t="shared" si="5"/>
        <v>1</v>
      </c>
    </row>
    <row r="33" spans="1:29" ht="15">
      <c r="A33" s="453"/>
      <c r="B33" s="402" t="s">
        <v>2450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158"/>
      <c r="Q33" s="1894" t="str">
        <f t="shared" si="11"/>
        <v>成新度</v>
      </c>
      <c r="R33" s="753" t="s">
        <v>25</v>
      </c>
      <c r="S33" s="754" t="e">
        <f t="shared" si="12"/>
        <v>#N/A</v>
      </c>
      <c r="T33" s="753" t="s">
        <v>25</v>
      </c>
      <c r="U33" s="754" t="e">
        <f t="shared" si="13"/>
        <v>#N/A</v>
      </c>
      <c r="V33" s="753" t="s">
        <v>25</v>
      </c>
      <c r="W33" s="754" t="e">
        <f t="shared" si="14"/>
        <v>#N/A</v>
      </c>
      <c r="X33" s="1895"/>
      <c r="Y33" s="3158"/>
      <c r="Z33" s="1897" t="str">
        <f t="shared" si="15"/>
        <v>成新度</v>
      </c>
      <c r="AA33" s="1898" t="e">
        <f t="shared" si="3"/>
        <v>#N/A</v>
      </c>
      <c r="AB33" s="1898" t="e">
        <f t="shared" si="4"/>
        <v>#N/A</v>
      </c>
      <c r="AC33" s="1898" t="e">
        <f t="shared" si="5"/>
        <v>#N/A</v>
      </c>
    </row>
    <row r="34" spans="1:29" s="35" customFormat="1" ht="15">
      <c r="A34" s="454"/>
      <c r="B34" s="402" t="s">
        <v>2477</v>
      </c>
      <c r="C34" s="441" t="s">
        <v>2490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158"/>
      <c r="Q34" s="1882" t="str">
        <f t="shared" si="11"/>
        <v>物业管理</v>
      </c>
      <c r="R34" s="749" t="s">
        <v>25</v>
      </c>
      <c r="S34" s="750">
        <f t="shared" si="12"/>
        <v>100</v>
      </c>
      <c r="T34" s="749" t="s">
        <v>25</v>
      </c>
      <c r="U34" s="750">
        <f t="shared" si="13"/>
        <v>100</v>
      </c>
      <c r="V34" s="749" t="s">
        <v>25</v>
      </c>
      <c r="W34" s="750">
        <f t="shared" si="14"/>
        <v>100</v>
      </c>
      <c r="X34" s="751"/>
      <c r="Y34" s="3158"/>
      <c r="Z34" s="23" t="str">
        <f t="shared" si="15"/>
        <v>物业管理</v>
      </c>
      <c r="AA34" s="752">
        <f t="shared" si="3"/>
        <v>1</v>
      </c>
      <c r="AB34" s="752">
        <f t="shared" si="4"/>
        <v>1</v>
      </c>
      <c r="AC34" s="752">
        <f t="shared" si="5"/>
        <v>1</v>
      </c>
    </row>
    <row r="35" spans="1:29" ht="15">
      <c r="A35" s="453"/>
      <c r="B35" s="402" t="s">
        <v>2451</v>
      </c>
      <c r="C35" s="441" t="s">
        <v>2491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158" t="s">
        <v>2363</v>
      </c>
      <c r="Q35" s="1894" t="str">
        <f t="shared" si="11"/>
        <v>市政基础设施</v>
      </c>
      <c r="R35" s="753" t="s">
        <v>25</v>
      </c>
      <c r="S35" s="754">
        <f t="shared" si="12"/>
        <v>100</v>
      </c>
      <c r="T35" s="753" t="s">
        <v>25</v>
      </c>
      <c r="U35" s="754">
        <f t="shared" si="13"/>
        <v>100</v>
      </c>
      <c r="V35" s="753" t="s">
        <v>25</v>
      </c>
      <c r="W35" s="754">
        <f t="shared" si="14"/>
        <v>100</v>
      </c>
      <c r="X35" s="1895"/>
      <c r="Y35" s="3158" t="s">
        <v>2363</v>
      </c>
      <c r="Z35" s="1897" t="str">
        <f t="shared" si="15"/>
        <v>市政基础设施</v>
      </c>
      <c r="AA35" s="1898">
        <f t="shared" si="3"/>
        <v>1</v>
      </c>
      <c r="AB35" s="1898">
        <f t="shared" si="4"/>
        <v>1</v>
      </c>
      <c r="AC35" s="1898">
        <f t="shared" si="5"/>
        <v>1</v>
      </c>
    </row>
    <row r="36" spans="1:29" ht="15">
      <c r="A36" s="453"/>
      <c r="B36" s="402" t="s">
        <v>2456</v>
      </c>
      <c r="C36" s="441" t="s">
        <v>2489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158"/>
      <c r="Q36" s="1894" t="str">
        <f t="shared" si="11"/>
        <v>内部装修</v>
      </c>
      <c r="R36" s="753" t="s">
        <v>25</v>
      </c>
      <c r="S36" s="754">
        <f t="shared" si="12"/>
        <v>100</v>
      </c>
      <c r="T36" s="753" t="s">
        <v>25</v>
      </c>
      <c r="U36" s="754">
        <f t="shared" si="13"/>
        <v>100</v>
      </c>
      <c r="V36" s="753" t="s">
        <v>25</v>
      </c>
      <c r="W36" s="754">
        <f t="shared" si="14"/>
        <v>100</v>
      </c>
      <c r="X36" s="1895"/>
      <c r="Y36" s="3158"/>
      <c r="Z36" s="1897" t="str">
        <f t="shared" si="15"/>
        <v>内部装修</v>
      </c>
      <c r="AA36" s="1898">
        <f t="shared" si="3"/>
        <v>1</v>
      </c>
      <c r="AB36" s="1898">
        <f t="shared" si="4"/>
        <v>1</v>
      </c>
      <c r="AC36" s="1898">
        <f t="shared" si="5"/>
        <v>1</v>
      </c>
    </row>
    <row r="37" spans="1:29" ht="15">
      <c r="A37" s="453"/>
      <c r="B37" s="402" t="s">
        <v>2492</v>
      </c>
      <c r="C37" s="600" t="s">
        <v>2493</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158"/>
      <c r="Q37" s="1894" t="str">
        <f t="shared" si="11"/>
        <v>内部装修状况</v>
      </c>
      <c r="R37" s="753" t="s">
        <v>25</v>
      </c>
      <c r="S37" s="754">
        <f t="shared" si="12"/>
        <v>0</v>
      </c>
      <c r="T37" s="753" t="s">
        <v>25</v>
      </c>
      <c r="U37" s="754">
        <f t="shared" si="13"/>
        <v>0</v>
      </c>
      <c r="V37" s="753" t="s">
        <v>25</v>
      </c>
      <c r="W37" s="754">
        <f t="shared" si="14"/>
        <v>0</v>
      </c>
      <c r="X37" s="1895"/>
      <c r="Y37" s="3158"/>
      <c r="Z37" s="1897" t="str">
        <f t="shared" si="15"/>
        <v>内部装修状况</v>
      </c>
      <c r="AA37" s="1898" t="e">
        <f t="shared" si="3"/>
        <v>#DIV/0!</v>
      </c>
      <c r="AB37" s="1898" t="e">
        <f t="shared" si="4"/>
        <v>#DIV/0!</v>
      </c>
      <c r="AC37" s="1898"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158"/>
      <c r="Q38" s="755">
        <f t="shared" si="11"/>
        <v>111</v>
      </c>
      <c r="R38" s="756" t="s">
        <v>25</v>
      </c>
      <c r="S38" s="757">
        <f t="shared" si="12"/>
        <v>100</v>
      </c>
      <c r="T38" s="756" t="s">
        <v>25</v>
      </c>
      <c r="U38" s="757">
        <f t="shared" si="13"/>
        <v>100</v>
      </c>
      <c r="V38" s="756" t="s">
        <v>25</v>
      </c>
      <c r="W38" s="757">
        <f t="shared" si="14"/>
        <v>100</v>
      </c>
      <c r="X38" s="758"/>
      <c r="Y38" s="3158"/>
      <c r="Z38" s="759">
        <f t="shared" si="15"/>
        <v>111</v>
      </c>
      <c r="AA38" s="1898">
        <f t="shared" si="3"/>
        <v>1</v>
      </c>
      <c r="AB38" s="1898">
        <f t="shared" si="4"/>
        <v>1</v>
      </c>
      <c r="AC38" s="1898">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158"/>
      <c r="Q39" s="1894">
        <f t="shared" si="11"/>
        <v>111</v>
      </c>
      <c r="R39" s="753" t="s">
        <v>25</v>
      </c>
      <c r="S39" s="754">
        <f t="shared" si="12"/>
        <v>100</v>
      </c>
      <c r="T39" s="753" t="s">
        <v>25</v>
      </c>
      <c r="U39" s="754">
        <f t="shared" si="13"/>
        <v>100</v>
      </c>
      <c r="V39" s="753" t="s">
        <v>25</v>
      </c>
      <c r="W39" s="754">
        <f t="shared" si="14"/>
        <v>100</v>
      </c>
      <c r="X39" s="1895"/>
      <c r="Y39" s="3158"/>
      <c r="Z39" s="1897">
        <f t="shared" si="15"/>
        <v>111</v>
      </c>
      <c r="AA39" s="1898">
        <f t="shared" si="3"/>
        <v>1</v>
      </c>
      <c r="AB39" s="1898">
        <f t="shared" si="4"/>
        <v>1</v>
      </c>
      <c r="AC39" s="1898">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159"/>
      <c r="Q40" s="1894">
        <f t="shared" si="11"/>
        <v>111</v>
      </c>
      <c r="R40" s="753" t="s">
        <v>25</v>
      </c>
      <c r="S40" s="754">
        <f t="shared" si="12"/>
        <v>100</v>
      </c>
      <c r="T40" s="753" t="s">
        <v>25</v>
      </c>
      <c r="U40" s="754">
        <f t="shared" si="13"/>
        <v>100</v>
      </c>
      <c r="V40" s="753" t="s">
        <v>25</v>
      </c>
      <c r="W40" s="754">
        <f t="shared" si="14"/>
        <v>100</v>
      </c>
      <c r="X40" s="1895"/>
      <c r="Y40" s="3159"/>
      <c r="Z40" s="1897">
        <f t="shared" si="15"/>
        <v>111</v>
      </c>
      <c r="AA40" s="1898">
        <f t="shared" si="3"/>
        <v>1</v>
      </c>
      <c r="AB40" s="1898">
        <f t="shared" si="4"/>
        <v>1</v>
      </c>
      <c r="AC40" s="1898">
        <f t="shared" si="5"/>
        <v>1</v>
      </c>
    </row>
    <row r="41" spans="1:29" ht="15">
      <c r="A41" s="460" t="s">
        <v>2375</v>
      </c>
      <c r="B41" s="461"/>
      <c r="C41" s="1498" t="s">
        <v>1</v>
      </c>
      <c r="D41" s="1499"/>
      <c r="E41" s="1500"/>
      <c r="F41" s="1501"/>
      <c r="G41" s="1502"/>
      <c r="H41" s="1503"/>
      <c r="I41" s="1500"/>
      <c r="J41" s="1503"/>
      <c r="K41" s="762"/>
      <c r="L41" s="1252"/>
      <c r="M41" s="1253"/>
      <c r="N41" s="1240"/>
      <c r="O41" s="1253"/>
      <c r="P41" s="3150" t="str">
        <f>A41</f>
        <v>成交单价（元/平方米）</v>
      </c>
      <c r="Q41" s="3150"/>
      <c r="R41" s="3146">
        <f>E41</f>
        <v>0</v>
      </c>
      <c r="S41" s="3146"/>
      <c r="T41" s="3146">
        <f>G41</f>
        <v>0</v>
      </c>
      <c r="U41" s="3146"/>
      <c r="V41" s="3146">
        <f>I41</f>
        <v>0</v>
      </c>
      <c r="W41" s="3146"/>
      <c r="X41" s="738"/>
      <c r="Y41" s="760"/>
      <c r="Z41" s="738"/>
      <c r="AA41" s="738"/>
      <c r="AB41" s="738"/>
      <c r="AC41" s="738"/>
    </row>
    <row r="42" spans="1:29" ht="15.75" thickBot="1">
      <c r="A42" s="467" t="s">
        <v>2457</v>
      </c>
      <c r="B42" s="468"/>
      <c r="C42" s="1504" t="e">
        <f>R43</f>
        <v>#DIV/0!</v>
      </c>
      <c r="D42" s="1505"/>
      <c r="E42" s="1506" t="e">
        <f>R42</f>
        <v>#DIV/0!</v>
      </c>
      <c r="F42" s="1506"/>
      <c r="G42" s="1504" t="e">
        <f>T42</f>
        <v>#DIV/0!</v>
      </c>
      <c r="H42" s="1505"/>
      <c r="I42" s="1506" t="e">
        <f>V42</f>
        <v>#DIV/0!</v>
      </c>
      <c r="J42" s="1505"/>
      <c r="K42" s="763"/>
      <c r="L42" s="1252"/>
      <c r="M42" s="1253"/>
      <c r="N42" s="1240"/>
      <c r="O42" s="1253"/>
      <c r="P42" s="3150" t="str">
        <f>A42</f>
        <v>比较价值（元/平方米）</v>
      </c>
      <c r="Q42" s="3150"/>
      <c r="R42" s="3146" t="e">
        <f>IF(E1="售价",ROUND(PRODUCT(R41,AA7:AA40),0),ROUND(PRODUCT(R41,AA7:AA40),1))</f>
        <v>#DIV/0!</v>
      </c>
      <c r="S42" s="3146"/>
      <c r="T42" s="3146" t="e">
        <f>IF(E1="售价",ROUND(PRODUCT(T41,AB7:AB40),0),ROUND(PRODUCT(T41,AB7:AB40),1))</f>
        <v>#DIV/0!</v>
      </c>
      <c r="U42" s="3146"/>
      <c r="V42" s="3146" t="e">
        <f>IF(E1="售价",ROUND(PRODUCT(V41,AC7:AC40),0),ROUND(PRODUCT(V41,AC7:AC40),1))</f>
        <v>#DIV/0!</v>
      </c>
      <c r="W42" s="3146"/>
      <c r="X42" s="738"/>
      <c r="Y42" s="738"/>
      <c r="Z42" s="738"/>
      <c r="AA42" s="738"/>
      <c r="AB42" s="738"/>
      <c r="AC42" s="738"/>
    </row>
    <row r="43" spans="1:29" ht="15.75" thickBot="1">
      <c r="A43" s="473" t="s">
        <v>2479</v>
      </c>
      <c r="B43" s="474"/>
      <c r="C43" s="1508" t="e">
        <f>R43</f>
        <v>#DIV/0!</v>
      </c>
      <c r="D43" s="1508"/>
      <c r="E43" s="1508"/>
      <c r="F43" s="1508"/>
      <c r="G43" s="1508"/>
      <c r="H43" s="1508"/>
      <c r="I43" s="1508"/>
      <c r="J43" s="1508"/>
      <c r="K43" s="764"/>
      <c r="L43" s="1252"/>
      <c r="M43" s="1253"/>
      <c r="N43" s="1253"/>
      <c r="O43" s="1253"/>
      <c r="P43" s="3147" t="str">
        <f>A43</f>
        <v>估价对象XX用房的比较价值（楼面单价，元/平方米）</v>
      </c>
      <c r="Q43" s="3148"/>
      <c r="R43" s="3149" t="e">
        <f>IF(E1="售价",ROUND(AVERAGE(R42:V42),0),ROUND(AVERAGE(R42:V42),1))</f>
        <v>#DIV/0!</v>
      </c>
      <c r="S43" s="3149"/>
      <c r="T43" s="3149"/>
      <c r="U43" s="3149"/>
      <c r="V43" s="3149"/>
      <c r="W43" s="3149"/>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2461</v>
      </c>
      <c r="B51" s="738"/>
      <c r="C51" s="743"/>
      <c r="D51" s="743"/>
      <c r="E51" s="743"/>
      <c r="F51" s="744"/>
      <c r="G51" s="744"/>
      <c r="H51" s="743"/>
      <c r="I51" s="743"/>
      <c r="J51" s="743"/>
      <c r="K51" s="745"/>
      <c r="L51" s="746"/>
      <c r="M51" s="743"/>
      <c r="N51" s="743"/>
      <c r="O51" s="743"/>
      <c r="P51" s="484"/>
      <c r="Q51" s="485"/>
    </row>
    <row r="52" spans="1:17" s="489" customFormat="1" ht="15">
      <c r="A52" s="486" t="s">
        <v>2345</v>
      </c>
      <c r="B52" s="487"/>
      <c r="C52" s="1674" t="str">
        <f>YEAR(C7)&amp;"-"&amp;MONTH(C7)</f>
        <v>2020-10</v>
      </c>
      <c r="D52" s="1675">
        <f>EDATE(C52,-1)</f>
        <v>44075</v>
      </c>
      <c r="E52" s="1676">
        <f t="shared" ref="E52:O52" si="16">EDATE(D52,-1)</f>
        <v>44044</v>
      </c>
      <c r="F52" s="1676">
        <f t="shared" si="16"/>
        <v>44013</v>
      </c>
      <c r="G52" s="1676">
        <f t="shared" si="16"/>
        <v>43983</v>
      </c>
      <c r="H52" s="1676">
        <f t="shared" si="16"/>
        <v>43952</v>
      </c>
      <c r="I52" s="1676">
        <f t="shared" si="16"/>
        <v>43922</v>
      </c>
      <c r="J52" s="1676">
        <f t="shared" si="16"/>
        <v>43891</v>
      </c>
      <c r="K52" s="1676">
        <f t="shared" si="16"/>
        <v>43862</v>
      </c>
      <c r="L52" s="1676">
        <f t="shared" si="16"/>
        <v>43831</v>
      </c>
      <c r="M52" s="1676">
        <f t="shared" si="16"/>
        <v>43800</v>
      </c>
      <c r="N52" s="1676">
        <f t="shared" si="16"/>
        <v>43770</v>
      </c>
      <c r="O52" s="1676">
        <f t="shared" si="16"/>
        <v>43739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2383</v>
      </c>
      <c r="B54" s="497"/>
      <c r="C54" s="498"/>
      <c r="D54" s="499"/>
      <c r="E54" s="499"/>
      <c r="F54" s="499"/>
      <c r="G54" s="499"/>
      <c r="H54" s="499"/>
      <c r="I54" s="499"/>
      <c r="J54" s="499"/>
      <c r="K54" s="499"/>
      <c r="L54" s="499"/>
      <c r="M54" s="500"/>
      <c r="N54" s="499"/>
      <c r="O54" s="501"/>
      <c r="P54" s="485"/>
      <c r="Q54" s="485"/>
    </row>
    <row r="55" spans="1:17" s="35" customFormat="1" ht="15">
      <c r="A55" s="502" t="s">
        <v>2347</v>
      </c>
      <c r="B55" s="491"/>
      <c r="C55" s="503" t="s">
        <v>2348</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2386</v>
      </c>
      <c r="B57" s="509" t="s">
        <v>2351</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2354</v>
      </c>
      <c r="C59" s="522" t="s">
        <v>2387</v>
      </c>
      <c r="D59" s="522" t="s">
        <v>2388</v>
      </c>
      <c r="E59" s="522" t="s">
        <v>2389</v>
      </c>
      <c r="F59" s="522" t="s">
        <v>2390</v>
      </c>
      <c r="G59" s="522" t="s">
        <v>2391</v>
      </c>
      <c r="H59" s="522" t="s">
        <v>2392</v>
      </c>
      <c r="I59" s="522" t="s">
        <v>2393</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2356</v>
      </c>
      <c r="B70" s="509" t="s">
        <v>2494</v>
      </c>
      <c r="C70" s="557" t="s">
        <v>2395</v>
      </c>
      <c r="D70" s="557" t="s">
        <v>2396</v>
      </c>
      <c r="E70" s="557" t="s">
        <v>2397</v>
      </c>
      <c r="F70" s="557" t="s">
        <v>2398</v>
      </c>
      <c r="G70" s="557" t="s">
        <v>2399</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2400</v>
      </c>
      <c r="C72" s="562" t="s">
        <v>2395</v>
      </c>
      <c r="D72" s="562" t="s">
        <v>2396</v>
      </c>
      <c r="E72" s="562" t="s">
        <v>2397</v>
      </c>
      <c r="F72" s="562" t="s">
        <v>2398</v>
      </c>
      <c r="G72" s="562" t="s">
        <v>2399</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2401</v>
      </c>
      <c r="C74" s="562" t="s">
        <v>2395</v>
      </c>
      <c r="D74" s="562" t="s">
        <v>2396</v>
      </c>
      <c r="E74" s="562" t="s">
        <v>2397</v>
      </c>
      <c r="F74" s="562" t="s">
        <v>2398</v>
      </c>
      <c r="G74" s="562" t="s">
        <v>2399</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2471</v>
      </c>
      <c r="C76" s="522" t="s">
        <v>2402</v>
      </c>
      <c r="D76" s="522" t="s">
        <v>2403</v>
      </c>
      <c r="E76" s="522" t="s">
        <v>2404</v>
      </c>
      <c r="F76" s="522" t="s">
        <v>2405</v>
      </c>
      <c r="G76" s="522" t="s">
        <v>2406</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2481</v>
      </c>
      <c r="C78" s="562" t="s">
        <v>2395</v>
      </c>
      <c r="D78" s="562" t="s">
        <v>2396</v>
      </c>
      <c r="E78" s="562" t="s">
        <v>2397</v>
      </c>
      <c r="F78" s="562" t="s">
        <v>2398</v>
      </c>
      <c r="G78" s="562" t="s">
        <v>2399</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2361</v>
      </c>
      <c r="B88" s="509" t="s">
        <v>2410</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2411</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2412</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2414</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2415</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2416</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2417</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2419</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2495</v>
      </c>
      <c r="C106" s="562" t="s">
        <v>2395</v>
      </c>
      <c r="D106" s="562" t="s">
        <v>2396</v>
      </c>
      <c r="E106" s="562" t="s">
        <v>2397</v>
      </c>
      <c r="F106" s="562" t="s">
        <v>2398</v>
      </c>
      <c r="G106" s="562" t="s">
        <v>2399</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26"/>
      <c r="E1" s="2377"/>
      <c r="F1" s="1727" t="s">
        <v>2330</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IF(D2="——",IF(B37="元/平方米",IF(C2="元",ROUND(C39*D3,0),ROUND(C39*D3/10000,0)),IF(C2="元",ROUND(F3*C39,0),ROUND(F3*C39/10000,0))),IF(B37="元/平方米",IF(C2="元",ROUND(C39*D3,0),ROUND(C39*D3/10000,0)),IF(C2="元",ROUND(F3*C39,0),ROUND(F3*C39/10000,0)))-E2)</f>
        <v>#DIV/0!</v>
      </c>
      <c r="C2" s="163" t="str">
        <f>'数据-取费表'!B3</f>
        <v>元</v>
      </c>
      <c r="D2" s="2379"/>
      <c r="E2" s="1210" t="e">
        <f ca="1">SUMIF(INDIRECT("'"&amp;G2&amp;"'"&amp;"!A:A"),"承租人权益价值",INDIRECT("'"&amp;G2&amp;"'"&amp;"!c:c"))</f>
        <v>#REF!</v>
      </c>
      <c r="F2" s="2380" t="str">
        <f>C2</f>
        <v>元</v>
      </c>
      <c r="G2" s="2381"/>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2001</v>
      </c>
      <c r="B3" s="593" t="e">
        <f>IF(AND(D2="——",B37="元/平方米"),C39,ROUND(F3*C39/D3,0))</f>
        <v>#DIV/0!</v>
      </c>
      <c r="C3" s="379" t="s">
        <v>2331</v>
      </c>
      <c r="D3" s="378">
        <f>IF(C1="仅计算典型户型",'数据-取费表'!E5,'数据-取费表'!B5)</f>
        <v>392.22</v>
      </c>
      <c r="E3" s="1088" t="s">
        <v>2497</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2332</v>
      </c>
      <c r="B4" s="381"/>
      <c r="C4" s="3177" t="s">
        <v>2333</v>
      </c>
      <c r="D4" s="3178"/>
      <c r="E4" s="3179" t="s">
        <v>2334</v>
      </c>
      <c r="F4" s="3180"/>
      <c r="G4" s="3177" t="s">
        <v>2335</v>
      </c>
      <c r="H4" s="3178"/>
      <c r="I4" s="3177" t="s">
        <v>2336</v>
      </c>
      <c r="J4" s="3178"/>
      <c r="K4" s="594" t="s">
        <v>2337</v>
      </c>
      <c r="L4" s="1510"/>
      <c r="M4" s="425"/>
      <c r="N4" s="425"/>
      <c r="O4" s="425"/>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29" ht="15">
      <c r="A5" s="383"/>
      <c r="B5" s="384"/>
      <c r="C5" s="3162" t="s">
        <v>2339</v>
      </c>
      <c r="D5" s="3163"/>
      <c r="E5" s="3188" t="s">
        <v>2340</v>
      </c>
      <c r="F5" s="3189"/>
      <c r="G5" s="3162" t="s">
        <v>2341</v>
      </c>
      <c r="H5" s="3163"/>
      <c r="I5" s="3162" t="s">
        <v>2342</v>
      </c>
      <c r="J5" s="3163"/>
      <c r="K5" s="594"/>
      <c r="L5" s="1510"/>
      <c r="M5" s="425"/>
      <c r="N5" s="425"/>
      <c r="O5" s="425"/>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510"/>
      <c r="M6" s="425"/>
      <c r="N6" s="425"/>
      <c r="O6" s="425"/>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44134</v>
      </c>
      <c r="D7" s="390">
        <v>100</v>
      </c>
      <c r="E7" s="391"/>
      <c r="F7" s="392">
        <f>SUMIF(48:48,YEAR(E7)&amp;"-"&amp;MONTH(E7),49:49)</f>
        <v>0</v>
      </c>
      <c r="G7" s="391"/>
      <c r="H7" s="390">
        <f>SUMIF(48:48,YEAR(G7)&amp;"-"&amp;MONTH(G7),49:49)</f>
        <v>0</v>
      </c>
      <c r="I7" s="391"/>
      <c r="J7" s="390">
        <f>SUMIF(48:48,YEAR(I7)&amp;"-"&amp;MONTH(I7),49:49)</f>
        <v>0</v>
      </c>
      <c r="K7" s="595"/>
      <c r="L7" s="1511"/>
      <c r="M7" s="1512"/>
      <c r="N7" s="1512"/>
      <c r="O7" s="1512"/>
      <c r="P7" s="3164" t="s">
        <v>2346</v>
      </c>
      <c r="Q7" s="3172"/>
      <c r="R7" s="749" t="s">
        <v>25</v>
      </c>
      <c r="S7" s="750">
        <f t="shared" ref="S7:S14" si="0">F7</f>
        <v>0</v>
      </c>
      <c r="T7" s="749" t="s">
        <v>25</v>
      </c>
      <c r="U7" s="750">
        <f t="shared" ref="U7:U14" si="1">H7</f>
        <v>0</v>
      </c>
      <c r="V7" s="749" t="s">
        <v>25</v>
      </c>
      <c r="W7" s="750">
        <f t="shared" ref="W7:W14" si="2">J7</f>
        <v>0</v>
      </c>
      <c r="X7" s="751"/>
      <c r="Y7" s="3164" t="s">
        <v>2346</v>
      </c>
      <c r="Z7" s="3165"/>
      <c r="AA7" s="752" t="e">
        <f>D7/F7</f>
        <v>#DIV/0!</v>
      </c>
      <c r="AB7" s="752" t="e">
        <f>D7/H7</f>
        <v>#DIV/0!</v>
      </c>
      <c r="AC7" s="752" t="e">
        <f>D7/J7</f>
        <v>#DIV/0!</v>
      </c>
    </row>
    <row r="8" spans="1:29" s="35" customFormat="1" ht="15.75" thickBot="1">
      <c r="A8" s="387" t="s">
        <v>2347</v>
      </c>
      <c r="B8" s="388"/>
      <c r="C8" s="394" t="s">
        <v>2348</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164" t="s">
        <v>2349</v>
      </c>
      <c r="Q8" s="3165"/>
      <c r="R8" s="749" t="s">
        <v>25</v>
      </c>
      <c r="S8" s="750">
        <f t="shared" si="0"/>
        <v>0</v>
      </c>
      <c r="T8" s="749" t="s">
        <v>25</v>
      </c>
      <c r="U8" s="750">
        <f t="shared" si="1"/>
        <v>0</v>
      </c>
      <c r="V8" s="749" t="s">
        <v>25</v>
      </c>
      <c r="W8" s="750">
        <f t="shared" si="2"/>
        <v>0</v>
      </c>
      <c r="X8" s="751"/>
      <c r="Y8" s="3164" t="s">
        <v>2349</v>
      </c>
      <c r="Z8" s="3165"/>
      <c r="AA8" s="752" t="e">
        <f t="shared" ref="AA8:AA36" si="3">D8/F8</f>
        <v>#DIV/0!</v>
      </c>
      <c r="AB8" s="752" t="e">
        <f t="shared" ref="AB8:AB36" si="4">D8/H8</f>
        <v>#DIV/0!</v>
      </c>
      <c r="AC8" s="752" t="e">
        <f t="shared" ref="AC8:AC36" si="5">D8/J8</f>
        <v>#DIV/0!</v>
      </c>
    </row>
    <row r="9" spans="1:29" s="35" customFormat="1">
      <c r="A9" s="25" t="s">
        <v>2350</v>
      </c>
      <c r="B9" s="624" t="s">
        <v>2351</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150" t="s">
        <v>2352</v>
      </c>
      <c r="Q9" s="1882" t="str">
        <f t="shared" ref="Q9:Q14" si="6">B9</f>
        <v>用途</v>
      </c>
      <c r="R9" s="749" t="s">
        <v>25</v>
      </c>
      <c r="S9" s="750">
        <f t="shared" si="0"/>
        <v>100</v>
      </c>
      <c r="T9" s="749" t="s">
        <v>25</v>
      </c>
      <c r="U9" s="750">
        <f t="shared" si="1"/>
        <v>100</v>
      </c>
      <c r="V9" s="749" t="s">
        <v>25</v>
      </c>
      <c r="W9" s="750">
        <f t="shared" si="2"/>
        <v>100</v>
      </c>
      <c r="X9" s="751"/>
      <c r="Y9" s="2979" t="s">
        <v>2353</v>
      </c>
      <c r="Z9" s="23" t="str">
        <f t="shared" ref="Z9:Z14" si="7">Q9</f>
        <v>用途</v>
      </c>
      <c r="AA9" s="752">
        <f t="shared" si="3"/>
        <v>1</v>
      </c>
      <c r="AB9" s="752">
        <f t="shared" si="4"/>
        <v>1</v>
      </c>
      <c r="AC9" s="752">
        <f t="shared" si="5"/>
        <v>1</v>
      </c>
    </row>
    <row r="10" spans="1:29" s="407" customFormat="1" ht="27">
      <c r="A10" s="625"/>
      <c r="B10" s="626" t="s">
        <v>2354</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150"/>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150"/>
      <c r="Q11" s="1882">
        <f t="shared" si="6"/>
        <v>111</v>
      </c>
      <c r="R11" s="749" t="s">
        <v>25</v>
      </c>
      <c r="S11" s="750">
        <f t="shared" si="0"/>
        <v>100</v>
      </c>
      <c r="T11" s="749" t="s">
        <v>25</v>
      </c>
      <c r="U11" s="750">
        <f t="shared" si="1"/>
        <v>100</v>
      </c>
      <c r="V11" s="749" t="s">
        <v>25</v>
      </c>
      <c r="W11" s="750">
        <f t="shared" si="2"/>
        <v>100</v>
      </c>
      <c r="X11" s="751"/>
      <c r="Y11" s="297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150"/>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28.25">
      <c r="A14" s="380" t="s">
        <v>2356</v>
      </c>
      <c r="B14" s="613" t="s">
        <v>2498</v>
      </c>
      <c r="C14" s="1476" t="str">
        <f>IF(B1="工业",估价对象房地状况!G4,估价对象房地状况!C6)</f>
        <v>估价对象周边公共交通包括：488路、499路、517路等公交线路，1公里以内有地铁6号线常营地铁站。综合评价交通便捷度好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153" t="s">
        <v>2357</v>
      </c>
      <c r="Q14" s="1894" t="str">
        <f t="shared" si="6"/>
        <v>交通便捷度</v>
      </c>
      <c r="R14" s="753" t="s">
        <v>25</v>
      </c>
      <c r="S14" s="754">
        <f t="shared" si="0"/>
        <v>100</v>
      </c>
      <c r="T14" s="753" t="s">
        <v>25</v>
      </c>
      <c r="U14" s="754">
        <f t="shared" si="1"/>
        <v>100</v>
      </c>
      <c r="V14" s="753" t="s">
        <v>25</v>
      </c>
      <c r="W14" s="754">
        <f t="shared" si="2"/>
        <v>100</v>
      </c>
      <c r="X14" s="1895"/>
      <c r="Y14" s="3153" t="s">
        <v>2357</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154"/>
      <c r="Q15" s="1894"/>
      <c r="R15" s="753"/>
      <c r="S15" s="754"/>
      <c r="T15" s="753"/>
      <c r="U15" s="754"/>
      <c r="V15" s="753"/>
      <c r="W15" s="754"/>
      <c r="X15" s="1895"/>
      <c r="Y15" s="3154"/>
      <c r="Z15" s="1897"/>
      <c r="AA15" s="1898">
        <v>1</v>
      </c>
      <c r="AB15" s="1898">
        <v>1</v>
      </c>
      <c r="AC15" s="1898">
        <v>1</v>
      </c>
    </row>
    <row r="16" spans="1:29" ht="42.75">
      <c r="A16" s="383"/>
      <c r="B16" s="615" t="s">
        <v>2470</v>
      </c>
      <c r="C16" s="1478" t="str">
        <f>IF(B1="工业",估价对象房地状况!G5,估价对象房地状况!C7)</f>
        <v>估价对象所在区域公共配套设施齐备</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154"/>
      <c r="Q16" s="1894" t="str">
        <f>B16</f>
        <v>公共配套设施</v>
      </c>
      <c r="R16" s="753" t="s">
        <v>25</v>
      </c>
      <c r="S16" s="754">
        <f>F16</f>
        <v>100</v>
      </c>
      <c r="T16" s="753" t="s">
        <v>25</v>
      </c>
      <c r="U16" s="754">
        <f>H16</f>
        <v>100</v>
      </c>
      <c r="V16" s="753" t="s">
        <v>25</v>
      </c>
      <c r="W16" s="754">
        <f>J16</f>
        <v>100</v>
      </c>
      <c r="X16" s="1895"/>
      <c r="Y16" s="3154"/>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154"/>
      <c r="Q17" s="1894"/>
      <c r="R17" s="753"/>
      <c r="S17" s="754"/>
      <c r="T17" s="753"/>
      <c r="U17" s="754"/>
      <c r="V17" s="753"/>
      <c r="W17" s="754"/>
      <c r="X17" s="1895"/>
      <c r="Y17" s="3154"/>
      <c r="Z17" s="1897"/>
      <c r="AA17" s="1898">
        <v>1</v>
      </c>
      <c r="AB17" s="1898">
        <v>1</v>
      </c>
      <c r="AC17" s="1898">
        <v>1</v>
      </c>
    </row>
    <row r="18" spans="1:29" ht="15">
      <c r="A18" s="383"/>
      <c r="B18" s="617" t="s">
        <v>2471</v>
      </c>
      <c r="C18" s="1478" t="str">
        <f>IF(B1="工业",估价对象房地状况!G6,估价对象房地状况!C8)</f>
        <v>七通</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154"/>
      <c r="Q18" s="1894" t="str">
        <f>B18</f>
        <v>基础设施水平</v>
      </c>
      <c r="R18" s="753" t="s">
        <v>25</v>
      </c>
      <c r="S18" s="754">
        <f>F18</f>
        <v>100</v>
      </c>
      <c r="T18" s="753" t="s">
        <v>25</v>
      </c>
      <c r="U18" s="754">
        <f>H18</f>
        <v>100</v>
      </c>
      <c r="V18" s="753" t="s">
        <v>25</v>
      </c>
      <c r="W18" s="754">
        <f>J18</f>
        <v>100</v>
      </c>
      <c r="X18" s="1895"/>
      <c r="Y18" s="3154"/>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154"/>
      <c r="Q19" s="1894"/>
      <c r="R19" s="753"/>
      <c r="S19" s="754"/>
      <c r="T19" s="753"/>
      <c r="U19" s="754"/>
      <c r="V19" s="753"/>
      <c r="W19" s="754"/>
      <c r="X19" s="1895"/>
      <c r="Y19" s="3154"/>
      <c r="Z19" s="1897"/>
      <c r="AA19" s="1898">
        <v>1</v>
      </c>
      <c r="AB19" s="1898">
        <v>1</v>
      </c>
      <c r="AC19" s="1898">
        <v>1</v>
      </c>
    </row>
    <row r="20" spans="1:29" ht="114">
      <c r="A20" s="383"/>
      <c r="B20" s="615" t="s">
        <v>2499</v>
      </c>
      <c r="C20" s="1478" t="str">
        <f>IF(B1="工业",估价对象房地状况!G7,估价对象房地状况!C9)</f>
        <v>区域自然环境：常营公园、五里桥公园；人文环境：北京科技大学（管庄校区）、北京政法职业学院；综合评价环境状况好</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154"/>
      <c r="Q20" s="1894" t="str">
        <f>B20</f>
        <v>自然及人文环境</v>
      </c>
      <c r="R20" s="753" t="s">
        <v>25</v>
      </c>
      <c r="S20" s="754">
        <f>F20</f>
        <v>100</v>
      </c>
      <c r="T20" s="753" t="s">
        <v>25</v>
      </c>
      <c r="U20" s="754">
        <f>H20</f>
        <v>100</v>
      </c>
      <c r="V20" s="753" t="s">
        <v>25</v>
      </c>
      <c r="W20" s="754">
        <f>J20</f>
        <v>100</v>
      </c>
      <c r="X20" s="1895"/>
      <c r="Y20" s="3154"/>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154"/>
      <c r="Q21" s="1894"/>
      <c r="R21" s="753"/>
      <c r="S21" s="754"/>
      <c r="T21" s="753"/>
      <c r="U21" s="754"/>
      <c r="V21" s="753"/>
      <c r="W21" s="754"/>
      <c r="X21" s="1895"/>
      <c r="Y21" s="3154"/>
      <c r="Z21" s="1897"/>
      <c r="AA21" s="1898">
        <v>1</v>
      </c>
      <c r="AB21" s="1898">
        <v>1</v>
      </c>
      <c r="AC21" s="1898">
        <v>1</v>
      </c>
    </row>
    <row r="22" spans="1:29" ht="15">
      <c r="A22" s="383"/>
      <c r="B22" s="615" t="s">
        <v>2500</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154"/>
      <c r="Q22" s="1894" t="str">
        <f>B22</f>
        <v>楼层</v>
      </c>
      <c r="R22" s="753" t="s">
        <v>25</v>
      </c>
      <c r="S22" s="754">
        <f>F22</f>
        <v>100</v>
      </c>
      <c r="T22" s="753" t="s">
        <v>25</v>
      </c>
      <c r="U22" s="754">
        <f>H22</f>
        <v>100</v>
      </c>
      <c r="V22" s="753" t="s">
        <v>25</v>
      </c>
      <c r="W22" s="754">
        <f>J22</f>
        <v>100</v>
      </c>
      <c r="X22" s="1895"/>
      <c r="Y22" s="3154"/>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154"/>
      <c r="Q23" s="1894">
        <f>B23</f>
        <v>111</v>
      </c>
      <c r="R23" s="753" t="s">
        <v>25</v>
      </c>
      <c r="S23" s="754">
        <f>F23</f>
        <v>100</v>
      </c>
      <c r="T23" s="753" t="s">
        <v>25</v>
      </c>
      <c r="U23" s="754">
        <f>H23</f>
        <v>100</v>
      </c>
      <c r="V23" s="753" t="s">
        <v>25</v>
      </c>
      <c r="W23" s="754">
        <f>J23</f>
        <v>100</v>
      </c>
      <c r="X23" s="1895"/>
      <c r="Y23" s="3154"/>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154"/>
      <c r="Q24" s="1894">
        <f t="shared" ref="Q24:Q36" si="11">B24</f>
        <v>111</v>
      </c>
      <c r="R24" s="753" t="s">
        <v>25</v>
      </c>
      <c r="S24" s="754">
        <f>F24</f>
        <v>100</v>
      </c>
      <c r="T24" s="753" t="s">
        <v>25</v>
      </c>
      <c r="U24" s="754">
        <f>H24</f>
        <v>100</v>
      </c>
      <c r="V24" s="753" t="s">
        <v>25</v>
      </c>
      <c r="W24" s="754">
        <f>J24</f>
        <v>100</v>
      </c>
      <c r="X24" s="1895"/>
      <c r="Y24" s="3154"/>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154"/>
      <c r="Q25" s="1882">
        <f t="shared" si="11"/>
        <v>111</v>
      </c>
      <c r="R25" s="749" t="s">
        <v>25</v>
      </c>
      <c r="S25" s="750">
        <f>F25</f>
        <v>100</v>
      </c>
      <c r="T25" s="749" t="s">
        <v>25</v>
      </c>
      <c r="U25" s="750">
        <f>H25</f>
        <v>100</v>
      </c>
      <c r="V25" s="749" t="s">
        <v>25</v>
      </c>
      <c r="W25" s="750">
        <f>J25</f>
        <v>100</v>
      </c>
      <c r="X25" s="751"/>
      <c r="Y25" s="3154"/>
      <c r="Z25" s="23">
        <f>Q25</f>
        <v>111</v>
      </c>
      <c r="AA25" s="1898">
        <f>D25/F25</f>
        <v>1</v>
      </c>
      <c r="AB25" s="1898">
        <f>D25/H25</f>
        <v>1</v>
      </c>
      <c r="AC25" s="1898">
        <f>D25/J25</f>
        <v>1</v>
      </c>
    </row>
    <row r="26" spans="1:29" ht="28.5">
      <c r="A26" s="635" t="s">
        <v>2361</v>
      </c>
      <c r="B26" s="27" t="s">
        <v>2501</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203" t="s">
        <v>2363</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158" t="s">
        <v>2363</v>
      </c>
      <c r="Z26" s="1897" t="str">
        <f t="shared" ref="Z26:Z36" si="15">Q26</f>
        <v>配套类型</v>
      </c>
      <c r="AA26" s="1898">
        <f t="shared" si="3"/>
        <v>1</v>
      </c>
      <c r="AB26" s="1898">
        <f t="shared" si="4"/>
        <v>1</v>
      </c>
      <c r="AC26" s="1898">
        <f t="shared" si="5"/>
        <v>1</v>
      </c>
    </row>
    <row r="27" spans="1:29" s="452" customFormat="1" ht="15">
      <c r="A27" s="636"/>
      <c r="B27" s="637" t="s">
        <v>2502</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158"/>
      <c r="Q27" s="755" t="str">
        <f t="shared" si="11"/>
        <v>项目停车位配比</v>
      </c>
      <c r="R27" s="756" t="s">
        <v>25</v>
      </c>
      <c r="S27" s="757">
        <f t="shared" si="12"/>
        <v>100</v>
      </c>
      <c r="T27" s="756" t="s">
        <v>25</v>
      </c>
      <c r="U27" s="757">
        <f t="shared" si="13"/>
        <v>100</v>
      </c>
      <c r="V27" s="756" t="s">
        <v>25</v>
      </c>
      <c r="W27" s="757">
        <f t="shared" si="14"/>
        <v>100</v>
      </c>
      <c r="X27" s="758"/>
      <c r="Y27" s="3158"/>
      <c r="Z27" s="759" t="str">
        <f t="shared" si="15"/>
        <v>项目停车位配比</v>
      </c>
      <c r="AA27" s="1898">
        <f t="shared" si="3"/>
        <v>1</v>
      </c>
      <c r="AB27" s="1898">
        <f t="shared" si="4"/>
        <v>1</v>
      </c>
      <c r="AC27" s="1898">
        <f t="shared" si="5"/>
        <v>1</v>
      </c>
    </row>
    <row r="28" spans="1:29" ht="15">
      <c r="A28" s="639"/>
      <c r="B28" s="637" t="s">
        <v>2503</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158"/>
      <c r="Q28" s="1894" t="str">
        <f t="shared" si="11"/>
        <v>公共部分装修</v>
      </c>
      <c r="R28" s="753" t="s">
        <v>25</v>
      </c>
      <c r="S28" s="754">
        <f t="shared" si="12"/>
        <v>100</v>
      </c>
      <c r="T28" s="753" t="s">
        <v>25</v>
      </c>
      <c r="U28" s="754">
        <f t="shared" si="13"/>
        <v>100</v>
      </c>
      <c r="V28" s="753" t="s">
        <v>25</v>
      </c>
      <c r="W28" s="754">
        <f t="shared" si="14"/>
        <v>100</v>
      </c>
      <c r="X28" s="1895"/>
      <c r="Y28" s="3158"/>
      <c r="Z28" s="1897" t="str">
        <f t="shared" si="15"/>
        <v>公共部分装修</v>
      </c>
      <c r="AA28" s="1898">
        <f t="shared" si="3"/>
        <v>1</v>
      </c>
      <c r="AB28" s="1898">
        <f t="shared" si="4"/>
        <v>1</v>
      </c>
      <c r="AC28" s="1898">
        <f t="shared" si="5"/>
        <v>1</v>
      </c>
    </row>
    <row r="29" spans="1:29" ht="15">
      <c r="A29" s="639"/>
      <c r="B29" s="637" t="s">
        <v>2504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158"/>
      <c r="Q29" s="1894" t="str">
        <f t="shared" si="11"/>
        <v>成新率</v>
      </c>
      <c r="R29" s="753" t="s">
        <v>25</v>
      </c>
      <c r="S29" s="754" t="e">
        <f t="shared" si="12"/>
        <v>#N/A</v>
      </c>
      <c r="T29" s="753" t="s">
        <v>25</v>
      </c>
      <c r="U29" s="754" t="e">
        <f t="shared" si="13"/>
        <v>#N/A</v>
      </c>
      <c r="V29" s="753" t="s">
        <v>25</v>
      </c>
      <c r="W29" s="754" t="e">
        <f t="shared" si="14"/>
        <v>#N/A</v>
      </c>
      <c r="X29" s="1895"/>
      <c r="Y29" s="3158"/>
      <c r="Z29" s="1897" t="str">
        <f t="shared" si="15"/>
        <v>成新率</v>
      </c>
      <c r="AA29" s="1898" t="e">
        <f t="shared" si="3"/>
        <v>#N/A</v>
      </c>
      <c r="AB29" s="1898" t="e">
        <f t="shared" si="4"/>
        <v>#N/A</v>
      </c>
      <c r="AC29" s="1898" t="e">
        <f t="shared" si="5"/>
        <v>#N/A</v>
      </c>
    </row>
    <row r="30" spans="1:29" ht="15">
      <c r="A30" s="639"/>
      <c r="B30" s="637" t="s">
        <v>2505</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158"/>
      <c r="Q30" s="1894" t="str">
        <f t="shared" si="11"/>
        <v>物业等级</v>
      </c>
      <c r="R30" s="753" t="s">
        <v>25</v>
      </c>
      <c r="S30" s="754">
        <f t="shared" si="12"/>
        <v>100</v>
      </c>
      <c r="T30" s="753" t="s">
        <v>25</v>
      </c>
      <c r="U30" s="754">
        <f t="shared" si="13"/>
        <v>100</v>
      </c>
      <c r="V30" s="753" t="s">
        <v>25</v>
      </c>
      <c r="W30" s="754">
        <f t="shared" si="14"/>
        <v>100</v>
      </c>
      <c r="X30" s="1895"/>
      <c r="Y30" s="3158"/>
      <c r="Z30" s="1897" t="str">
        <f t="shared" si="15"/>
        <v>物业等级</v>
      </c>
      <c r="AA30" s="1898">
        <f t="shared" si="3"/>
        <v>1</v>
      </c>
      <c r="AB30" s="1898">
        <f t="shared" si="4"/>
        <v>1</v>
      </c>
      <c r="AC30" s="1898">
        <f t="shared" si="5"/>
        <v>1</v>
      </c>
    </row>
    <row r="31" spans="1:29" s="35" customFormat="1" ht="15">
      <c r="A31" s="641"/>
      <c r="B31" s="637" t="s">
        <v>2506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158"/>
      <c r="Q31" s="1882" t="str">
        <f t="shared" si="11"/>
        <v>停车位面积</v>
      </c>
      <c r="R31" s="749" t="s">
        <v>25</v>
      </c>
      <c r="S31" s="750" t="e">
        <f t="shared" si="12"/>
        <v>#N/A</v>
      </c>
      <c r="T31" s="749" t="s">
        <v>25</v>
      </c>
      <c r="U31" s="750" t="e">
        <f t="shared" si="13"/>
        <v>#N/A</v>
      </c>
      <c r="V31" s="749" t="s">
        <v>25</v>
      </c>
      <c r="W31" s="750" t="e">
        <f t="shared" si="14"/>
        <v>#N/A</v>
      </c>
      <c r="X31" s="751"/>
      <c r="Y31" s="3158"/>
      <c r="Z31" s="23" t="str">
        <f t="shared" si="15"/>
        <v>停车位面积</v>
      </c>
      <c r="AA31" s="752" t="e">
        <f t="shared" si="3"/>
        <v>#N/A</v>
      </c>
      <c r="AB31" s="752" t="e">
        <f t="shared" si="4"/>
        <v>#N/A</v>
      </c>
      <c r="AC31" s="752" t="e">
        <f t="shared" si="5"/>
        <v>#N/A</v>
      </c>
    </row>
    <row r="32" spans="1:29" ht="15">
      <c r="A32" s="639"/>
      <c r="B32" s="637" t="s">
        <v>2507</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158" t="s">
        <v>2363</v>
      </c>
      <c r="Q32" s="1894" t="str">
        <f t="shared" si="11"/>
        <v>车位类型</v>
      </c>
      <c r="R32" s="753" t="s">
        <v>25</v>
      </c>
      <c r="S32" s="754">
        <f t="shared" si="12"/>
        <v>100</v>
      </c>
      <c r="T32" s="753" t="s">
        <v>25</v>
      </c>
      <c r="U32" s="754">
        <f t="shared" si="13"/>
        <v>100</v>
      </c>
      <c r="V32" s="753" t="s">
        <v>25</v>
      </c>
      <c r="W32" s="754">
        <f t="shared" si="14"/>
        <v>100</v>
      </c>
      <c r="X32" s="1895"/>
      <c r="Y32" s="3158" t="s">
        <v>2363</v>
      </c>
      <c r="Z32" s="1897" t="str">
        <f t="shared" si="15"/>
        <v>车位类型</v>
      </c>
      <c r="AA32" s="1898">
        <f t="shared" si="3"/>
        <v>1</v>
      </c>
      <c r="AB32" s="1898">
        <f t="shared" si="4"/>
        <v>1</v>
      </c>
      <c r="AC32" s="1898">
        <f t="shared" si="5"/>
        <v>1</v>
      </c>
    </row>
    <row r="33" spans="1:29" ht="15">
      <c r="A33" s="639"/>
      <c r="B33" s="637" t="s">
        <v>2508</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158"/>
      <c r="Q33" s="1894" t="str">
        <f t="shared" si="11"/>
        <v>是否直接入户</v>
      </c>
      <c r="R33" s="753" t="s">
        <v>25</v>
      </c>
      <c r="S33" s="754">
        <f t="shared" si="12"/>
        <v>100</v>
      </c>
      <c r="T33" s="753" t="s">
        <v>25</v>
      </c>
      <c r="U33" s="754">
        <f t="shared" si="13"/>
        <v>100</v>
      </c>
      <c r="V33" s="753" t="s">
        <v>25</v>
      </c>
      <c r="W33" s="754">
        <f t="shared" si="14"/>
        <v>100</v>
      </c>
      <c r="X33" s="1895"/>
      <c r="Y33" s="3158"/>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158"/>
      <c r="Q34" s="1894">
        <f t="shared" si="11"/>
        <v>111</v>
      </c>
      <c r="R34" s="753" t="s">
        <v>25</v>
      </c>
      <c r="S34" s="754">
        <f t="shared" si="12"/>
        <v>100</v>
      </c>
      <c r="T34" s="753" t="s">
        <v>25</v>
      </c>
      <c r="U34" s="754">
        <f t="shared" si="13"/>
        <v>100</v>
      </c>
      <c r="V34" s="753" t="s">
        <v>25</v>
      </c>
      <c r="W34" s="754">
        <f t="shared" si="14"/>
        <v>100</v>
      </c>
      <c r="X34" s="1895"/>
      <c r="Y34" s="3158"/>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158"/>
      <c r="Q35" s="755">
        <f t="shared" si="11"/>
        <v>111</v>
      </c>
      <c r="R35" s="756" t="s">
        <v>25</v>
      </c>
      <c r="S35" s="757">
        <f t="shared" si="12"/>
        <v>100</v>
      </c>
      <c r="T35" s="756" t="s">
        <v>25</v>
      </c>
      <c r="U35" s="757">
        <f t="shared" si="13"/>
        <v>100</v>
      </c>
      <c r="V35" s="756" t="s">
        <v>25</v>
      </c>
      <c r="W35" s="757">
        <f t="shared" si="14"/>
        <v>100</v>
      </c>
      <c r="X35" s="758"/>
      <c r="Y35" s="3158"/>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158"/>
      <c r="Q36" s="1894">
        <f t="shared" si="11"/>
        <v>111</v>
      </c>
      <c r="R36" s="753" t="s">
        <v>25</v>
      </c>
      <c r="S36" s="754">
        <f t="shared" si="12"/>
        <v>100</v>
      </c>
      <c r="T36" s="753" t="s">
        <v>25</v>
      </c>
      <c r="U36" s="754">
        <f t="shared" si="13"/>
        <v>100</v>
      </c>
      <c r="V36" s="753" t="s">
        <v>25</v>
      </c>
      <c r="W36" s="754">
        <f t="shared" si="14"/>
        <v>100</v>
      </c>
      <c r="X36" s="1895"/>
      <c r="Y36" s="3158"/>
      <c r="Z36" s="1897">
        <f t="shared" si="15"/>
        <v>111</v>
      </c>
      <c r="AA36" s="1898">
        <f t="shared" si="3"/>
        <v>1</v>
      </c>
      <c r="AB36" s="1898">
        <f t="shared" si="4"/>
        <v>1</v>
      </c>
      <c r="AC36" s="1898">
        <f t="shared" si="5"/>
        <v>1</v>
      </c>
    </row>
    <row r="37" spans="1:29" ht="15">
      <c r="A37" s="460" t="s">
        <v>2509</v>
      </c>
      <c r="B37" s="1089" t="s">
        <v>2510</v>
      </c>
      <c r="C37" s="1498" t="s">
        <v>1</v>
      </c>
      <c r="D37" s="1499"/>
      <c r="E37" s="1500"/>
      <c r="F37" s="1501"/>
      <c r="G37" s="1502"/>
      <c r="H37" s="1503"/>
      <c r="I37" s="1500"/>
      <c r="J37" s="1503"/>
      <c r="K37" s="603"/>
      <c r="L37" s="1521"/>
      <c r="M37" s="738"/>
      <c r="N37" s="425"/>
      <c r="O37" s="738"/>
      <c r="P37" s="3150" t="str">
        <f>A37</f>
        <v>成交单价</v>
      </c>
      <c r="Q37" s="3150"/>
      <c r="R37" s="3146">
        <f>E37</f>
        <v>0</v>
      </c>
      <c r="S37" s="3146"/>
      <c r="T37" s="3146">
        <f>G37</f>
        <v>0</v>
      </c>
      <c r="U37" s="3146"/>
      <c r="V37" s="3146">
        <f>I37</f>
        <v>0</v>
      </c>
      <c r="W37" s="3146"/>
      <c r="X37" s="738"/>
      <c r="Y37" s="760"/>
      <c r="Z37" s="738"/>
      <c r="AA37" s="738"/>
      <c r="AB37" s="738"/>
      <c r="AC37" s="738"/>
    </row>
    <row r="38" spans="1:29" ht="15.75" thickBot="1">
      <c r="A38" s="467" t="s">
        <v>2511</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150" t="str">
        <f>A38</f>
        <v>比较价值</v>
      </c>
      <c r="Q38" s="3150"/>
      <c r="R38" s="3146" t="e">
        <f>IF(E1="售价",ROUND(PRODUCT(R37,AA7:AA36),0),ROUND(PRODUCT(R37,AA7:AA36),1))</f>
        <v>#DIV/0!</v>
      </c>
      <c r="S38" s="3146"/>
      <c r="T38" s="3146" t="e">
        <f>IF(E1="售价",ROUND(PRODUCT(T37,AB7:AB36),0),ROUND(PRODUCT(T37,AB7:AB36),1))</f>
        <v>#DIV/0!</v>
      </c>
      <c r="U38" s="3146"/>
      <c r="V38" s="3146" t="e">
        <f>IF(E1="售价",ROUND(PRODUCT(V37,AC7:AC36),0),ROUND(PRODUCT(V37,AC7:AC36),1))</f>
        <v>#DIV/0!</v>
      </c>
      <c r="W38" s="3146"/>
      <c r="X38" s="738"/>
      <c r="Y38" s="738"/>
      <c r="Z38" s="738"/>
      <c r="AA38" s="738"/>
      <c r="AB38" s="738"/>
      <c r="AC38" s="738"/>
    </row>
    <row r="39" spans="1:29" ht="15.75" thickBot="1">
      <c r="A39" s="473" t="s">
        <v>2512</v>
      </c>
      <c r="B39" s="474"/>
      <c r="C39" s="1508" t="e">
        <f>R39</f>
        <v>#DIV/0!</v>
      </c>
      <c r="D39" s="1508"/>
      <c r="E39" s="1508"/>
      <c r="F39" s="1508"/>
      <c r="G39" s="1508"/>
      <c r="H39" s="1508"/>
      <c r="I39" s="1508"/>
      <c r="J39" s="1508"/>
      <c r="K39" s="605"/>
      <c r="L39" s="1521"/>
      <c r="M39" s="738"/>
      <c r="N39" s="738"/>
      <c r="O39" s="738"/>
      <c r="P39" s="3147" t="str">
        <f>A39</f>
        <v>估价对象XX用房的比较价值（楼面单价，元/平方米）</v>
      </c>
      <c r="Q39" s="3148"/>
      <c r="R39" s="3149" t="e">
        <f>IF(E1="售价",ROUND(AVERAGE(R38:V38),0),ROUND(AVERAGE(R38:V38),1))</f>
        <v>#DIV/0!</v>
      </c>
      <c r="S39" s="3149"/>
      <c r="T39" s="3149"/>
      <c r="U39" s="3149"/>
      <c r="V39" s="3149"/>
      <c r="W39" s="3149"/>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2516</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2517</v>
      </c>
      <c r="B48" s="487"/>
      <c r="C48" s="1674" t="str">
        <f>YEAR(C7)&amp;"-"&amp;MONTH(C7)</f>
        <v>2020-10</v>
      </c>
      <c r="D48" s="1675">
        <f>EDATE(C48,-1)</f>
        <v>44075</v>
      </c>
      <c r="E48" s="1675">
        <f t="shared" ref="E48:O48" si="16">EDATE(D48,-1)</f>
        <v>44044</v>
      </c>
      <c r="F48" s="1675">
        <f t="shared" si="16"/>
        <v>44013</v>
      </c>
      <c r="G48" s="1675">
        <f t="shared" si="16"/>
        <v>43983</v>
      </c>
      <c r="H48" s="1675">
        <f t="shared" si="16"/>
        <v>43952</v>
      </c>
      <c r="I48" s="1675">
        <f t="shared" si="16"/>
        <v>43922</v>
      </c>
      <c r="J48" s="1675">
        <f t="shared" si="16"/>
        <v>43891</v>
      </c>
      <c r="K48" s="1675">
        <f t="shared" si="16"/>
        <v>43862</v>
      </c>
      <c r="L48" s="1675">
        <f t="shared" si="16"/>
        <v>43831</v>
      </c>
      <c r="M48" s="1675">
        <f t="shared" si="16"/>
        <v>43800</v>
      </c>
      <c r="N48" s="1675">
        <f t="shared" si="16"/>
        <v>43770</v>
      </c>
      <c r="O48" s="1675">
        <f t="shared" si="16"/>
        <v>43739</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2383</v>
      </c>
      <c r="B50" s="497"/>
      <c r="C50" s="498"/>
      <c r="D50" s="499"/>
      <c r="E50" s="499"/>
      <c r="F50" s="499"/>
      <c r="G50" s="499"/>
      <c r="H50" s="499"/>
      <c r="I50" s="499"/>
      <c r="J50" s="499"/>
      <c r="K50" s="499"/>
      <c r="L50" s="499"/>
      <c r="M50" s="500"/>
      <c r="N50" s="499"/>
      <c r="O50" s="501"/>
      <c r="P50" s="485"/>
      <c r="Q50" s="485"/>
    </row>
    <row r="51" spans="1:17" s="35" customFormat="1" ht="15">
      <c r="A51" s="502" t="s">
        <v>2347</v>
      </c>
      <c r="B51" s="491"/>
      <c r="C51" s="503" t="s">
        <v>2348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2386</v>
      </c>
      <c r="B53" s="509" t="s">
        <v>2351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2354</v>
      </c>
      <c r="C55" s="522" t="s">
        <v>2387</v>
      </c>
      <c r="D55" s="522" t="s">
        <v>2388</v>
      </c>
      <c r="E55" s="522" t="s">
        <v>2389</v>
      </c>
      <c r="F55" s="522" t="s">
        <v>2390</v>
      </c>
      <c r="G55" s="522" t="s">
        <v>2391</v>
      </c>
      <c r="H55" s="522" t="s">
        <v>2392</v>
      </c>
      <c r="I55" s="522" t="s">
        <v>2393</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2356</v>
      </c>
      <c r="B63" s="509" t="s">
        <v>2400</v>
      </c>
      <c r="C63" s="557" t="s">
        <v>2395</v>
      </c>
      <c r="D63" s="557" t="s">
        <v>2396</v>
      </c>
      <c r="E63" s="557" t="s">
        <v>2397</v>
      </c>
      <c r="F63" s="557" t="s">
        <v>2398</v>
      </c>
      <c r="G63" s="557" t="s">
        <v>2399</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2401</v>
      </c>
      <c r="C65" s="562" t="s">
        <v>2395</v>
      </c>
      <c r="D65" s="562" t="s">
        <v>2396</v>
      </c>
      <c r="E65" s="562" t="s">
        <v>2397</v>
      </c>
      <c r="F65" s="562" t="s">
        <v>2398</v>
      </c>
      <c r="G65" s="562" t="s">
        <v>2399</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2471</v>
      </c>
      <c r="C67" s="522" t="s">
        <v>2402</v>
      </c>
      <c r="D67" s="522" t="s">
        <v>2403</v>
      </c>
      <c r="E67" s="522" t="s">
        <v>2404</v>
      </c>
      <c r="F67" s="522" t="s">
        <v>2405</v>
      </c>
      <c r="G67" s="522" t="s">
        <v>2406</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2407</v>
      </c>
      <c r="C69" s="562" t="s">
        <v>2395</v>
      </c>
      <c r="D69" s="562" t="s">
        <v>2396</v>
      </c>
      <c r="E69" s="562" t="s">
        <v>2397</v>
      </c>
      <c r="F69" s="562" t="s">
        <v>2398</v>
      </c>
      <c r="G69" s="562" t="s">
        <v>2399</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2361</v>
      </c>
      <c r="B79" s="509" t="s">
        <v>2519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2414</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4" stopIfTrue="1" operator="containsText" text="超过">
      <formula>NOT(ISERROR(SEARCH("超过",F42)))</formula>
    </cfRule>
  </conditionalFormatting>
  <conditionalFormatting sqref="J44">
    <cfRule type="containsText" dxfId="78" priority="13" stopIfTrue="1" operator="containsText" text="超过">
      <formula>NOT(ISERROR(SEARCH("超过",J44)))</formula>
    </cfRule>
  </conditionalFormatting>
  <conditionalFormatting sqref="H44">
    <cfRule type="containsText" dxfId="77" priority="12" stopIfTrue="1" operator="containsText" text="超过">
      <formula>NOT(ISERROR(SEARCH("超过",H44)))</formula>
    </cfRule>
  </conditionalFormatting>
  <conditionalFormatting sqref="F44">
    <cfRule type="containsText" dxfId="76" priority="11" stopIfTrue="1" operator="containsText" text="超过">
      <formula>NOT(ISERROR(SEARCH("超过",F44)))</formula>
    </cfRule>
  </conditionalFormatting>
  <conditionalFormatting sqref="F43 H43 J43">
    <cfRule type="containsText" dxfId="75" priority="10" stopIfTrue="1" operator="containsText" text="超过">
      <formula>NOT(ISERROR(SEARCH("超过",F43)))</formula>
    </cfRule>
  </conditionalFormatting>
  <conditionalFormatting sqref="E42">
    <cfRule type="expression" dxfId="74" priority="9" stopIfTrue="1">
      <formula>$F$42="超过30%"</formula>
    </cfRule>
  </conditionalFormatting>
  <conditionalFormatting sqref="G44">
    <cfRule type="expression" dxfId="73" priority="8" stopIfTrue="1">
      <formula>$H$54+$H$44="超过30%"</formula>
    </cfRule>
  </conditionalFormatting>
  <conditionalFormatting sqref="E43">
    <cfRule type="expression" dxfId="72" priority="7" stopIfTrue="1">
      <formula>$F$43="超过20%"</formula>
    </cfRule>
  </conditionalFormatting>
  <conditionalFormatting sqref="E44">
    <cfRule type="expression" dxfId="71" priority="6" stopIfTrue="1">
      <formula>$F$44="超过30%"</formula>
    </cfRule>
  </conditionalFormatting>
  <conditionalFormatting sqref="G42">
    <cfRule type="expression" dxfId="70" priority="5" stopIfTrue="1">
      <formula>$H$52+$H$42="超过30%"</formula>
    </cfRule>
  </conditionalFormatting>
  <conditionalFormatting sqref="G43">
    <cfRule type="expression" dxfId="69" priority="4" stopIfTrue="1">
      <formula>$H$43="超过20%"</formula>
    </cfRule>
  </conditionalFormatting>
  <conditionalFormatting sqref="I42">
    <cfRule type="expression" dxfId="68" priority="3" stopIfTrue="1">
      <formula>$J$52+$J$42="超过30%"</formula>
    </cfRule>
  </conditionalFormatting>
  <conditionalFormatting sqref="I43">
    <cfRule type="expression" dxfId="67" priority="2" stopIfTrue="1">
      <formula>$J$53+$J$43="超过20%"</formula>
    </cfRule>
  </conditionalFormatting>
  <conditionalFormatting sqref="I44">
    <cfRule type="expression" dxfId="6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IF(D2="——",IF(C2="元",ROUND(C37*D3,0),ROUND(C37*D3/10000,0)),IF(C2="元",ROUND(C37*D3,0),ROUND(C37*D3/10000,0))-E2)</f>
        <v>#DIV/0!</v>
      </c>
      <c r="C2" s="163" t="str">
        <f>'数据-取费表'!B3</f>
        <v>元</v>
      </c>
      <c r="D2" s="2379"/>
      <c r="E2" s="1734" t="e">
        <f ca="1">SUMIF(INDIRECT("'"&amp;G2&amp;"'"&amp;"!A:A"),"承租人权益价值",INDIRECT("'"&amp;G2&amp;"'"&amp;"!c:c"))</f>
        <v>#REF!</v>
      </c>
      <c r="F2" s="2380" t="str">
        <f>C2</f>
        <v>元</v>
      </c>
      <c r="G2" s="2381"/>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 ca="1">ROUND(IF(D2="——",C37,IF(C2="万元",B2*10000/D3,B2/D3)),0)</f>
        <v>#DIV/0!</v>
      </c>
      <c r="C3" s="379" t="s">
        <v>2331</v>
      </c>
      <c r="D3" s="378">
        <f>IF(C1="仅计算典型户型",'数据-取费表'!E5,'数据-取费表'!B5)</f>
        <v>392.22</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29" ht="15">
      <c r="A5" s="383"/>
      <c r="B5" s="384"/>
      <c r="C5" s="3162" t="s">
        <v>2339</v>
      </c>
      <c r="D5" s="3163"/>
      <c r="E5" s="3188" t="s">
        <v>2340</v>
      </c>
      <c r="F5" s="3189"/>
      <c r="G5" s="3162" t="s">
        <v>2341</v>
      </c>
      <c r="H5" s="3163"/>
      <c r="I5" s="3162" t="s">
        <v>2342</v>
      </c>
      <c r="J5" s="3163"/>
      <c r="K5" s="594"/>
      <c r="L5" s="1239"/>
      <c r="M5" s="1240"/>
      <c r="N5" s="1240"/>
      <c r="O5" s="1240"/>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239"/>
      <c r="M6" s="1240"/>
      <c r="N6" s="1240"/>
      <c r="O6" s="1240"/>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44134</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164" t="s">
        <v>2346</v>
      </c>
      <c r="Q7" s="3172"/>
      <c r="R7" s="749" t="s">
        <v>25</v>
      </c>
      <c r="S7" s="750">
        <f t="shared" ref="S7:S14" si="0">F7</f>
        <v>0</v>
      </c>
      <c r="T7" s="749" t="s">
        <v>25</v>
      </c>
      <c r="U7" s="750">
        <f t="shared" ref="U7:U14" si="1">H7</f>
        <v>0</v>
      </c>
      <c r="V7" s="749" t="s">
        <v>25</v>
      </c>
      <c r="W7" s="750">
        <f t="shared" ref="W7:W14" si="2">J7</f>
        <v>0</v>
      </c>
      <c r="X7" s="751"/>
      <c r="Y7" s="3164" t="s">
        <v>2346</v>
      </c>
      <c r="Z7" s="3165"/>
      <c r="AA7" s="752" t="e">
        <f>D7/F7</f>
        <v>#DIV/0!</v>
      </c>
      <c r="AB7" s="752" t="e">
        <f>D7/H7</f>
        <v>#DIV/0!</v>
      </c>
      <c r="AC7" s="752" t="e">
        <f>D7/J7</f>
        <v>#DIV/0!</v>
      </c>
    </row>
    <row r="8" spans="1:29" s="35" customFormat="1" ht="15.75" thickBot="1">
      <c r="A8" s="387" t="s">
        <v>2347</v>
      </c>
      <c r="B8" s="388"/>
      <c r="C8" s="394" t="s">
        <v>2348</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164" t="s">
        <v>2349</v>
      </c>
      <c r="Q8" s="3165"/>
      <c r="R8" s="749" t="s">
        <v>25</v>
      </c>
      <c r="S8" s="750">
        <f t="shared" si="0"/>
        <v>0</v>
      </c>
      <c r="T8" s="749" t="s">
        <v>25</v>
      </c>
      <c r="U8" s="750">
        <f t="shared" si="1"/>
        <v>0</v>
      </c>
      <c r="V8" s="749" t="s">
        <v>25</v>
      </c>
      <c r="W8" s="750">
        <f t="shared" si="2"/>
        <v>0</v>
      </c>
      <c r="X8" s="751"/>
      <c r="Y8" s="3164" t="s">
        <v>2349</v>
      </c>
      <c r="Z8" s="3165"/>
      <c r="AA8" s="752" t="e">
        <f t="shared" ref="AA8:AA34" si="3">D8/F8</f>
        <v>#DIV/0!</v>
      </c>
      <c r="AB8" s="752" t="e">
        <f t="shared" ref="AB8:AB34" si="4">D8/H8</f>
        <v>#DIV/0!</v>
      </c>
      <c r="AC8" s="752" t="e">
        <f t="shared" ref="AC8:AC34" si="5">D8/J8</f>
        <v>#DIV/0!</v>
      </c>
    </row>
    <row r="9" spans="1:29" s="35" customFormat="1">
      <c r="A9" s="395" t="s">
        <v>2350</v>
      </c>
      <c r="B9" s="28" t="s">
        <v>2351</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150" t="s">
        <v>2352</v>
      </c>
      <c r="Q9" s="1882" t="str">
        <f t="shared" ref="Q9:Q14" si="6">B9</f>
        <v>用途</v>
      </c>
      <c r="R9" s="749" t="s">
        <v>25</v>
      </c>
      <c r="S9" s="750">
        <f t="shared" si="0"/>
        <v>100</v>
      </c>
      <c r="T9" s="749" t="s">
        <v>25</v>
      </c>
      <c r="U9" s="750">
        <f t="shared" si="1"/>
        <v>100</v>
      </c>
      <c r="V9" s="749" t="s">
        <v>25</v>
      </c>
      <c r="W9" s="750">
        <f t="shared" si="2"/>
        <v>100</v>
      </c>
      <c r="X9" s="751"/>
      <c r="Y9" s="2979" t="s">
        <v>2353</v>
      </c>
      <c r="Z9" s="23" t="str">
        <f t="shared" ref="Z9:Z14" si="7">Q9</f>
        <v>用途</v>
      </c>
      <c r="AA9" s="752">
        <f t="shared" si="3"/>
        <v>1</v>
      </c>
      <c r="AB9" s="752">
        <f t="shared" si="4"/>
        <v>1</v>
      </c>
      <c r="AC9" s="752">
        <f t="shared" si="5"/>
        <v>1</v>
      </c>
    </row>
    <row r="10" spans="1:29" s="407" customFormat="1" ht="27">
      <c r="A10" s="401"/>
      <c r="B10" s="402" t="s">
        <v>2354</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150"/>
      <c r="Q10" s="1882"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150"/>
      <c r="Q11" s="1882">
        <f t="shared" si="6"/>
        <v>111</v>
      </c>
      <c r="R11" s="749" t="s">
        <v>25</v>
      </c>
      <c r="S11" s="750">
        <f t="shared" si="0"/>
        <v>100</v>
      </c>
      <c r="T11" s="749" t="s">
        <v>25</v>
      </c>
      <c r="U11" s="750">
        <f t="shared" si="1"/>
        <v>100</v>
      </c>
      <c r="V11" s="749" t="s">
        <v>25</v>
      </c>
      <c r="W11" s="750">
        <f t="shared" si="2"/>
        <v>100</v>
      </c>
      <c r="X11" s="751"/>
      <c r="Y11" s="2979"/>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150"/>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28.25">
      <c r="A14" s="419" t="s">
        <v>2356</v>
      </c>
      <c r="B14" s="26" t="s">
        <v>2498</v>
      </c>
      <c r="C14" s="2474" t="str">
        <f>IF(B1="工业",估价对象房地状况!G4,估价对象房地状况!C6)</f>
        <v>估价对象周边公共交通包括：488路、499路、517路等公交线路，1公里以内有地铁6号线常营地铁站。综合评价交通便捷度好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153" t="s">
        <v>2357</v>
      </c>
      <c r="Q14" s="1894" t="str">
        <f t="shared" si="6"/>
        <v>交通便捷度</v>
      </c>
      <c r="R14" s="753" t="s">
        <v>25</v>
      </c>
      <c r="S14" s="754">
        <f t="shared" si="0"/>
        <v>100</v>
      </c>
      <c r="T14" s="753" t="s">
        <v>25</v>
      </c>
      <c r="U14" s="754">
        <f t="shared" si="1"/>
        <v>100</v>
      </c>
      <c r="V14" s="753" t="s">
        <v>25</v>
      </c>
      <c r="W14" s="754">
        <f t="shared" si="2"/>
        <v>100</v>
      </c>
      <c r="X14" s="1895"/>
      <c r="Y14" s="3153" t="s">
        <v>2357</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154"/>
      <c r="Q15" s="1894"/>
      <c r="R15" s="753"/>
      <c r="S15" s="754"/>
      <c r="T15" s="753"/>
      <c r="U15" s="754"/>
      <c r="V15" s="753"/>
      <c r="W15" s="754"/>
      <c r="X15" s="1895"/>
      <c r="Y15" s="3154"/>
      <c r="Z15" s="1897"/>
      <c r="AA15" s="1898">
        <v>1</v>
      </c>
      <c r="AB15" s="1898">
        <v>1</v>
      </c>
      <c r="AC15" s="1898">
        <v>1</v>
      </c>
    </row>
    <row r="16" spans="1:29" ht="42.75">
      <c r="A16" s="408"/>
      <c r="B16" s="615" t="s">
        <v>2470</v>
      </c>
      <c r="C16" s="2401" t="str">
        <f>IF(B1="工业",估价对象房地状况!G5,估价对象房地状况!C7)</f>
        <v>估价对象所在区域公共配套设施齐备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154"/>
      <c r="Q16" s="1894" t="str">
        <f>B16</f>
        <v>公共配套设施</v>
      </c>
      <c r="R16" s="753" t="s">
        <v>25</v>
      </c>
      <c r="S16" s="754">
        <f>F16</f>
        <v>100</v>
      </c>
      <c r="T16" s="753" t="s">
        <v>25</v>
      </c>
      <c r="U16" s="754">
        <f>H16</f>
        <v>100</v>
      </c>
      <c r="V16" s="753" t="s">
        <v>25</v>
      </c>
      <c r="W16" s="754">
        <f>J16</f>
        <v>100</v>
      </c>
      <c r="X16" s="1895"/>
      <c r="Y16" s="3154"/>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154"/>
      <c r="Q17" s="1894"/>
      <c r="R17" s="753"/>
      <c r="S17" s="754"/>
      <c r="T17" s="753"/>
      <c r="U17" s="754"/>
      <c r="V17" s="753"/>
      <c r="W17" s="754"/>
      <c r="X17" s="1895"/>
      <c r="Y17" s="3154"/>
      <c r="Z17" s="1897"/>
      <c r="AA17" s="1898">
        <v>1</v>
      </c>
      <c r="AB17" s="1898">
        <v>1</v>
      </c>
      <c r="AC17" s="1898">
        <v>1</v>
      </c>
    </row>
    <row r="18" spans="1:29" ht="15">
      <c r="A18" s="408"/>
      <c r="B18" s="617" t="s">
        <v>2471</v>
      </c>
      <c r="C18" s="2401"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154"/>
      <c r="Q18" s="1894" t="str">
        <f>B18</f>
        <v>基础设施水平</v>
      </c>
      <c r="R18" s="753" t="s">
        <v>25</v>
      </c>
      <c r="S18" s="754">
        <f>F18</f>
        <v>100</v>
      </c>
      <c r="T18" s="753" t="s">
        <v>25</v>
      </c>
      <c r="U18" s="754">
        <f>H18</f>
        <v>100</v>
      </c>
      <c r="V18" s="753" t="s">
        <v>25</v>
      </c>
      <c r="W18" s="754">
        <f>J18</f>
        <v>100</v>
      </c>
      <c r="X18" s="1895"/>
      <c r="Y18" s="3154"/>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154"/>
      <c r="Q19" s="1894"/>
      <c r="R19" s="753"/>
      <c r="S19" s="754"/>
      <c r="T19" s="753"/>
      <c r="U19" s="754"/>
      <c r="V19" s="753"/>
      <c r="W19" s="754"/>
      <c r="X19" s="1895"/>
      <c r="Y19" s="3154"/>
      <c r="Z19" s="1897"/>
      <c r="AA19" s="1898">
        <v>1</v>
      </c>
      <c r="AB19" s="1898">
        <v>1</v>
      </c>
      <c r="AC19" s="1898">
        <v>1</v>
      </c>
    </row>
    <row r="20" spans="1:29" ht="114">
      <c r="A20" s="408"/>
      <c r="B20" s="431" t="s">
        <v>2499</v>
      </c>
      <c r="C20" s="2401" t="str">
        <f>IF(B1="工业",估价对象房地状况!G7,估价对象房地状况!C9)</f>
        <v>区域自然环境：常营公园、五里桥公园；人文环境：北京科技大学（管庄校区）、北京政法职业学院；综合评价环境状况好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154"/>
      <c r="Q20" s="1894" t="str">
        <f>B20</f>
        <v>自然及人文环境</v>
      </c>
      <c r="R20" s="753" t="s">
        <v>25</v>
      </c>
      <c r="S20" s="754">
        <f>F20</f>
        <v>100</v>
      </c>
      <c r="T20" s="753" t="s">
        <v>25</v>
      </c>
      <c r="U20" s="754">
        <f>H20</f>
        <v>100</v>
      </c>
      <c r="V20" s="753" t="s">
        <v>25</v>
      </c>
      <c r="W20" s="754">
        <f>J20</f>
        <v>100</v>
      </c>
      <c r="X20" s="1895"/>
      <c r="Y20" s="3154"/>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154"/>
      <c r="Q21" s="1894"/>
      <c r="R21" s="753"/>
      <c r="S21" s="754"/>
      <c r="T21" s="753"/>
      <c r="U21" s="754"/>
      <c r="V21" s="753"/>
      <c r="W21" s="754"/>
      <c r="X21" s="1895"/>
      <c r="Y21" s="3154"/>
      <c r="Z21" s="1897"/>
      <c r="AA21" s="1898">
        <v>1</v>
      </c>
      <c r="AB21" s="1898">
        <v>1</v>
      </c>
      <c r="AC21" s="1898">
        <v>1</v>
      </c>
    </row>
    <row r="22" spans="1:29" ht="15">
      <c r="A22" s="408"/>
      <c r="B22" s="431" t="s">
        <v>2500</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154"/>
      <c r="Q22" s="1894" t="str">
        <f>B22</f>
        <v>楼层</v>
      </c>
      <c r="R22" s="753" t="s">
        <v>25</v>
      </c>
      <c r="S22" s="754">
        <f>F22</f>
        <v>100</v>
      </c>
      <c r="T22" s="753" t="s">
        <v>25</v>
      </c>
      <c r="U22" s="754">
        <f>H22</f>
        <v>100</v>
      </c>
      <c r="V22" s="753" t="s">
        <v>25</v>
      </c>
      <c r="W22" s="754">
        <f>J22</f>
        <v>100</v>
      </c>
      <c r="X22" s="1895"/>
      <c r="Y22" s="3154"/>
      <c r="Z22" s="1897" t="str">
        <f>Q22</f>
        <v>楼层</v>
      </c>
      <c r="AA22" s="1898">
        <f t="shared" si="3"/>
        <v>1</v>
      </c>
      <c r="AB22" s="1898">
        <f t="shared" si="4"/>
        <v>1</v>
      </c>
      <c r="AC22" s="1898">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154"/>
      <c r="Q23" s="1894">
        <f>B23</f>
        <v>111</v>
      </c>
      <c r="R23" s="753" t="s">
        <v>25</v>
      </c>
      <c r="S23" s="754">
        <f>F23</f>
        <v>100</v>
      </c>
      <c r="T23" s="753" t="s">
        <v>25</v>
      </c>
      <c r="U23" s="754">
        <f>H23</f>
        <v>100</v>
      </c>
      <c r="V23" s="753" t="s">
        <v>25</v>
      </c>
      <c r="W23" s="754">
        <f>J23</f>
        <v>100</v>
      </c>
      <c r="X23" s="1895"/>
      <c r="Y23" s="3154"/>
      <c r="Z23" s="1897">
        <f>Q23</f>
        <v>111</v>
      </c>
      <c r="AA23" s="1898">
        <f t="shared" si="3"/>
        <v>1</v>
      </c>
      <c r="AB23" s="1898">
        <f t="shared" si="4"/>
        <v>1</v>
      </c>
      <c r="AC23" s="1898">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154"/>
      <c r="Q24" s="1894">
        <f t="shared" ref="Q24:Q34" si="11">B24</f>
        <v>111</v>
      </c>
      <c r="R24" s="753" t="s">
        <v>25</v>
      </c>
      <c r="S24" s="754">
        <f>F24</f>
        <v>100</v>
      </c>
      <c r="T24" s="753" t="s">
        <v>25</v>
      </c>
      <c r="U24" s="754">
        <f>H24</f>
        <v>100</v>
      </c>
      <c r="V24" s="753" t="s">
        <v>25</v>
      </c>
      <c r="W24" s="754">
        <f>J24</f>
        <v>100</v>
      </c>
      <c r="X24" s="1895"/>
      <c r="Y24" s="3154"/>
      <c r="Z24" s="1897">
        <f>Q24</f>
        <v>111</v>
      </c>
      <c r="AA24" s="1898">
        <f t="shared" si="3"/>
        <v>1</v>
      </c>
      <c r="AB24" s="1898">
        <f t="shared" si="4"/>
        <v>1</v>
      </c>
      <c r="AC24" s="1898">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154"/>
      <c r="Q25" s="1882">
        <f t="shared" si="11"/>
        <v>111</v>
      </c>
      <c r="R25" s="749" t="s">
        <v>25</v>
      </c>
      <c r="S25" s="750">
        <f>F25</f>
        <v>100</v>
      </c>
      <c r="T25" s="749" t="s">
        <v>25</v>
      </c>
      <c r="U25" s="750">
        <f>H25</f>
        <v>100</v>
      </c>
      <c r="V25" s="749" t="s">
        <v>25</v>
      </c>
      <c r="W25" s="750">
        <f>J25</f>
        <v>100</v>
      </c>
      <c r="X25" s="751"/>
      <c r="Y25" s="3154"/>
      <c r="Z25" s="23">
        <f>Q25</f>
        <v>111</v>
      </c>
      <c r="AA25" s="1898">
        <f>D25/F25</f>
        <v>1</v>
      </c>
      <c r="AB25" s="1898">
        <f>D25/H25</f>
        <v>1</v>
      </c>
      <c r="AC25" s="1898">
        <f>D25/J25</f>
        <v>1</v>
      </c>
    </row>
    <row r="26" spans="1:29" ht="28.5">
      <c r="A26" s="447" t="s">
        <v>2361</v>
      </c>
      <c r="B26" s="28" t="s">
        <v>2503</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203" t="s">
        <v>2363</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158" t="s">
        <v>2363</v>
      </c>
      <c r="Z26" s="1897" t="str">
        <f t="shared" ref="Z26:Z34" si="15">Q26</f>
        <v>公共部分装修</v>
      </c>
      <c r="AA26" s="1898">
        <f t="shared" si="3"/>
        <v>1</v>
      </c>
      <c r="AB26" s="1898">
        <f t="shared" si="4"/>
        <v>1</v>
      </c>
      <c r="AC26" s="1898">
        <f t="shared" si="5"/>
        <v>1</v>
      </c>
    </row>
    <row r="27" spans="1:29" s="452" customFormat="1" ht="15">
      <c r="A27" s="449"/>
      <c r="B27" s="402" t="s">
        <v>2504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158"/>
      <c r="Q27" s="755" t="str">
        <f t="shared" si="11"/>
        <v>成新率</v>
      </c>
      <c r="R27" s="756" t="s">
        <v>25</v>
      </c>
      <c r="S27" s="757" t="e">
        <f t="shared" si="12"/>
        <v>#N/A</v>
      </c>
      <c r="T27" s="756" t="s">
        <v>25</v>
      </c>
      <c r="U27" s="757" t="e">
        <f t="shared" si="13"/>
        <v>#N/A</v>
      </c>
      <c r="V27" s="756" t="s">
        <v>25</v>
      </c>
      <c r="W27" s="757" t="e">
        <f t="shared" si="14"/>
        <v>#N/A</v>
      </c>
      <c r="X27" s="758"/>
      <c r="Y27" s="3158"/>
      <c r="Z27" s="759" t="str">
        <f t="shared" si="15"/>
        <v>成新率</v>
      </c>
      <c r="AA27" s="1898" t="e">
        <f t="shared" si="3"/>
        <v>#N/A</v>
      </c>
      <c r="AB27" s="1898" t="e">
        <f t="shared" si="4"/>
        <v>#N/A</v>
      </c>
      <c r="AC27" s="1898" t="e">
        <f t="shared" si="5"/>
        <v>#N/A</v>
      </c>
    </row>
    <row r="28" spans="1:29" ht="15">
      <c r="A28" s="453"/>
      <c r="B28" s="402" t="s">
        <v>2505</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158"/>
      <c r="Q28" s="1894" t="str">
        <f t="shared" si="11"/>
        <v>物业等级</v>
      </c>
      <c r="R28" s="753" t="s">
        <v>25</v>
      </c>
      <c r="S28" s="754">
        <f t="shared" si="12"/>
        <v>100</v>
      </c>
      <c r="T28" s="753" t="s">
        <v>25</v>
      </c>
      <c r="U28" s="754">
        <f t="shared" si="13"/>
        <v>100</v>
      </c>
      <c r="V28" s="753" t="s">
        <v>25</v>
      </c>
      <c r="W28" s="754">
        <f t="shared" si="14"/>
        <v>100</v>
      </c>
      <c r="X28" s="1895"/>
      <c r="Y28" s="3158"/>
      <c r="Z28" s="1897" t="str">
        <f t="shared" si="15"/>
        <v>物业等级</v>
      </c>
      <c r="AA28" s="1898">
        <f t="shared" si="3"/>
        <v>1</v>
      </c>
      <c r="AB28" s="1898">
        <f t="shared" si="4"/>
        <v>1</v>
      </c>
      <c r="AC28" s="1898">
        <f t="shared" si="5"/>
        <v>1</v>
      </c>
    </row>
    <row r="29" spans="1:29" ht="15">
      <c r="A29" s="453"/>
      <c r="B29" s="402" t="s">
        <v>2526</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158"/>
      <c r="Q29" s="1894" t="str">
        <f t="shared" si="11"/>
        <v>有无电梯</v>
      </c>
      <c r="R29" s="753" t="s">
        <v>25</v>
      </c>
      <c r="S29" s="754">
        <f t="shared" si="12"/>
        <v>100</v>
      </c>
      <c r="T29" s="753" t="s">
        <v>25</v>
      </c>
      <c r="U29" s="754">
        <f t="shared" si="13"/>
        <v>100</v>
      </c>
      <c r="V29" s="753" t="s">
        <v>25</v>
      </c>
      <c r="W29" s="754">
        <f t="shared" si="14"/>
        <v>100</v>
      </c>
      <c r="X29" s="1895"/>
      <c r="Y29" s="3158"/>
      <c r="Z29" s="1897" t="str">
        <f t="shared" si="15"/>
        <v>有无电梯</v>
      </c>
      <c r="AA29" s="1898">
        <f t="shared" si="3"/>
        <v>1</v>
      </c>
      <c r="AB29" s="1898">
        <f t="shared" si="4"/>
        <v>1</v>
      </c>
      <c r="AC29" s="1898">
        <f t="shared" si="5"/>
        <v>1</v>
      </c>
    </row>
    <row r="30" spans="1:29" ht="15">
      <c r="A30" s="453"/>
      <c r="B30" s="402" t="s">
        <v>2527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158"/>
      <c r="Q30" s="1894" t="str">
        <f t="shared" si="11"/>
        <v>建筑面积</v>
      </c>
      <c r="R30" s="753" t="s">
        <v>25</v>
      </c>
      <c r="S30" s="754" t="e">
        <f t="shared" si="12"/>
        <v>#N/A</v>
      </c>
      <c r="T30" s="753" t="s">
        <v>25</v>
      </c>
      <c r="U30" s="754" t="e">
        <f t="shared" si="13"/>
        <v>#N/A</v>
      </c>
      <c r="V30" s="753" t="s">
        <v>25</v>
      </c>
      <c r="W30" s="754" t="e">
        <f t="shared" si="14"/>
        <v>#N/A</v>
      </c>
      <c r="X30" s="1895"/>
      <c r="Y30" s="3158"/>
      <c r="Z30" s="1897" t="str">
        <f t="shared" si="15"/>
        <v>建筑面积</v>
      </c>
      <c r="AA30" s="1898" t="e">
        <f t="shared" si="3"/>
        <v>#N/A</v>
      </c>
      <c r="AB30" s="1898" t="e">
        <f t="shared" si="4"/>
        <v>#N/A</v>
      </c>
      <c r="AC30" s="1898" t="e">
        <f t="shared" si="5"/>
        <v>#N/A</v>
      </c>
    </row>
    <row r="31" spans="1:29" s="35" customFormat="1" ht="15">
      <c r="A31" s="454"/>
      <c r="B31" s="402" t="s">
        <v>2528</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158"/>
      <c r="Q31" s="1882" t="str">
        <f t="shared" si="11"/>
        <v>是否封闭</v>
      </c>
      <c r="R31" s="749" t="s">
        <v>25</v>
      </c>
      <c r="S31" s="750">
        <f t="shared" si="12"/>
        <v>100</v>
      </c>
      <c r="T31" s="749" t="s">
        <v>25</v>
      </c>
      <c r="U31" s="750">
        <f t="shared" si="13"/>
        <v>100</v>
      </c>
      <c r="V31" s="749" t="s">
        <v>25</v>
      </c>
      <c r="W31" s="750">
        <f t="shared" si="14"/>
        <v>100</v>
      </c>
      <c r="X31" s="751"/>
      <c r="Y31" s="3158"/>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158" t="s">
        <v>2363</v>
      </c>
      <c r="Q32" s="1894">
        <f t="shared" si="11"/>
        <v>111</v>
      </c>
      <c r="R32" s="753" t="s">
        <v>25</v>
      </c>
      <c r="S32" s="754">
        <f t="shared" si="12"/>
        <v>100</v>
      </c>
      <c r="T32" s="753" t="s">
        <v>25</v>
      </c>
      <c r="U32" s="754">
        <f t="shared" si="13"/>
        <v>100</v>
      </c>
      <c r="V32" s="753" t="s">
        <v>25</v>
      </c>
      <c r="W32" s="754">
        <f t="shared" si="14"/>
        <v>100</v>
      </c>
      <c r="X32" s="1895"/>
      <c r="Y32" s="3158" t="s">
        <v>2363</v>
      </c>
      <c r="Z32" s="1897">
        <f t="shared" si="15"/>
        <v>111</v>
      </c>
      <c r="AA32" s="1898">
        <f t="shared" si="3"/>
        <v>1</v>
      </c>
      <c r="AB32" s="1898">
        <f t="shared" si="4"/>
        <v>1</v>
      </c>
      <c r="AC32" s="1898">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158"/>
      <c r="Q33" s="1894">
        <f t="shared" si="11"/>
        <v>111</v>
      </c>
      <c r="R33" s="753" t="s">
        <v>25</v>
      </c>
      <c r="S33" s="754">
        <f t="shared" si="12"/>
        <v>100</v>
      </c>
      <c r="T33" s="753" t="s">
        <v>25</v>
      </c>
      <c r="U33" s="754">
        <f t="shared" si="13"/>
        <v>100</v>
      </c>
      <c r="V33" s="753" t="s">
        <v>25</v>
      </c>
      <c r="W33" s="754">
        <f t="shared" si="14"/>
        <v>100</v>
      </c>
      <c r="X33" s="1895"/>
      <c r="Y33" s="3158"/>
      <c r="Z33" s="1897">
        <f t="shared" si="15"/>
        <v>111</v>
      </c>
      <c r="AA33" s="1898">
        <f t="shared" si="3"/>
        <v>1</v>
      </c>
      <c r="AB33" s="1898">
        <f t="shared" si="4"/>
        <v>1</v>
      </c>
      <c r="AC33" s="1898">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158"/>
      <c r="Q34" s="1894">
        <f t="shared" si="11"/>
        <v>111</v>
      </c>
      <c r="R34" s="753" t="s">
        <v>25</v>
      </c>
      <c r="S34" s="754">
        <f t="shared" si="12"/>
        <v>100</v>
      </c>
      <c r="T34" s="753" t="s">
        <v>25</v>
      </c>
      <c r="U34" s="754">
        <f t="shared" si="13"/>
        <v>100</v>
      </c>
      <c r="V34" s="753" t="s">
        <v>25</v>
      </c>
      <c r="W34" s="754">
        <f t="shared" si="14"/>
        <v>100</v>
      </c>
      <c r="X34" s="1895"/>
      <c r="Y34" s="3158"/>
      <c r="Z34" s="1897">
        <f t="shared" si="15"/>
        <v>111</v>
      </c>
      <c r="AA34" s="1898">
        <f t="shared" si="3"/>
        <v>1</v>
      </c>
      <c r="AB34" s="1898">
        <f t="shared" si="4"/>
        <v>1</v>
      </c>
      <c r="AC34" s="1898">
        <f t="shared" si="5"/>
        <v>1</v>
      </c>
    </row>
    <row r="35" spans="1:29" ht="15">
      <c r="A35" s="460" t="s">
        <v>2375</v>
      </c>
      <c r="B35" s="461"/>
      <c r="C35" s="1498" t="s">
        <v>1</v>
      </c>
      <c r="D35" s="1499"/>
      <c r="E35" s="1500"/>
      <c r="F35" s="1501"/>
      <c r="G35" s="1502"/>
      <c r="H35" s="1503"/>
      <c r="I35" s="1500"/>
      <c r="J35" s="1503"/>
      <c r="K35" s="762"/>
      <c r="L35" s="1252"/>
      <c r="M35" s="1253"/>
      <c r="N35" s="1240"/>
      <c r="O35" s="1253"/>
      <c r="P35" s="3150" t="str">
        <f>A35</f>
        <v>成交单价（元/平方米）</v>
      </c>
      <c r="Q35" s="3150"/>
      <c r="R35" s="3146">
        <f>E35</f>
        <v>0</v>
      </c>
      <c r="S35" s="3146"/>
      <c r="T35" s="3146">
        <f>G35</f>
        <v>0</v>
      </c>
      <c r="U35" s="3146"/>
      <c r="V35" s="3146">
        <f>I35</f>
        <v>0</v>
      </c>
      <c r="W35" s="3146"/>
      <c r="X35" s="738"/>
      <c r="Y35" s="760"/>
      <c r="Z35" s="738"/>
      <c r="AA35" s="738"/>
      <c r="AB35" s="738"/>
      <c r="AC35" s="738"/>
    </row>
    <row r="36" spans="1:29" ht="15.75" thickBot="1">
      <c r="A36" s="467" t="s">
        <v>2457</v>
      </c>
      <c r="B36" s="468"/>
      <c r="C36" s="1504" t="e">
        <f>R37</f>
        <v>#DIV/0!</v>
      </c>
      <c r="D36" s="1505"/>
      <c r="E36" s="1506" t="e">
        <f>R36</f>
        <v>#DIV/0!</v>
      </c>
      <c r="F36" s="1506"/>
      <c r="G36" s="1504" t="e">
        <f>T36</f>
        <v>#DIV/0!</v>
      </c>
      <c r="H36" s="1505"/>
      <c r="I36" s="1506" t="e">
        <f>V36</f>
        <v>#DIV/0!</v>
      </c>
      <c r="J36" s="1505"/>
      <c r="K36" s="763"/>
      <c r="L36" s="1252"/>
      <c r="M36" s="1253"/>
      <c r="N36" s="1240"/>
      <c r="O36" s="1253"/>
      <c r="P36" s="3150" t="str">
        <f>A36</f>
        <v>比较价值（元/平方米）</v>
      </c>
      <c r="Q36" s="3150"/>
      <c r="R36" s="3146" t="e">
        <f>IF(E1="售价",ROUND(PRODUCT(R35,AA7:AA34),0),ROUND(PRODUCT(R35,AA7:AA34),1))</f>
        <v>#DIV/0!</v>
      </c>
      <c r="S36" s="3146"/>
      <c r="T36" s="3146" t="e">
        <f>IF(E1="售价",ROUND(PRODUCT(T35,AB7:AB34),0),ROUND(PRODUCT(T35,AB7:AB34),1))</f>
        <v>#DIV/0!</v>
      </c>
      <c r="U36" s="3146"/>
      <c r="V36" s="3146" t="e">
        <f>IF(E1="售价",ROUND(PRODUCT(V35,AC7:AC34),0),ROUND(PRODUCT(V35,AC7:AC34),1))</f>
        <v>#DIV/0!</v>
      </c>
      <c r="W36" s="3146"/>
      <c r="X36" s="738"/>
      <c r="Y36" s="738"/>
      <c r="Z36" s="738"/>
      <c r="AA36" s="738"/>
      <c r="AB36" s="738"/>
      <c r="AC36" s="738"/>
    </row>
    <row r="37" spans="1:29" ht="15.75" thickBot="1">
      <c r="A37" s="473" t="s">
        <v>2479</v>
      </c>
      <c r="B37" s="474"/>
      <c r="C37" s="1508" t="e">
        <f>R37</f>
        <v>#DIV/0!</v>
      </c>
      <c r="D37" s="1508"/>
      <c r="E37" s="1508"/>
      <c r="F37" s="1508"/>
      <c r="G37" s="1508"/>
      <c r="H37" s="1508"/>
      <c r="I37" s="1508"/>
      <c r="J37" s="1508"/>
      <c r="K37" s="764"/>
      <c r="L37" s="1252"/>
      <c r="M37" s="1253"/>
      <c r="N37" s="1253"/>
      <c r="O37" s="1253"/>
      <c r="P37" s="3147" t="str">
        <f>A37</f>
        <v>估价对象XX用房的比较价值（楼面单价，元/平方米）</v>
      </c>
      <c r="Q37" s="3148"/>
      <c r="R37" s="3149" t="e">
        <f>IF(E1="售价",ROUND(AVERAGE(R36:V36),0),ROUND(AVERAGE(R36:V36),1))</f>
        <v>#DIV/0!</v>
      </c>
      <c r="S37" s="3149"/>
      <c r="T37" s="3149"/>
      <c r="U37" s="3149"/>
      <c r="V37" s="3149"/>
      <c r="W37" s="3149"/>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2458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2459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2461</v>
      </c>
      <c r="B45" s="738"/>
      <c r="C45" s="743"/>
      <c r="D45" s="743"/>
      <c r="E45" s="743"/>
      <c r="F45" s="744"/>
      <c r="G45" s="744"/>
      <c r="H45" s="743"/>
      <c r="I45" s="743"/>
      <c r="J45" s="743"/>
      <c r="K45" s="745"/>
      <c r="L45" s="746"/>
      <c r="M45" s="743"/>
      <c r="N45" s="743"/>
      <c r="O45" s="743"/>
      <c r="P45" s="484"/>
      <c r="Q45" s="485"/>
    </row>
    <row r="46" spans="1:29" s="489" customFormat="1" ht="15">
      <c r="A46" s="486" t="s">
        <v>2345</v>
      </c>
      <c r="B46" s="487"/>
      <c r="C46" s="1674" t="str">
        <f>YEAR(C7)&amp;"-"&amp;MONTH(C7)</f>
        <v>2020-10</v>
      </c>
      <c r="D46" s="1675">
        <f>EDATE(C46,-1)</f>
        <v>44075</v>
      </c>
      <c r="E46" s="1675">
        <f t="shared" ref="E46:O46" si="16">EDATE(D46,-1)</f>
        <v>44044</v>
      </c>
      <c r="F46" s="1675">
        <f t="shared" si="16"/>
        <v>44013</v>
      </c>
      <c r="G46" s="1675">
        <f t="shared" si="16"/>
        <v>43983</v>
      </c>
      <c r="H46" s="1675">
        <f t="shared" si="16"/>
        <v>43952</v>
      </c>
      <c r="I46" s="1675">
        <f t="shared" si="16"/>
        <v>43922</v>
      </c>
      <c r="J46" s="1675">
        <f t="shared" si="16"/>
        <v>43891</v>
      </c>
      <c r="K46" s="1675">
        <f t="shared" si="16"/>
        <v>43862</v>
      </c>
      <c r="L46" s="1675">
        <f t="shared" si="16"/>
        <v>43831</v>
      </c>
      <c r="M46" s="1675">
        <f t="shared" si="16"/>
        <v>43800</v>
      </c>
      <c r="N46" s="1675">
        <f t="shared" si="16"/>
        <v>43770</v>
      </c>
      <c r="O46" s="1675">
        <f t="shared" si="16"/>
        <v>43739</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2383</v>
      </c>
      <c r="B48" s="497"/>
      <c r="C48" s="498"/>
      <c r="D48" s="499"/>
      <c r="E48" s="499"/>
      <c r="F48" s="499"/>
      <c r="G48" s="499"/>
      <c r="H48" s="499"/>
      <c r="I48" s="499"/>
      <c r="J48" s="499"/>
      <c r="K48" s="499"/>
      <c r="L48" s="499"/>
      <c r="M48" s="500"/>
      <c r="N48" s="499"/>
      <c r="O48" s="501"/>
      <c r="P48" s="485"/>
      <c r="Q48" s="485"/>
    </row>
    <row r="49" spans="1:17" s="35" customFormat="1" ht="15">
      <c r="A49" s="502" t="s">
        <v>2347</v>
      </c>
      <c r="B49" s="491"/>
      <c r="C49" s="503" t="s">
        <v>2348</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2386</v>
      </c>
      <c r="B51" s="509" t="s">
        <v>2351</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2354</v>
      </c>
      <c r="C53" s="522" t="s">
        <v>2387</v>
      </c>
      <c r="D53" s="522" t="s">
        <v>2388</v>
      </c>
      <c r="E53" s="522" t="s">
        <v>2389</v>
      </c>
      <c r="F53" s="522" t="s">
        <v>2390</v>
      </c>
      <c r="G53" s="522" t="s">
        <v>2391</v>
      </c>
      <c r="H53" s="522" t="s">
        <v>2392</v>
      </c>
      <c r="I53" s="522" t="s">
        <v>2393</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2356</v>
      </c>
      <c r="B61" s="509" t="s">
        <v>2400</v>
      </c>
      <c r="C61" s="557" t="s">
        <v>2395</v>
      </c>
      <c r="D61" s="557" t="s">
        <v>2396</v>
      </c>
      <c r="E61" s="557" t="s">
        <v>2397</v>
      </c>
      <c r="F61" s="557" t="s">
        <v>2398</v>
      </c>
      <c r="G61" s="557" t="s">
        <v>2399</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2401</v>
      </c>
      <c r="C63" s="562" t="s">
        <v>2395</v>
      </c>
      <c r="D63" s="562" t="s">
        <v>2396</v>
      </c>
      <c r="E63" s="562" t="s">
        <v>2397</v>
      </c>
      <c r="F63" s="562" t="s">
        <v>2398</v>
      </c>
      <c r="G63" s="562" t="s">
        <v>2399</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2471</v>
      </c>
      <c r="C65" s="522" t="s">
        <v>2402</v>
      </c>
      <c r="D65" s="522" t="s">
        <v>2403</v>
      </c>
      <c r="E65" s="522" t="s">
        <v>2404</v>
      </c>
      <c r="F65" s="522" t="s">
        <v>2405</v>
      </c>
      <c r="G65" s="522" t="s">
        <v>2406</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2407</v>
      </c>
      <c r="C67" s="562" t="s">
        <v>2395</v>
      </c>
      <c r="D67" s="562" t="s">
        <v>2396</v>
      </c>
      <c r="E67" s="562" t="s">
        <v>2397</v>
      </c>
      <c r="F67" s="562" t="s">
        <v>2398</v>
      </c>
      <c r="G67" s="562" t="s">
        <v>2399</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2518</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2361</v>
      </c>
      <c r="B77" s="509" t="s">
        <v>2414</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2522</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2529</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2531</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5" priority="14" stopIfTrue="1" operator="containsText" text="超过">
      <formula>NOT(ISERROR(SEARCH("超过",F40)))</formula>
    </cfRule>
  </conditionalFormatting>
  <conditionalFormatting sqref="J42">
    <cfRule type="containsText" dxfId="64" priority="13" stopIfTrue="1" operator="containsText" text="超过">
      <formula>NOT(ISERROR(SEARCH("超过",J42)))</formula>
    </cfRule>
  </conditionalFormatting>
  <conditionalFormatting sqref="H42">
    <cfRule type="containsText" dxfId="63" priority="12" stopIfTrue="1" operator="containsText" text="超过">
      <formula>NOT(ISERROR(SEARCH("超过",H42)))</formula>
    </cfRule>
  </conditionalFormatting>
  <conditionalFormatting sqref="F42">
    <cfRule type="containsText" dxfId="62" priority="11" stopIfTrue="1" operator="containsText" text="超过">
      <formula>NOT(ISERROR(SEARCH("超过",F42)))</formula>
    </cfRule>
  </conditionalFormatting>
  <conditionalFormatting sqref="F41 H41 J41">
    <cfRule type="containsText" dxfId="61" priority="10" stopIfTrue="1" operator="containsText" text="超过">
      <formula>NOT(ISERROR(SEARCH("超过",F41)))</formula>
    </cfRule>
  </conditionalFormatting>
  <conditionalFormatting sqref="E40">
    <cfRule type="expression" dxfId="60" priority="9" stopIfTrue="1">
      <formula>$F$40="超过30%"</formula>
    </cfRule>
  </conditionalFormatting>
  <conditionalFormatting sqref="G42">
    <cfRule type="expression" dxfId="59" priority="8" stopIfTrue="1">
      <formula>$H$54+$H$42="超过30%"</formula>
    </cfRule>
  </conditionalFormatting>
  <conditionalFormatting sqref="E41">
    <cfRule type="expression" dxfId="58" priority="7" stopIfTrue="1">
      <formula>$F$41="超过20%"</formula>
    </cfRule>
  </conditionalFormatting>
  <conditionalFormatting sqref="E42">
    <cfRule type="expression" dxfId="57" priority="6" stopIfTrue="1">
      <formula>$F$42="超过30%"</formula>
    </cfRule>
  </conditionalFormatting>
  <conditionalFormatting sqref="G40">
    <cfRule type="expression" dxfId="56" priority="5" stopIfTrue="1">
      <formula>$H$52+$H$40="超过30%"</formula>
    </cfRule>
  </conditionalFormatting>
  <conditionalFormatting sqref="G41">
    <cfRule type="expression" dxfId="55" priority="4" stopIfTrue="1">
      <formula>$H$53+$H$41="超过20%"</formula>
    </cfRule>
  </conditionalFormatting>
  <conditionalFormatting sqref="I40">
    <cfRule type="expression" dxfId="54" priority="3" stopIfTrue="1">
      <formula>$J$40="超过30%"</formula>
    </cfRule>
  </conditionalFormatting>
  <conditionalFormatting sqref="I41">
    <cfRule type="expression" dxfId="53" priority="2" stopIfTrue="1">
      <formula>$J$41="超过20%"</formula>
    </cfRule>
  </conditionalFormatting>
  <conditionalFormatting sqref="I42">
    <cfRule type="expression" dxfId="5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88" sqref="C88:D88"/>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2532</v>
      </c>
      <c r="B1" s="374"/>
      <c r="C1" s="375" t="s">
        <v>2533</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2000</v>
      </c>
      <c r="B2" s="654" t="e">
        <f>F66</f>
        <v>#DIV/0!</v>
      </c>
      <c r="C2" s="732" t="s">
        <v>2534</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30" ht="15">
      <c r="A5" s="383"/>
      <c r="B5" s="384"/>
      <c r="C5" s="3162" t="s">
        <v>2339</v>
      </c>
      <c r="D5" s="3163"/>
      <c r="E5" s="3188" t="s">
        <v>2340</v>
      </c>
      <c r="F5" s="3189"/>
      <c r="G5" s="3162" t="s">
        <v>2341</v>
      </c>
      <c r="H5" s="3163"/>
      <c r="I5" s="3162" t="s">
        <v>2342</v>
      </c>
      <c r="J5" s="3163"/>
      <c r="K5" s="594"/>
      <c r="L5" s="1239"/>
      <c r="M5" s="1240"/>
      <c r="N5" s="1240"/>
      <c r="O5" s="1240"/>
      <c r="P5" s="3183"/>
      <c r="Q5" s="3184"/>
      <c r="R5" s="3168"/>
      <c r="S5" s="3169"/>
      <c r="T5" s="3168"/>
      <c r="U5" s="3169"/>
      <c r="V5" s="3187"/>
      <c r="W5" s="3187"/>
      <c r="X5" s="1895"/>
      <c r="Y5" s="3168"/>
      <c r="Z5" s="3169"/>
      <c r="AA5" s="3175"/>
      <c r="AB5" s="3175"/>
      <c r="AC5" s="3175"/>
    </row>
    <row r="6" spans="1:30" ht="15.75" thickBot="1">
      <c r="A6" s="385"/>
      <c r="B6" s="386"/>
      <c r="C6" s="3160" t="s">
        <v>2343</v>
      </c>
      <c r="D6" s="3161"/>
      <c r="E6" s="3190" t="s">
        <v>2343</v>
      </c>
      <c r="F6" s="3191"/>
      <c r="G6" s="3160" t="s">
        <v>2343</v>
      </c>
      <c r="H6" s="3161"/>
      <c r="I6" s="3160" t="s">
        <v>2343</v>
      </c>
      <c r="J6" s="3161"/>
      <c r="K6" s="594" t="s">
        <v>2344</v>
      </c>
      <c r="L6" s="1239"/>
      <c r="M6" s="1240"/>
      <c r="N6" s="1240"/>
      <c r="O6" s="1240"/>
      <c r="P6" s="3185"/>
      <c r="Q6" s="3186"/>
      <c r="R6" s="3168"/>
      <c r="S6" s="3169"/>
      <c r="T6" s="3170"/>
      <c r="U6" s="3171"/>
      <c r="V6" s="3187"/>
      <c r="W6" s="3187"/>
      <c r="X6" s="1895"/>
      <c r="Y6" s="3170"/>
      <c r="Z6" s="3171"/>
      <c r="AA6" s="3176"/>
      <c r="AB6" s="3176"/>
      <c r="AC6" s="3176"/>
    </row>
    <row r="7" spans="1:30" s="35" customFormat="1" ht="15.75" thickBot="1">
      <c r="A7" s="387" t="s">
        <v>2345</v>
      </c>
      <c r="B7" s="388"/>
      <c r="C7" s="389">
        <f>'数据-取费表'!B2</f>
        <v>44134</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164" t="s">
        <v>2346</v>
      </c>
      <c r="Q7" s="3172"/>
      <c r="R7" s="749" t="s">
        <v>25</v>
      </c>
      <c r="S7" s="750">
        <f t="shared" ref="S7:S15" si="0">F7</f>
        <v>0</v>
      </c>
      <c r="T7" s="749" t="s">
        <v>25</v>
      </c>
      <c r="U7" s="750">
        <f t="shared" ref="U7:U15" si="1">H7</f>
        <v>0</v>
      </c>
      <c r="V7" s="749" t="s">
        <v>25</v>
      </c>
      <c r="W7" s="750">
        <f t="shared" ref="W7:W15" si="2">J7</f>
        <v>0</v>
      </c>
      <c r="X7" s="751"/>
      <c r="Y7" s="3164" t="s">
        <v>2346</v>
      </c>
      <c r="Z7" s="3165"/>
      <c r="AA7" s="752" t="e">
        <f>D7/F7</f>
        <v>#DIV/0!</v>
      </c>
      <c r="AB7" s="752" t="e">
        <f>D7/H7</f>
        <v>#DIV/0!</v>
      </c>
      <c r="AC7" s="752" t="e">
        <f>D7/J7</f>
        <v>#DIV/0!</v>
      </c>
    </row>
    <row r="8" spans="1:30" s="35" customFormat="1" ht="15.75" thickBot="1">
      <c r="A8" s="387" t="s">
        <v>2347</v>
      </c>
      <c r="B8" s="388"/>
      <c r="C8" s="394" t="s">
        <v>2536</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164" t="s">
        <v>2349</v>
      </c>
      <c r="Q8" s="3165"/>
      <c r="R8" s="749" t="s">
        <v>25</v>
      </c>
      <c r="S8" s="750">
        <f t="shared" si="0"/>
        <v>0</v>
      </c>
      <c r="T8" s="749" t="s">
        <v>25</v>
      </c>
      <c r="U8" s="750">
        <f t="shared" si="1"/>
        <v>0</v>
      </c>
      <c r="V8" s="749" t="s">
        <v>25</v>
      </c>
      <c r="W8" s="750">
        <f t="shared" si="2"/>
        <v>0</v>
      </c>
      <c r="X8" s="751"/>
      <c r="Y8" s="3164" t="s">
        <v>2349</v>
      </c>
      <c r="Z8" s="3165"/>
      <c r="AA8" s="752" t="e">
        <f t="shared" ref="AA8:AA45" si="3">D8/F8</f>
        <v>#DIV/0!</v>
      </c>
      <c r="AB8" s="752" t="e">
        <f t="shared" ref="AB8:AB45" si="4">D8/H8</f>
        <v>#DIV/0!</v>
      </c>
      <c r="AC8" s="752" t="e">
        <f t="shared" ref="AC8:AC45" si="5">D8/J8</f>
        <v>#DIV/0!</v>
      </c>
    </row>
    <row r="9" spans="1:30" s="35" customFormat="1">
      <c r="A9" s="395" t="s">
        <v>2350</v>
      </c>
      <c r="B9" s="28" t="s">
        <v>2351</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150"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30" s="407" customFormat="1" ht="27">
      <c r="A10" s="401"/>
      <c r="B10" s="402" t="s">
        <v>2354</v>
      </c>
      <c r="C10" s="412"/>
      <c r="D10" s="52">
        <v>100</v>
      </c>
      <c r="E10" s="446"/>
      <c r="F10" s="52">
        <f>ROUND(100/'数据-取费表'!B14,0)</f>
        <v>111</v>
      </c>
      <c r="G10" s="444"/>
      <c r="H10" s="52">
        <f>ROUND(100/'数据-取费表'!B14,0)</f>
        <v>111</v>
      </c>
      <c r="I10" s="444"/>
      <c r="J10" s="52">
        <f>ROUND(100/'数据-取费表'!B14,0)</f>
        <v>111</v>
      </c>
      <c r="K10" s="655"/>
      <c r="L10" s="1244"/>
      <c r="M10" s="1245"/>
      <c r="N10" s="1245"/>
      <c r="O10" s="1246"/>
      <c r="P10" s="3150"/>
      <c r="Q10" s="1882" t="str">
        <f t="shared" si="6"/>
        <v>土地使用年限（年）</v>
      </c>
      <c r="R10" s="749" t="s">
        <v>25</v>
      </c>
      <c r="S10" s="750">
        <f t="shared" si="0"/>
        <v>111</v>
      </c>
      <c r="T10" s="749" t="s">
        <v>25</v>
      </c>
      <c r="U10" s="750">
        <f t="shared" si="1"/>
        <v>111</v>
      </c>
      <c r="V10" s="749" t="s">
        <v>25</v>
      </c>
      <c r="W10" s="750">
        <f t="shared" si="2"/>
        <v>111</v>
      </c>
      <c r="X10" s="751"/>
      <c r="Y10" s="2979"/>
      <c r="Z10" s="23" t="str">
        <f t="shared" si="7"/>
        <v>土地使用年限（年）</v>
      </c>
      <c r="AA10" s="752">
        <f t="shared" si="3"/>
        <v>0.90090090090090091</v>
      </c>
      <c r="AB10" s="752">
        <f t="shared" si="4"/>
        <v>0.90090090090090091</v>
      </c>
      <c r="AC10" s="752">
        <f t="shared" si="5"/>
        <v>0.90090090090090091</v>
      </c>
    </row>
    <row r="11" spans="1:30" ht="15">
      <c r="A11" s="408"/>
      <c r="B11" s="402" t="s">
        <v>2355</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150"/>
      <c r="Q11" s="1882" t="str">
        <f t="shared" si="6"/>
        <v>容积率</v>
      </c>
      <c r="R11" s="749" t="s">
        <v>25</v>
      </c>
      <c r="S11" s="750" t="e">
        <f t="shared" si="0"/>
        <v>#N/A</v>
      </c>
      <c r="T11" s="749" t="s">
        <v>25</v>
      </c>
      <c r="U11" s="750" t="e">
        <f t="shared" si="1"/>
        <v>#N/A</v>
      </c>
      <c r="V11" s="749" t="s">
        <v>25</v>
      </c>
      <c r="W11" s="750" t="e">
        <f t="shared" si="2"/>
        <v>#N/A</v>
      </c>
      <c r="X11" s="751"/>
      <c r="Y11" s="2979"/>
      <c r="Z11" s="23" t="str">
        <f t="shared" si="7"/>
        <v>容积率</v>
      </c>
      <c r="AA11" s="752" t="e">
        <f t="shared" si="3"/>
        <v>#N/A</v>
      </c>
      <c r="AB11" s="752" t="e">
        <f t="shared" si="4"/>
        <v>#N/A</v>
      </c>
      <c r="AC11" s="752" t="e">
        <f t="shared" si="5"/>
        <v>#N/A</v>
      </c>
    </row>
    <row r="12" spans="1:30" s="35" customFormat="1" ht="15">
      <c r="A12" s="411"/>
      <c r="B12" s="2394" t="s">
        <v>2537</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150"/>
      <c r="Q12" s="1882" t="str">
        <f t="shared" si="6"/>
        <v>配建</v>
      </c>
      <c r="R12" s="749" t="s">
        <v>25</v>
      </c>
      <c r="S12" s="750">
        <f t="shared" si="0"/>
        <v>100</v>
      </c>
      <c r="T12" s="749" t="s">
        <v>25</v>
      </c>
      <c r="U12" s="750">
        <f t="shared" si="1"/>
        <v>100</v>
      </c>
      <c r="V12" s="749" t="s">
        <v>25</v>
      </c>
      <c r="W12" s="750">
        <f t="shared" si="2"/>
        <v>100</v>
      </c>
      <c r="X12" s="751"/>
      <c r="Y12" s="2979"/>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150"/>
      <c r="Q14" s="1882">
        <f t="shared" si="6"/>
        <v>111</v>
      </c>
      <c r="R14" s="749" t="s">
        <v>25</v>
      </c>
      <c r="S14" s="750">
        <f t="shared" si="0"/>
        <v>100</v>
      </c>
      <c r="T14" s="749" t="s">
        <v>25</v>
      </c>
      <c r="U14" s="750">
        <f t="shared" si="1"/>
        <v>100</v>
      </c>
      <c r="V14" s="749" t="s">
        <v>25</v>
      </c>
      <c r="W14" s="750">
        <f t="shared" si="2"/>
        <v>100</v>
      </c>
      <c r="X14" s="751"/>
      <c r="Y14" s="2979"/>
      <c r="Z14" s="23">
        <f t="shared" si="7"/>
        <v>111</v>
      </c>
      <c r="AA14" s="752">
        <f>D14/F14</f>
        <v>1</v>
      </c>
      <c r="AB14" s="752">
        <f>D14/H14</f>
        <v>1</v>
      </c>
      <c r="AC14" s="752">
        <f>D14/J14</f>
        <v>1</v>
      </c>
    </row>
    <row r="15" spans="1:30" ht="99.75">
      <c r="A15" s="380" t="s">
        <v>2356</v>
      </c>
      <c r="B15" s="1483" t="s">
        <v>1732</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153" t="s">
        <v>2357</v>
      </c>
      <c r="Q15" s="1894" t="str">
        <f t="shared" si="6"/>
        <v>居住社区成熟度</v>
      </c>
      <c r="R15" s="753" t="s">
        <v>25</v>
      </c>
      <c r="S15" s="754">
        <f t="shared" si="0"/>
        <v>100</v>
      </c>
      <c r="T15" s="753" t="s">
        <v>25</v>
      </c>
      <c r="U15" s="754">
        <f t="shared" si="1"/>
        <v>100</v>
      </c>
      <c r="V15" s="753" t="s">
        <v>25</v>
      </c>
      <c r="W15" s="754">
        <f t="shared" si="2"/>
        <v>100</v>
      </c>
      <c r="X15" s="1895"/>
      <c r="Y15" s="3153" t="s">
        <v>2357</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399"/>
      <c r="J16" s="427"/>
      <c r="K16" s="655"/>
      <c r="L16" s="1249"/>
      <c r="M16" s="1240"/>
      <c r="N16" s="1240"/>
      <c r="O16" s="1248"/>
      <c r="P16" s="3154"/>
      <c r="Q16" s="1894"/>
      <c r="R16" s="753"/>
      <c r="S16" s="754"/>
      <c r="T16" s="753"/>
      <c r="U16" s="754"/>
      <c r="V16" s="753"/>
      <c r="W16" s="754"/>
      <c r="X16" s="1895"/>
      <c r="Y16" s="3154"/>
      <c r="Z16" s="1897"/>
      <c r="AA16" s="1898">
        <v>1</v>
      </c>
      <c r="AB16" s="1898">
        <v>1</v>
      </c>
      <c r="AC16" s="1898">
        <v>1</v>
      </c>
    </row>
    <row r="17" spans="1:29" ht="71.25">
      <c r="A17" s="383"/>
      <c r="B17" s="1485" t="s">
        <v>2442</v>
      </c>
      <c r="C17" s="2480" t="str">
        <f>估价对象房地状况!C16</f>
        <v>估价对象位于定福庄商圈，周边商业氛围成熟，人流量大，商业繁华度好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154"/>
      <c r="Q17" s="1894" t="str">
        <f>B17</f>
        <v>商业繁华度</v>
      </c>
      <c r="R17" s="753" t="s">
        <v>25</v>
      </c>
      <c r="S17" s="754">
        <f>F17</f>
        <v>100</v>
      </c>
      <c r="T17" s="753" t="s">
        <v>25</v>
      </c>
      <c r="U17" s="754">
        <f>H17</f>
        <v>100</v>
      </c>
      <c r="V17" s="753" t="s">
        <v>25</v>
      </c>
      <c r="W17" s="754">
        <f>J17</f>
        <v>100</v>
      </c>
      <c r="X17" s="1895"/>
      <c r="Y17" s="3154"/>
      <c r="Z17" s="1897" t="str">
        <f>Q17</f>
        <v>商业繁华度</v>
      </c>
      <c r="AA17" s="1898">
        <f t="shared" si="3"/>
        <v>1</v>
      </c>
      <c r="AB17" s="1898">
        <f t="shared" si="4"/>
        <v>1</v>
      </c>
      <c r="AC17" s="1898">
        <f t="shared" si="5"/>
        <v>1</v>
      </c>
    </row>
    <row r="18" spans="1:29" ht="15">
      <c r="A18" s="383"/>
      <c r="B18" s="1486"/>
      <c r="C18" s="2464"/>
      <c r="D18" s="430"/>
      <c r="E18" s="1464"/>
      <c r="F18" s="430"/>
      <c r="G18" s="1464"/>
      <c r="H18" s="427"/>
      <c r="I18" s="2402"/>
      <c r="J18" s="427"/>
      <c r="K18" s="655"/>
      <c r="L18" s="1249"/>
      <c r="M18" s="1240"/>
      <c r="N18" s="1240"/>
      <c r="O18" s="1248"/>
      <c r="P18" s="3154"/>
      <c r="Q18" s="1894"/>
      <c r="R18" s="753"/>
      <c r="S18" s="754"/>
      <c r="T18" s="753"/>
      <c r="U18" s="754"/>
      <c r="V18" s="753"/>
      <c r="W18" s="754"/>
      <c r="X18" s="1895"/>
      <c r="Y18" s="3154"/>
      <c r="Z18" s="1897"/>
      <c r="AA18" s="1898">
        <v>1</v>
      </c>
      <c r="AB18" s="1898">
        <v>1</v>
      </c>
      <c r="AC18" s="1898">
        <v>1</v>
      </c>
    </row>
    <row r="19" spans="1:29" ht="71.25">
      <c r="A19" s="383"/>
      <c r="B19" s="1485" t="s">
        <v>2469</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154"/>
      <c r="Q19" s="1894" t="str">
        <f>B19</f>
        <v>办公集聚程度</v>
      </c>
      <c r="R19" s="753" t="s">
        <v>25</v>
      </c>
      <c r="S19" s="754">
        <f>F19</f>
        <v>100</v>
      </c>
      <c r="T19" s="753" t="s">
        <v>25</v>
      </c>
      <c r="U19" s="754">
        <f>H19</f>
        <v>100</v>
      </c>
      <c r="V19" s="753" t="s">
        <v>25</v>
      </c>
      <c r="W19" s="754">
        <f>J19</f>
        <v>100</v>
      </c>
      <c r="X19" s="1895"/>
      <c r="Y19" s="3154"/>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399"/>
      <c r="J20" s="427"/>
      <c r="K20" s="655"/>
      <c r="L20" s="1249"/>
      <c r="M20" s="1240"/>
      <c r="N20" s="1240"/>
      <c r="O20" s="1248"/>
      <c r="P20" s="3154"/>
      <c r="Q20" s="1894"/>
      <c r="R20" s="753"/>
      <c r="S20" s="754"/>
      <c r="T20" s="753"/>
      <c r="U20" s="754"/>
      <c r="V20" s="753"/>
      <c r="W20" s="754"/>
      <c r="X20" s="1895"/>
      <c r="Y20" s="3154"/>
      <c r="Z20" s="1897"/>
      <c r="AA20" s="1898">
        <v>1</v>
      </c>
      <c r="AB20" s="1898">
        <v>1</v>
      </c>
      <c r="AC20" s="1898">
        <v>1</v>
      </c>
    </row>
    <row r="21" spans="1:29" ht="128.25">
      <c r="A21" s="383"/>
      <c r="B21" s="1485" t="s">
        <v>2498</v>
      </c>
      <c r="C21" s="2463" t="str">
        <f>估价对象房地状况!C18</f>
        <v>估价对象周边公共交通包括：488路、499路、517路等公交线路，1公里以内有地铁6号线常营地铁站。综合评价交通便捷度好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154"/>
      <c r="Q21" s="1894" t="str">
        <f>B21</f>
        <v>交通便捷度</v>
      </c>
      <c r="R21" s="753" t="s">
        <v>25</v>
      </c>
      <c r="S21" s="754">
        <f>F21</f>
        <v>100</v>
      </c>
      <c r="T21" s="753" t="s">
        <v>25</v>
      </c>
      <c r="U21" s="754">
        <f>H21</f>
        <v>100</v>
      </c>
      <c r="V21" s="753" t="s">
        <v>25</v>
      </c>
      <c r="W21" s="754">
        <f>J21</f>
        <v>100</v>
      </c>
      <c r="X21" s="1895"/>
      <c r="Y21" s="3154"/>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399"/>
      <c r="J22" s="427"/>
      <c r="K22" s="655"/>
      <c r="L22" s="1249"/>
      <c r="M22" s="1240"/>
      <c r="N22" s="1240"/>
      <c r="O22" s="1248"/>
      <c r="P22" s="3154"/>
      <c r="Q22" s="1894"/>
      <c r="R22" s="753"/>
      <c r="S22" s="754"/>
      <c r="T22" s="753"/>
      <c r="U22" s="754"/>
      <c r="V22" s="753"/>
      <c r="W22" s="754"/>
      <c r="X22" s="1895"/>
      <c r="Y22" s="3154"/>
      <c r="Z22" s="1897"/>
      <c r="AA22" s="1898">
        <v>1</v>
      </c>
      <c r="AB22" s="1898">
        <v>1</v>
      </c>
      <c r="AC22" s="1898">
        <v>1</v>
      </c>
    </row>
    <row r="23" spans="1:29" ht="15">
      <c r="A23" s="383"/>
      <c r="B23" s="1488" t="s">
        <v>2538</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154"/>
      <c r="Q23" s="1894" t="str">
        <f t="shared" ref="Q23:Q37" si="8">B23</f>
        <v>区域土地利用方向</v>
      </c>
      <c r="R23" s="753" t="s">
        <v>25</v>
      </c>
      <c r="S23" s="754">
        <f>F23</f>
        <v>100</v>
      </c>
      <c r="T23" s="753" t="s">
        <v>25</v>
      </c>
      <c r="U23" s="754">
        <f>H23</f>
        <v>100</v>
      </c>
      <c r="V23" s="753" t="s">
        <v>25</v>
      </c>
      <c r="W23" s="754">
        <f>J23</f>
        <v>100</v>
      </c>
      <c r="X23" s="1895"/>
      <c r="Y23" s="3154"/>
      <c r="Z23" s="1897" t="str">
        <f>Q23</f>
        <v>区域土地利用方向</v>
      </c>
      <c r="AA23" s="1898">
        <f t="shared" si="3"/>
        <v>1</v>
      </c>
      <c r="AB23" s="1898">
        <f t="shared" si="4"/>
        <v>1</v>
      </c>
      <c r="AC23" s="1898">
        <f t="shared" si="5"/>
        <v>1</v>
      </c>
    </row>
    <row r="24" spans="1:29" ht="15">
      <c r="A24" s="383"/>
      <c r="B24" s="1489"/>
      <c r="C24" s="618"/>
      <c r="D24" s="427"/>
      <c r="E24" s="428"/>
      <c r="F24" s="427"/>
      <c r="G24" s="2399"/>
      <c r="H24" s="427"/>
      <c r="I24" s="2399"/>
      <c r="J24" s="427"/>
      <c r="K24" s="804"/>
      <c r="L24" s="1249"/>
      <c r="M24" s="1240"/>
      <c r="N24" s="1240"/>
      <c r="O24" s="1248"/>
      <c r="P24" s="3154"/>
      <c r="Q24" s="1894"/>
      <c r="R24" s="753"/>
      <c r="S24" s="754"/>
      <c r="T24" s="753"/>
      <c r="U24" s="754"/>
      <c r="V24" s="753"/>
      <c r="W24" s="754"/>
      <c r="X24" s="1895"/>
      <c r="Y24" s="3154"/>
      <c r="Z24" s="1897"/>
      <c r="AA24" s="1898"/>
      <c r="AB24" s="1898"/>
      <c r="AC24" s="1898"/>
    </row>
    <row r="25" spans="1:29" ht="114">
      <c r="A25" s="383"/>
      <c r="B25" s="1487" t="s">
        <v>2539</v>
      </c>
      <c r="C25" s="2480" t="str">
        <f>估价对象房地状况!C20</f>
        <v>区域自然环境：常营公园、五里桥公园；人文环境：北京科技大学（管庄校区）、北京政法职业学院；综合评价环境状况好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154"/>
      <c r="Q25" s="1894" t="str">
        <f t="shared" si="8"/>
        <v>自然及人文环境状况</v>
      </c>
      <c r="R25" s="753" t="s">
        <v>25</v>
      </c>
      <c r="S25" s="754">
        <f>F25</f>
        <v>100</v>
      </c>
      <c r="T25" s="753" t="s">
        <v>25</v>
      </c>
      <c r="U25" s="754">
        <f>H25</f>
        <v>100</v>
      </c>
      <c r="V25" s="753" t="s">
        <v>25</v>
      </c>
      <c r="W25" s="754">
        <f>J25</f>
        <v>100</v>
      </c>
      <c r="X25" s="1895"/>
      <c r="Y25" s="3154"/>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154"/>
      <c r="Q26" s="1894"/>
      <c r="R26" s="753"/>
      <c r="S26" s="754"/>
      <c r="T26" s="753"/>
      <c r="U26" s="754"/>
      <c r="V26" s="753"/>
      <c r="W26" s="754"/>
      <c r="X26" s="1895"/>
      <c r="Y26" s="3154"/>
      <c r="Z26" s="1897"/>
      <c r="AA26" s="1898">
        <v>1</v>
      </c>
      <c r="AB26" s="1898">
        <v>1</v>
      </c>
      <c r="AC26" s="1898">
        <v>1</v>
      </c>
    </row>
    <row r="27" spans="1:29" ht="42.75">
      <c r="A27" s="383"/>
      <c r="B27" s="1487" t="s">
        <v>2443</v>
      </c>
      <c r="C27" s="2463" t="str">
        <f>估价对象房地状况!C21</f>
        <v>估价对象所在区域公共配套设施齐备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154"/>
      <c r="Q27" s="1882" t="str">
        <f t="shared" ref="Q27" si="9">B27</f>
        <v>公共配套设施</v>
      </c>
      <c r="R27" s="749" t="s">
        <v>25</v>
      </c>
      <c r="S27" s="750">
        <f>F27</f>
        <v>100</v>
      </c>
      <c r="T27" s="749" t="s">
        <v>25</v>
      </c>
      <c r="U27" s="750">
        <f>H27</f>
        <v>100</v>
      </c>
      <c r="V27" s="749" t="s">
        <v>25</v>
      </c>
      <c r="W27" s="750">
        <f>J27</f>
        <v>100</v>
      </c>
      <c r="X27" s="1895"/>
      <c r="Y27" s="3154"/>
      <c r="Z27" s="23" t="str">
        <f>Q27</f>
        <v>公共配套设施</v>
      </c>
      <c r="AA27" s="1898">
        <f>D27/F27</f>
        <v>1</v>
      </c>
      <c r="AB27" s="1898">
        <f>D27/H27</f>
        <v>1</v>
      </c>
      <c r="AC27" s="1898">
        <f>D27/J27</f>
        <v>1</v>
      </c>
    </row>
    <row r="28" spans="1:29" ht="15">
      <c r="A28" s="383"/>
      <c r="B28" s="1486"/>
      <c r="C28" s="2482"/>
      <c r="D28" s="427"/>
      <c r="E28" s="2482"/>
      <c r="F28" s="427"/>
      <c r="G28" s="2482"/>
      <c r="H28" s="427"/>
      <c r="I28" s="2482"/>
      <c r="J28" s="427"/>
      <c r="K28" s="655"/>
      <c r="L28" s="1249"/>
      <c r="M28" s="1240"/>
      <c r="N28" s="1240"/>
      <c r="O28" s="1248"/>
      <c r="P28" s="3154"/>
      <c r="Q28" s="1894"/>
      <c r="R28" s="753"/>
      <c r="S28" s="754"/>
      <c r="T28" s="753"/>
      <c r="U28" s="754"/>
      <c r="V28" s="753"/>
      <c r="W28" s="754"/>
      <c r="X28" s="1895"/>
      <c r="Y28" s="3154"/>
      <c r="Z28" s="23"/>
      <c r="AA28" s="1898">
        <v>1</v>
      </c>
      <c r="AB28" s="1898">
        <v>1</v>
      </c>
      <c r="AC28" s="1898">
        <v>1</v>
      </c>
    </row>
    <row r="29" spans="1:29" s="35" customFormat="1" ht="15">
      <c r="A29" s="633"/>
      <c r="B29" s="1487" t="s">
        <v>2444</v>
      </c>
      <c r="C29" s="2483"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154"/>
      <c r="Q29" s="1882" t="str">
        <f t="shared" si="8"/>
        <v>基础设施水平</v>
      </c>
      <c r="R29" s="749" t="s">
        <v>25</v>
      </c>
      <c r="S29" s="750">
        <f>F29</f>
        <v>100</v>
      </c>
      <c r="T29" s="749" t="s">
        <v>25</v>
      </c>
      <c r="U29" s="750">
        <f>H29</f>
        <v>100</v>
      </c>
      <c r="V29" s="749" t="s">
        <v>25</v>
      </c>
      <c r="W29" s="750">
        <f>J29</f>
        <v>100</v>
      </c>
      <c r="X29" s="751"/>
      <c r="Y29" s="3154"/>
      <c r="Z29" s="23" t="str">
        <f>Q29</f>
        <v>基础设施水平</v>
      </c>
      <c r="AA29" s="1898">
        <f>D29/F29</f>
        <v>1</v>
      </c>
      <c r="AB29" s="1898">
        <f>D29/H29</f>
        <v>1</v>
      </c>
      <c r="AC29" s="1898">
        <f>D29/J29</f>
        <v>1</v>
      </c>
    </row>
    <row r="30" spans="1:29" s="35" customFormat="1" ht="15">
      <c r="A30" s="633"/>
      <c r="B30" s="1486"/>
      <c r="C30" s="2482"/>
      <c r="D30" s="427"/>
      <c r="E30" s="2482"/>
      <c r="F30" s="427"/>
      <c r="G30" s="2482"/>
      <c r="H30" s="427"/>
      <c r="I30" s="2482"/>
      <c r="J30" s="427"/>
      <c r="K30" s="655"/>
      <c r="L30" s="1241"/>
      <c r="M30" s="1242"/>
      <c r="N30" s="1242"/>
      <c r="O30" s="1243"/>
      <c r="P30" s="3154"/>
      <c r="Q30" s="1882"/>
      <c r="R30" s="749"/>
      <c r="S30" s="750"/>
      <c r="T30" s="749"/>
      <c r="U30" s="750"/>
      <c r="V30" s="749"/>
      <c r="W30" s="750"/>
      <c r="X30" s="751"/>
      <c r="Y30" s="3154"/>
      <c r="Z30" s="23"/>
      <c r="AA30" s="1898">
        <v>1</v>
      </c>
      <c r="AB30" s="1898">
        <v>1</v>
      </c>
      <c r="AC30" s="1898">
        <v>1</v>
      </c>
    </row>
    <row r="31" spans="1:29" ht="15">
      <c r="A31" s="383"/>
      <c r="B31" s="1486" t="s">
        <v>2445</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154"/>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154"/>
      <c r="Z31" s="1897" t="str">
        <f t="shared" ref="Z31:Z45" si="13">Q31</f>
        <v>临街状况</v>
      </c>
      <c r="AA31" s="1898">
        <f t="shared" si="3"/>
        <v>1</v>
      </c>
      <c r="AB31" s="1898">
        <f t="shared" si="4"/>
        <v>1</v>
      </c>
      <c r="AC31" s="1898">
        <f t="shared" si="5"/>
        <v>1</v>
      </c>
    </row>
    <row r="32" spans="1:29" ht="27">
      <c r="A32" s="383"/>
      <c r="B32" s="1487" t="s">
        <v>2473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154"/>
      <c r="Q32" s="1894" t="str">
        <f t="shared" si="8"/>
        <v>毗邻道路的类型与等级</v>
      </c>
      <c r="R32" s="753" t="s">
        <v>25</v>
      </c>
      <c r="S32" s="754">
        <f t="shared" si="10"/>
        <v>100</v>
      </c>
      <c r="T32" s="753" t="s">
        <v>25</v>
      </c>
      <c r="U32" s="754">
        <f t="shared" si="11"/>
        <v>100</v>
      </c>
      <c r="V32" s="753" t="s">
        <v>25</v>
      </c>
      <c r="W32" s="754">
        <f t="shared" si="12"/>
        <v>100</v>
      </c>
      <c r="X32" s="1895"/>
      <c r="Y32" s="3154"/>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154"/>
      <c r="Q33" s="1894"/>
      <c r="R33" s="753"/>
      <c r="S33" s="754"/>
      <c r="T33" s="753"/>
      <c r="U33" s="754"/>
      <c r="V33" s="753"/>
      <c r="W33" s="754"/>
      <c r="X33" s="1895"/>
      <c r="Y33" s="3154"/>
      <c r="Z33" s="1897"/>
      <c r="AA33" s="1898">
        <v>1</v>
      </c>
      <c r="AB33" s="1898">
        <v>1</v>
      </c>
      <c r="AC33" s="1898">
        <v>1</v>
      </c>
    </row>
    <row r="34" spans="1:29" ht="15">
      <c r="A34" s="383"/>
      <c r="B34" s="1490" t="s">
        <v>2540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154"/>
      <c r="Q34" s="1894" t="str">
        <f t="shared" si="8"/>
        <v>土地级别</v>
      </c>
      <c r="R34" s="753" t="s">
        <v>25</v>
      </c>
      <c r="S34" s="754">
        <f t="shared" si="10"/>
        <v>100</v>
      </c>
      <c r="T34" s="753" t="s">
        <v>25</v>
      </c>
      <c r="U34" s="754">
        <f t="shared" si="11"/>
        <v>100</v>
      </c>
      <c r="V34" s="753" t="s">
        <v>25</v>
      </c>
      <c r="W34" s="754">
        <f t="shared" si="12"/>
        <v>100</v>
      </c>
      <c r="X34" s="1895"/>
      <c r="Y34" s="3154"/>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154"/>
      <c r="Q35" s="1894">
        <f t="shared" si="8"/>
        <v>111</v>
      </c>
      <c r="R35" s="753" t="s">
        <v>25</v>
      </c>
      <c r="S35" s="754">
        <f t="shared" si="10"/>
        <v>100</v>
      </c>
      <c r="T35" s="753" t="s">
        <v>25</v>
      </c>
      <c r="U35" s="754">
        <f t="shared" si="11"/>
        <v>100</v>
      </c>
      <c r="V35" s="753" t="s">
        <v>25</v>
      </c>
      <c r="W35" s="754">
        <f t="shared" si="12"/>
        <v>100</v>
      </c>
      <c r="X35" s="1895"/>
      <c r="Y35" s="3154"/>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203" t="s">
        <v>2363</v>
      </c>
      <c r="Q36" s="1894">
        <f t="shared" si="8"/>
        <v>111</v>
      </c>
      <c r="R36" s="753" t="s">
        <v>25</v>
      </c>
      <c r="S36" s="754">
        <f t="shared" si="10"/>
        <v>100</v>
      </c>
      <c r="T36" s="753" t="s">
        <v>25</v>
      </c>
      <c r="U36" s="754">
        <f t="shared" si="11"/>
        <v>100</v>
      </c>
      <c r="V36" s="753" t="s">
        <v>25</v>
      </c>
      <c r="W36" s="754">
        <f t="shared" si="12"/>
        <v>100</v>
      </c>
      <c r="X36" s="1895"/>
      <c r="Y36" s="3158" t="s">
        <v>2363</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158"/>
      <c r="Q37" s="1894">
        <f t="shared" si="8"/>
        <v>111</v>
      </c>
      <c r="R37" s="756" t="s">
        <v>25</v>
      </c>
      <c r="S37" s="757">
        <f t="shared" si="10"/>
        <v>100</v>
      </c>
      <c r="T37" s="756" t="s">
        <v>25</v>
      </c>
      <c r="U37" s="757">
        <f t="shared" si="11"/>
        <v>100</v>
      </c>
      <c r="V37" s="756" t="s">
        <v>25</v>
      </c>
      <c r="W37" s="757">
        <f t="shared" si="12"/>
        <v>100</v>
      </c>
      <c r="X37" s="758"/>
      <c r="Y37" s="3158"/>
      <c r="Z37" s="759">
        <f t="shared" si="13"/>
        <v>111</v>
      </c>
      <c r="AA37" s="1898">
        <f t="shared" si="3"/>
        <v>1</v>
      </c>
      <c r="AB37" s="1898">
        <f t="shared" si="4"/>
        <v>1</v>
      </c>
      <c r="AC37" s="1898">
        <f t="shared" si="5"/>
        <v>1</v>
      </c>
    </row>
    <row r="38" spans="1:29" ht="15">
      <c r="A38" s="380" t="s">
        <v>2361</v>
      </c>
      <c r="B38" s="436" t="s">
        <v>2541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158"/>
      <c r="Q38" s="1894" t="str">
        <f>B38</f>
        <v>宗地面积</v>
      </c>
      <c r="R38" s="753" t="s">
        <v>25</v>
      </c>
      <c r="S38" s="754" t="e">
        <f t="shared" si="10"/>
        <v>#N/A</v>
      </c>
      <c r="T38" s="753" t="s">
        <v>25</v>
      </c>
      <c r="U38" s="754" t="e">
        <f t="shared" si="11"/>
        <v>#N/A</v>
      </c>
      <c r="V38" s="753" t="s">
        <v>25</v>
      </c>
      <c r="W38" s="754" t="e">
        <f t="shared" si="12"/>
        <v>#N/A</v>
      </c>
      <c r="X38" s="1895"/>
      <c r="Y38" s="3158"/>
      <c r="Z38" s="1897" t="str">
        <f t="shared" si="13"/>
        <v>宗地面积</v>
      </c>
      <c r="AA38" s="1898" t="e">
        <f t="shared" si="3"/>
        <v>#N/A</v>
      </c>
      <c r="AB38" s="1898" t="e">
        <f t="shared" si="4"/>
        <v>#N/A</v>
      </c>
      <c r="AC38" s="1898" t="e">
        <f t="shared" si="5"/>
        <v>#N/A</v>
      </c>
    </row>
    <row r="39" spans="1:29" ht="15">
      <c r="A39" s="453"/>
      <c r="B39" s="402" t="s">
        <v>2542</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158"/>
      <c r="Q39" s="1894" t="str">
        <f t="shared" ref="Q39:Q45" si="14">B39</f>
        <v>宗地形状</v>
      </c>
      <c r="R39" s="753" t="s">
        <v>25</v>
      </c>
      <c r="S39" s="754">
        <f t="shared" si="10"/>
        <v>100</v>
      </c>
      <c r="T39" s="753" t="s">
        <v>25</v>
      </c>
      <c r="U39" s="754">
        <f t="shared" si="11"/>
        <v>100</v>
      </c>
      <c r="V39" s="753" t="s">
        <v>25</v>
      </c>
      <c r="W39" s="754">
        <f t="shared" si="12"/>
        <v>100</v>
      </c>
      <c r="X39" s="1895"/>
      <c r="Y39" s="3158"/>
      <c r="Z39" s="1897" t="str">
        <f t="shared" si="13"/>
        <v>宗地形状</v>
      </c>
      <c r="AA39" s="1898">
        <f t="shared" si="3"/>
        <v>1</v>
      </c>
      <c r="AB39" s="1898">
        <f t="shared" si="4"/>
        <v>1</v>
      </c>
      <c r="AC39" s="1898">
        <f t="shared" si="5"/>
        <v>1</v>
      </c>
    </row>
    <row r="40" spans="1:29" ht="15">
      <c r="A40" s="453"/>
      <c r="B40" s="402" t="s">
        <v>2543</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158"/>
      <c r="Q40" s="1894" t="str">
        <f t="shared" si="14"/>
        <v>临街宽度及深度</v>
      </c>
      <c r="R40" s="753" t="s">
        <v>25</v>
      </c>
      <c r="S40" s="754">
        <f t="shared" si="10"/>
        <v>100</v>
      </c>
      <c r="T40" s="753" t="s">
        <v>25</v>
      </c>
      <c r="U40" s="754">
        <f t="shared" si="11"/>
        <v>100</v>
      </c>
      <c r="V40" s="753" t="s">
        <v>25</v>
      </c>
      <c r="W40" s="754">
        <f t="shared" si="12"/>
        <v>100</v>
      </c>
      <c r="X40" s="1895"/>
      <c r="Y40" s="3158"/>
      <c r="Z40" s="1897" t="str">
        <f t="shared" si="13"/>
        <v>临街宽度及深度</v>
      </c>
      <c r="AA40" s="1898">
        <f t="shared" si="3"/>
        <v>1</v>
      </c>
      <c r="AB40" s="1898">
        <f t="shared" si="4"/>
        <v>1</v>
      </c>
      <c r="AC40" s="1898">
        <f t="shared" si="5"/>
        <v>1</v>
      </c>
    </row>
    <row r="41" spans="1:29" s="35" customFormat="1" ht="15">
      <c r="A41" s="454"/>
      <c r="B41" s="402" t="s">
        <v>2544</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158"/>
      <c r="Q41" s="1894" t="str">
        <f t="shared" si="14"/>
        <v>宗地开发程度</v>
      </c>
      <c r="R41" s="749" t="s">
        <v>25</v>
      </c>
      <c r="S41" s="750">
        <f t="shared" si="10"/>
        <v>100</v>
      </c>
      <c r="T41" s="749" t="s">
        <v>25</v>
      </c>
      <c r="U41" s="750">
        <f t="shared" si="11"/>
        <v>100</v>
      </c>
      <c r="V41" s="749" t="s">
        <v>25</v>
      </c>
      <c r="W41" s="750">
        <f t="shared" si="12"/>
        <v>100</v>
      </c>
      <c r="X41" s="751"/>
      <c r="Y41" s="3158"/>
      <c r="Z41" s="23" t="str">
        <f t="shared" si="13"/>
        <v>宗地开发程度</v>
      </c>
      <c r="AA41" s="752">
        <f t="shared" si="3"/>
        <v>1</v>
      </c>
      <c r="AB41" s="752">
        <f t="shared" si="4"/>
        <v>1</v>
      </c>
      <c r="AC41" s="752">
        <f t="shared" si="5"/>
        <v>1</v>
      </c>
    </row>
    <row r="42" spans="1:29" ht="15">
      <c r="A42" s="453"/>
      <c r="B42" s="402" t="s">
        <v>2545</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158" t="s">
        <v>2363</v>
      </c>
      <c r="Q42" s="1894" t="str">
        <f t="shared" si="14"/>
        <v>工程地质条件</v>
      </c>
      <c r="R42" s="753" t="s">
        <v>25</v>
      </c>
      <c r="S42" s="754">
        <f t="shared" si="10"/>
        <v>100</v>
      </c>
      <c r="T42" s="753" t="s">
        <v>25</v>
      </c>
      <c r="U42" s="754">
        <f t="shared" si="11"/>
        <v>100</v>
      </c>
      <c r="V42" s="753" t="s">
        <v>25</v>
      </c>
      <c r="W42" s="754">
        <f t="shared" si="12"/>
        <v>100</v>
      </c>
      <c r="X42" s="1895"/>
      <c r="Y42" s="3158" t="s">
        <v>2363</v>
      </c>
      <c r="Z42" s="1897" t="str">
        <f t="shared" si="13"/>
        <v>工程地质条件</v>
      </c>
      <c r="AA42" s="1898">
        <f t="shared" si="3"/>
        <v>1</v>
      </c>
      <c r="AB42" s="1898">
        <f t="shared" si="4"/>
        <v>1</v>
      </c>
      <c r="AC42" s="1898">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158"/>
      <c r="Q43" s="1894">
        <f t="shared" si="14"/>
        <v>111</v>
      </c>
      <c r="R43" s="753" t="s">
        <v>25</v>
      </c>
      <c r="S43" s="754">
        <f t="shared" si="10"/>
        <v>100</v>
      </c>
      <c r="T43" s="753" t="s">
        <v>25</v>
      </c>
      <c r="U43" s="754">
        <f t="shared" si="11"/>
        <v>100</v>
      </c>
      <c r="V43" s="753" t="s">
        <v>25</v>
      </c>
      <c r="W43" s="754">
        <f t="shared" si="12"/>
        <v>100</v>
      </c>
      <c r="X43" s="1895"/>
      <c r="Y43" s="3158"/>
      <c r="Z43" s="1897">
        <f t="shared" si="13"/>
        <v>111</v>
      </c>
      <c r="AA43" s="1898">
        <f t="shared" si="3"/>
        <v>1</v>
      </c>
      <c r="AB43" s="1898">
        <f t="shared" si="4"/>
        <v>1</v>
      </c>
      <c r="AC43" s="1898">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158"/>
      <c r="Q44" s="1894">
        <f t="shared" si="14"/>
        <v>111</v>
      </c>
      <c r="R44" s="753" t="s">
        <v>25</v>
      </c>
      <c r="S44" s="754">
        <f t="shared" si="10"/>
        <v>100</v>
      </c>
      <c r="T44" s="753" t="s">
        <v>25</v>
      </c>
      <c r="U44" s="754">
        <f t="shared" si="11"/>
        <v>100</v>
      </c>
      <c r="V44" s="753" t="s">
        <v>25</v>
      </c>
      <c r="W44" s="754">
        <f t="shared" si="12"/>
        <v>100</v>
      </c>
      <c r="X44" s="1895"/>
      <c r="Y44" s="3158"/>
      <c r="Z44" s="1897">
        <f t="shared" si="13"/>
        <v>111</v>
      </c>
      <c r="AA44" s="1898">
        <f t="shared" si="3"/>
        <v>1</v>
      </c>
      <c r="AB44" s="1898">
        <f t="shared" si="4"/>
        <v>1</v>
      </c>
      <c r="AC44" s="1898">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158"/>
      <c r="Q45" s="1894">
        <f t="shared" si="14"/>
        <v>111</v>
      </c>
      <c r="R45" s="756" t="s">
        <v>25</v>
      </c>
      <c r="S45" s="757">
        <f t="shared" si="10"/>
        <v>100</v>
      </c>
      <c r="T45" s="756" t="s">
        <v>25</v>
      </c>
      <c r="U45" s="757">
        <f t="shared" si="11"/>
        <v>100</v>
      </c>
      <c r="V45" s="756" t="s">
        <v>25</v>
      </c>
      <c r="W45" s="757">
        <f t="shared" si="12"/>
        <v>100</v>
      </c>
      <c r="X45" s="758"/>
      <c r="Y45" s="3158"/>
      <c r="Z45" s="759">
        <f t="shared" si="13"/>
        <v>111</v>
      </c>
      <c r="AA45" s="1898">
        <f t="shared" si="3"/>
        <v>1</v>
      </c>
      <c r="AB45" s="1898">
        <f t="shared" si="4"/>
        <v>1</v>
      </c>
      <c r="AC45" s="1898">
        <f t="shared" si="5"/>
        <v>1</v>
      </c>
    </row>
    <row r="46" spans="1:29" ht="15">
      <c r="A46" s="460" t="s">
        <v>2509</v>
      </c>
      <c r="B46" s="2487" t="s">
        <v>2546</v>
      </c>
      <c r="C46" s="665" t="s">
        <v>1</v>
      </c>
      <c r="D46" s="462"/>
      <c r="E46" s="463"/>
      <c r="F46" s="464"/>
      <c r="G46" s="465"/>
      <c r="H46" s="466"/>
      <c r="I46" s="463"/>
      <c r="J46" s="466"/>
      <c r="K46" s="762"/>
      <c r="L46" s="1252"/>
      <c r="M46" s="1253"/>
      <c r="N46" s="1240"/>
      <c r="O46" s="1253"/>
      <c r="P46" s="3150" t="str">
        <f>A46</f>
        <v>成交单价</v>
      </c>
      <c r="Q46" s="3150"/>
      <c r="R46" s="3187">
        <f>E46</f>
        <v>0</v>
      </c>
      <c r="S46" s="3187"/>
      <c r="T46" s="3187">
        <f>G46</f>
        <v>0</v>
      </c>
      <c r="U46" s="3187"/>
      <c r="V46" s="3187">
        <f>I46</f>
        <v>0</v>
      </c>
      <c r="W46" s="3187"/>
      <c r="X46" s="738"/>
      <c r="Y46" s="760"/>
      <c r="Z46" s="738"/>
      <c r="AA46" s="738"/>
      <c r="AB46" s="738"/>
      <c r="AC46" s="738"/>
    </row>
    <row r="47" spans="1:29" ht="15.75" thickBot="1">
      <c r="A47" s="467" t="s">
        <v>2457</v>
      </c>
      <c r="B47" s="666"/>
      <c r="C47" s="471" t="e">
        <f>R48</f>
        <v>#DIV/0!</v>
      </c>
      <c r="D47" s="470"/>
      <c r="E47" s="471" t="e">
        <f>R47</f>
        <v>#DIV/0!</v>
      </c>
      <c r="F47" s="472"/>
      <c r="G47" s="469" t="e">
        <f>T47</f>
        <v>#DIV/0!</v>
      </c>
      <c r="H47" s="470"/>
      <c r="I47" s="471" t="e">
        <f>V47</f>
        <v>#DIV/0!</v>
      </c>
      <c r="J47" s="470"/>
      <c r="K47" s="763"/>
      <c r="L47" s="1252"/>
      <c r="M47" s="1253"/>
      <c r="N47" s="1253"/>
      <c r="O47" s="1253"/>
      <c r="P47" s="3150" t="str">
        <f>A47</f>
        <v>比较价值（元/平方米）</v>
      </c>
      <c r="Q47" s="3150"/>
      <c r="R47" s="3204" t="e">
        <f>ROUND(PRODUCT(R46,AA7:AA45),0)</f>
        <v>#DIV/0!</v>
      </c>
      <c r="S47" s="3204"/>
      <c r="T47" s="3204" t="e">
        <f>ROUND(PRODUCT(T46,AB7:AB45),0)</f>
        <v>#DIV/0!</v>
      </c>
      <c r="U47" s="3204"/>
      <c r="V47" s="3204" t="e">
        <f>ROUND(PRODUCT(V46,AC7:AC45),0)</f>
        <v>#DIV/0!</v>
      </c>
      <c r="W47" s="3204"/>
      <c r="X47" s="738"/>
      <c r="Y47" s="738"/>
      <c r="Z47" s="738"/>
      <c r="AA47" s="738"/>
      <c r="AB47" s="738"/>
      <c r="AC47" s="738"/>
    </row>
    <row r="48" spans="1:29" ht="15.75" thickBot="1">
      <c r="A48" s="473" t="s">
        <v>2479</v>
      </c>
      <c r="B48" s="474"/>
      <c r="C48" s="475" t="e">
        <f>R48</f>
        <v>#DIV/0!</v>
      </c>
      <c r="D48" s="475"/>
      <c r="E48" s="475"/>
      <c r="F48" s="475"/>
      <c r="G48" s="475"/>
      <c r="H48" s="475"/>
      <c r="I48" s="475"/>
      <c r="J48" s="475"/>
      <c r="K48" s="764"/>
      <c r="L48" s="1252"/>
      <c r="M48" s="1253"/>
      <c r="N48" s="1253"/>
      <c r="O48" s="1253"/>
      <c r="P48" s="3147" t="str">
        <f>A48</f>
        <v>估价对象XX用房的比较价值（楼面单价，元/平方米）</v>
      </c>
      <c r="Q48" s="3148"/>
      <c r="R48" s="3205" t="e">
        <f>ROUND(AVERAGE(R47:V47),0)</f>
        <v>#DIV/0!</v>
      </c>
      <c r="S48" s="3205"/>
      <c r="T48" s="3205"/>
      <c r="U48" s="3205"/>
      <c r="V48" s="3205"/>
      <c r="W48" s="3205"/>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2458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2459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2547</v>
      </c>
      <c r="B55" s="668" t="s">
        <v>2548</v>
      </c>
      <c r="C55" s="2488" t="s">
        <v>2549</v>
      </c>
      <c r="D55" s="2489" t="s">
        <v>2550</v>
      </c>
      <c r="E55" s="669" t="s">
        <v>2551</v>
      </c>
      <c r="F55" s="670" t="s">
        <v>2552</v>
      </c>
      <c r="G55" s="62" t="s">
        <v>2553</v>
      </c>
      <c r="H55" s="62" t="str">
        <f>项目基本情况!G8</f>
        <v>北京市朝阳区常惠路6号</v>
      </c>
      <c r="I55" s="2490" t="s">
        <v>2554</v>
      </c>
      <c r="J55" s="739"/>
      <c r="K55" s="1254"/>
      <c r="L55" s="1254"/>
      <c r="M55" s="1253"/>
      <c r="N55" s="1253"/>
      <c r="O55" s="1253"/>
    </row>
    <row r="56" spans="1:15" s="675" customFormat="1">
      <c r="A56" s="671" t="s">
        <v>2555</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2556</v>
      </c>
      <c r="B57" s="178" t="e">
        <f>ROUND($C$48*C57*D57,0)</f>
        <v>#DIV/0!</v>
      </c>
      <c r="C57" s="117">
        <f>IF($C$55="北京市系数",G57,H57)</f>
        <v>0</v>
      </c>
      <c r="D57" s="1288">
        <v>0.25</v>
      </c>
      <c r="E57" s="677">
        <v>0</v>
      </c>
      <c r="F57" s="674" t="e">
        <f t="shared" si="15"/>
        <v>#DIV/0!</v>
      </c>
      <c r="G57" s="968">
        <f>SUMIF(修正!$A$45:$A$56,项目基本情况!$F$9,修正!B45:B56)</f>
        <v>0</v>
      </c>
      <c r="H57" s="969"/>
      <c r="I57" s="1253"/>
      <c r="J57" s="1258"/>
      <c r="K57" s="1254"/>
      <c r="L57" s="1254"/>
      <c r="M57" s="1253"/>
      <c r="N57" s="1253"/>
      <c r="O57" s="967"/>
    </row>
    <row r="58" spans="1:15" s="675" customFormat="1">
      <c r="A58" s="676" t="s">
        <v>2557</v>
      </c>
      <c r="B58" s="178" t="e">
        <f t="shared" ref="B58:B65" si="16">ROUND($C$48*C58*D58,0)</f>
        <v>#DIV/0!</v>
      </c>
      <c r="C58" s="117">
        <f t="shared" ref="C58:C65" si="17">IF($C$55="北京市系数",G58,H58)</f>
        <v>0</v>
      </c>
      <c r="D58" s="1288">
        <v>0.25</v>
      </c>
      <c r="E58" s="677">
        <v>0</v>
      </c>
      <c r="F58" s="674" t="e">
        <f t="shared" si="15"/>
        <v>#DIV/0!</v>
      </c>
      <c r="G58" s="968">
        <f>SUMIF(修正!$A$45:$A$56,项目基本情况!$F$9,修正!C45:C56)</f>
        <v>0</v>
      </c>
      <c r="H58" s="969"/>
      <c r="I58" s="1255"/>
      <c r="J58" s="1255"/>
      <c r="K58" s="1259"/>
      <c r="L58" s="1260"/>
      <c r="M58" s="1255"/>
      <c r="N58" s="1255"/>
      <c r="O58" s="967"/>
    </row>
    <row r="59" spans="1:15" s="675" customFormat="1">
      <c r="A59" s="676" t="s">
        <v>2558</v>
      </c>
      <c r="B59" s="178" t="e">
        <f t="shared" si="16"/>
        <v>#DIV/0!</v>
      </c>
      <c r="C59" s="117">
        <f t="shared" si="17"/>
        <v>0</v>
      </c>
      <c r="D59" s="1288">
        <v>0.25</v>
      </c>
      <c r="E59" s="677">
        <v>0</v>
      </c>
      <c r="F59" s="674" t="e">
        <f t="shared" si="15"/>
        <v>#DIV/0!</v>
      </c>
      <c r="G59" s="968">
        <f>SUMIF(修正!$A$45:$A$56,项目基本情况!$F$9,修正!D45:D56)</f>
        <v>0</v>
      </c>
      <c r="H59" s="969"/>
      <c r="I59" s="1253"/>
      <c r="J59" s="1258"/>
      <c r="K59" s="1254"/>
      <c r="L59" s="1254"/>
      <c r="M59" s="1253"/>
      <c r="N59" s="1253"/>
      <c r="O59" s="967"/>
    </row>
    <row r="60" spans="1:15" s="675" customFormat="1">
      <c r="A60" s="676" t="s">
        <v>2559</v>
      </c>
      <c r="B60" s="178" t="e">
        <f t="shared" si="16"/>
        <v>#DIV/0!</v>
      </c>
      <c r="C60" s="117">
        <f t="shared" si="17"/>
        <v>0</v>
      </c>
      <c r="D60" s="1288">
        <v>0.25</v>
      </c>
      <c r="E60" s="677">
        <v>0</v>
      </c>
      <c r="F60" s="674" t="e">
        <f t="shared" si="15"/>
        <v>#DIV/0!</v>
      </c>
      <c r="G60" s="968">
        <f>SUMIF(修正!$A$45:$A$56,项目基本情况!$F$9,修正!E45:E56)</f>
        <v>0</v>
      </c>
      <c r="H60" s="969"/>
      <c r="I60" s="1255"/>
      <c r="J60" s="1255"/>
      <c r="K60" s="1259"/>
      <c r="L60" s="1260"/>
      <c r="M60" s="1255"/>
      <c r="N60" s="1255"/>
      <c r="O60" s="967"/>
    </row>
    <row r="61" spans="1:15" s="675" customFormat="1">
      <c r="A61" s="676" t="s">
        <v>2560</v>
      </c>
      <c r="B61" s="178" t="e">
        <f t="shared" si="16"/>
        <v>#DIV/0!</v>
      </c>
      <c r="C61" s="117">
        <f t="shared" si="17"/>
        <v>0</v>
      </c>
      <c r="D61" s="1288">
        <v>0.25</v>
      </c>
      <c r="E61" s="677">
        <v>0</v>
      </c>
      <c r="F61" s="674" t="e">
        <f t="shared" si="15"/>
        <v>#DIV/0!</v>
      </c>
      <c r="G61" s="968">
        <f>SUMIF(修正!A45:A56,项目基本情况!F9,修正!F45:F56)</f>
        <v>0</v>
      </c>
      <c r="H61" s="969"/>
      <c r="I61" s="1253"/>
      <c r="J61" s="1258"/>
      <c r="K61" s="1254"/>
      <c r="L61" s="1254"/>
      <c r="M61" s="1253"/>
      <c r="N61" s="1253"/>
      <c r="O61" s="967"/>
    </row>
    <row r="62" spans="1:15" s="675" customFormat="1">
      <c r="A62" s="676" t="s">
        <v>2561</v>
      </c>
      <c r="B62" s="178" t="e">
        <f t="shared" si="16"/>
        <v>#DIV/0!</v>
      </c>
      <c r="C62" s="117">
        <f t="shared" si="17"/>
        <v>0</v>
      </c>
      <c r="D62" s="1288">
        <v>0.25</v>
      </c>
      <c r="E62" s="677">
        <v>0</v>
      </c>
      <c r="F62" s="674" t="e">
        <f t="shared" si="15"/>
        <v>#DIV/0!</v>
      </c>
      <c r="G62" s="968">
        <f>SUMIF(修正!A45:A56,项目基本情况!F9,修正!G45:G56)</f>
        <v>0</v>
      </c>
      <c r="H62" s="969"/>
      <c r="I62" s="1255"/>
      <c r="J62" s="1255"/>
      <c r="K62" s="1259"/>
      <c r="L62" s="1260"/>
      <c r="M62" s="1255"/>
      <c r="N62" s="1255"/>
      <c r="O62" s="967"/>
    </row>
    <row r="63" spans="1:15" s="675" customFormat="1">
      <c r="A63" s="676" t="s">
        <v>2562</v>
      </c>
      <c r="B63" s="178" t="e">
        <f t="shared" si="16"/>
        <v>#DIV/0!</v>
      </c>
      <c r="C63" s="117">
        <f>IF($C$55="北京市系数",G63,H63)</f>
        <v>0</v>
      </c>
      <c r="D63" s="1288">
        <v>0.25</v>
      </c>
      <c r="E63" s="677">
        <v>0</v>
      </c>
      <c r="F63" s="674" t="e">
        <f t="shared" si="15"/>
        <v>#DIV/0!</v>
      </c>
      <c r="G63" s="968">
        <f>SUMIF(修正!A45:A56,项目基本情况!F9,修正!H45:H56)</f>
        <v>0</v>
      </c>
      <c r="H63" s="969"/>
      <c r="I63" s="1253"/>
      <c r="J63" s="1258"/>
      <c r="K63" s="1254"/>
      <c r="L63" s="1254"/>
      <c r="M63" s="1253"/>
      <c r="N63" s="1253"/>
      <c r="O63" s="967"/>
    </row>
    <row r="64" spans="1:15" s="675" customFormat="1">
      <c r="A64" s="676" t="s">
        <v>2563</v>
      </c>
      <c r="B64" s="178" t="e">
        <f t="shared" si="16"/>
        <v>#DIV/0!</v>
      </c>
      <c r="C64" s="117">
        <f t="shared" si="17"/>
        <v>0</v>
      </c>
      <c r="D64" s="1288">
        <v>0.25</v>
      </c>
      <c r="E64" s="677">
        <v>0</v>
      </c>
      <c r="F64" s="674" t="e">
        <f t="shared" si="15"/>
        <v>#DIV/0!</v>
      </c>
      <c r="G64" s="968">
        <f>G63</f>
        <v>0</v>
      </c>
      <c r="H64" s="969"/>
      <c r="I64" s="1255"/>
      <c r="J64" s="1255"/>
      <c r="K64" s="1259"/>
      <c r="L64" s="1260"/>
      <c r="M64" s="1255"/>
      <c r="N64" s="1255"/>
      <c r="O64" s="967"/>
    </row>
    <row r="65" spans="1:17" s="675" customFormat="1">
      <c r="A65" s="676" t="s">
        <v>2564</v>
      </c>
      <c r="B65" s="178" t="e">
        <f t="shared" si="16"/>
        <v>#DIV/0!</v>
      </c>
      <c r="C65" s="117">
        <f t="shared" si="17"/>
        <v>0</v>
      </c>
      <c r="D65" s="1288">
        <v>0.25</v>
      </c>
      <c r="E65" s="677">
        <v>0</v>
      </c>
      <c r="F65" s="674" t="e">
        <f t="shared" si="15"/>
        <v>#DIV/0!</v>
      </c>
      <c r="G65" s="968">
        <f>G63</f>
        <v>0</v>
      </c>
      <c r="H65" s="969"/>
      <c r="I65" s="1253"/>
      <c r="J65" s="1258"/>
      <c r="K65" s="1254"/>
      <c r="L65" s="1254"/>
      <c r="M65" s="1253"/>
      <c r="N65" s="1253"/>
      <c r="O65" s="967"/>
    </row>
    <row r="66" spans="1:17" s="675" customFormat="1" ht="13.5" thickBot="1">
      <c r="A66" s="679" t="s">
        <v>2565</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2020-10-1</v>
      </c>
      <c r="D68" s="1666">
        <f>EDATE(C68,-3)</f>
        <v>44013</v>
      </c>
      <c r="E68" s="1666">
        <f t="shared" ref="E68:O68" si="18">EDATE(D68,-3)</f>
        <v>43922</v>
      </c>
      <c r="F68" s="1666">
        <f t="shared" si="18"/>
        <v>43831</v>
      </c>
      <c r="G68" s="1666">
        <f t="shared" si="18"/>
        <v>43739</v>
      </c>
      <c r="H68" s="1666">
        <f t="shared" si="18"/>
        <v>43647</v>
      </c>
      <c r="I68" s="1666">
        <f t="shared" si="18"/>
        <v>43556</v>
      </c>
      <c r="J68" s="1666">
        <f t="shared" si="18"/>
        <v>43466</v>
      </c>
      <c r="K68" s="1666">
        <f t="shared" si="18"/>
        <v>43374</v>
      </c>
      <c r="L68" s="1666">
        <f t="shared" si="18"/>
        <v>43282</v>
      </c>
      <c r="M68" s="1666">
        <f t="shared" si="18"/>
        <v>43191</v>
      </c>
      <c r="N68" s="1666">
        <f t="shared" si="18"/>
        <v>43101</v>
      </c>
      <c r="O68" s="1666">
        <f t="shared" si="18"/>
        <v>43009</v>
      </c>
    </row>
    <row r="69" spans="1:17" ht="21.75" thickBot="1">
      <c r="A69" s="742" t="s">
        <v>2461</v>
      </c>
      <c r="B69" s="738"/>
      <c r="C69" s="743"/>
      <c r="D69" s="743"/>
      <c r="E69" s="743"/>
      <c r="F69" s="744"/>
      <c r="G69" s="744"/>
      <c r="H69" s="743"/>
      <c r="I69" s="1269"/>
      <c r="J69" s="1269"/>
      <c r="K69" s="1267"/>
      <c r="L69" s="1268"/>
      <c r="M69" s="1269"/>
      <c r="N69" s="1269"/>
      <c r="O69" s="1269"/>
      <c r="P69" s="484"/>
      <c r="Q69" s="485"/>
    </row>
    <row r="70" spans="1:17" s="1670" customFormat="1" ht="15">
      <c r="A70" s="2491" t="s">
        <v>2566</v>
      </c>
      <c r="B70" s="1452"/>
      <c r="C70" s="1667" t="str">
        <f>YEAR(C68)&amp;"-"&amp;ROUNDUP(MONTH(C68)/3,0)</f>
        <v>2020-4</v>
      </c>
      <c r="D70" s="1667" t="str">
        <f>YEAR(D68)&amp;"-"&amp;ROUNDUP(MONTH(D68)/3,0)</f>
        <v>2020-3</v>
      </c>
      <c r="E70" s="1667" t="str">
        <f t="shared" ref="E70:O70" si="19">YEAR(E68)&amp;"-"&amp;ROUNDUP(MONTH(E68)/3,0)</f>
        <v>2020-2</v>
      </c>
      <c r="F70" s="1667" t="str">
        <f t="shared" si="19"/>
        <v>2020-1</v>
      </c>
      <c r="G70" s="1667" t="str">
        <f t="shared" si="19"/>
        <v>2019-4</v>
      </c>
      <c r="H70" s="1667" t="str">
        <f t="shared" si="19"/>
        <v>2019-3</v>
      </c>
      <c r="I70" s="1667" t="str">
        <f t="shared" si="19"/>
        <v>2019-2</v>
      </c>
      <c r="J70" s="1667" t="str">
        <f t="shared" si="19"/>
        <v>2019-1</v>
      </c>
      <c r="K70" s="1667" t="str">
        <f t="shared" si="19"/>
        <v>2018-4</v>
      </c>
      <c r="L70" s="1667" t="str">
        <f t="shared" si="19"/>
        <v>2018-3</v>
      </c>
      <c r="M70" s="1667" t="str">
        <f t="shared" si="19"/>
        <v>2018-2</v>
      </c>
      <c r="N70" s="1667" t="str">
        <f t="shared" si="19"/>
        <v>2018-1</v>
      </c>
      <c r="O70" s="1667" t="str">
        <f t="shared" si="19"/>
        <v>2017-4</v>
      </c>
      <c r="P70" s="1669"/>
    </row>
    <row r="71" spans="1:17" s="35" customFormat="1" ht="29.25" customHeight="1">
      <c r="A71" s="2492" t="s">
        <v>2567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5"/>
      <c r="N71" s="579"/>
      <c r="O71" s="1671"/>
      <c r="P71" s="485"/>
    </row>
    <row r="72" spans="1:17" s="35" customFormat="1" ht="15.75" thickBot="1">
      <c r="A72" s="496" t="s">
        <v>2383</v>
      </c>
      <c r="B72" s="497"/>
      <c r="C72" s="498"/>
      <c r="D72" s="499"/>
      <c r="E72" s="499"/>
      <c r="F72" s="499"/>
      <c r="G72" s="499"/>
      <c r="H72" s="499"/>
      <c r="I72" s="499"/>
      <c r="J72" s="499"/>
      <c r="K72" s="499"/>
      <c r="L72" s="499"/>
      <c r="M72" s="500"/>
      <c r="N72" s="499"/>
      <c r="O72" s="1672"/>
      <c r="P72" s="485"/>
      <c r="Q72" s="485"/>
    </row>
    <row r="73" spans="1:17" s="35" customFormat="1" ht="15">
      <c r="A73" s="502" t="s">
        <v>2347</v>
      </c>
      <c r="B73" s="491"/>
      <c r="C73" s="503" t="s">
        <v>2348</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2386</v>
      </c>
      <c r="B75" s="509" t="s">
        <v>2351</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2354</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2356</v>
      </c>
      <c r="B88" s="509" t="s">
        <v>2394</v>
      </c>
      <c r="C88" s="557" t="s">
        <v>2395</v>
      </c>
      <c r="D88" s="557" t="s">
        <v>2396</v>
      </c>
      <c r="E88" s="557" t="s">
        <v>2397</v>
      </c>
      <c r="F88" s="557" t="s">
        <v>2398</v>
      </c>
      <c r="G88" s="557" t="s">
        <v>2399</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2568</v>
      </c>
      <c r="C90" s="562" t="s">
        <v>2395</v>
      </c>
      <c r="D90" s="562" t="s">
        <v>2396</v>
      </c>
      <c r="E90" s="562" t="s">
        <v>2397</v>
      </c>
      <c r="F90" s="562" t="s">
        <v>2398</v>
      </c>
      <c r="G90" s="562" t="s">
        <v>2399</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2480</v>
      </c>
      <c r="C92" s="562" t="s">
        <v>2395</v>
      </c>
      <c r="D92" s="562" t="s">
        <v>2396</v>
      </c>
      <c r="E92" s="562" t="s">
        <v>2397</v>
      </c>
      <c r="F92" s="562" t="s">
        <v>2398</v>
      </c>
      <c r="G92" s="562" t="s">
        <v>2399</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2400</v>
      </c>
      <c r="C94" s="562" t="s">
        <v>2395</v>
      </c>
      <c r="D94" s="562" t="s">
        <v>2396</v>
      </c>
      <c r="E94" s="562" t="s">
        <v>2397</v>
      </c>
      <c r="F94" s="562" t="s">
        <v>2398</v>
      </c>
      <c r="G94" s="562" t="s">
        <v>2399</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2569</v>
      </c>
      <c r="C96" s="562" t="s">
        <v>2395</v>
      </c>
      <c r="D96" s="562" t="s">
        <v>2396</v>
      </c>
      <c r="E96" s="562" t="s">
        <v>2397</v>
      </c>
      <c r="F96" s="562" t="s">
        <v>2398</v>
      </c>
      <c r="G96" s="562" t="s">
        <v>2399</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2570</v>
      </c>
      <c r="C98" s="557" t="s">
        <v>2395</v>
      </c>
      <c r="D98" s="557" t="s">
        <v>2396</v>
      </c>
      <c r="E98" s="557" t="s">
        <v>2397</v>
      </c>
      <c r="F98" s="557" t="s">
        <v>2398</v>
      </c>
      <c r="G98" s="557" t="s">
        <v>2399</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2443</v>
      </c>
      <c r="C100" s="557" t="s">
        <v>2395</v>
      </c>
      <c r="D100" s="557" t="s">
        <v>2396</v>
      </c>
      <c r="E100" s="557" t="s">
        <v>2397</v>
      </c>
      <c r="F100" s="557" t="s">
        <v>2398</v>
      </c>
      <c r="G100" s="557" t="s">
        <v>2399</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2444</v>
      </c>
      <c r="C102" s="522" t="s">
        <v>2402</v>
      </c>
      <c r="D102" s="522" t="s">
        <v>2403</v>
      </c>
      <c r="E102" s="522" t="s">
        <v>2404</v>
      </c>
      <c r="F102" s="522" t="s">
        <v>2405</v>
      </c>
      <c r="G102" s="522" t="s">
        <v>2406</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2571</v>
      </c>
      <c r="D104" s="522" t="s">
        <v>2572</v>
      </c>
      <c r="E104" s="522" t="s">
        <v>2573</v>
      </c>
      <c r="F104" s="522" t="s">
        <v>2574</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2473</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2540</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2361</v>
      </c>
      <c r="B116" s="509" t="s">
        <v>2575</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2576</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2577</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2578</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2579</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51" priority="14" stopIfTrue="1" operator="containsText" text="超过">
      <formula>NOT(ISERROR(SEARCH("超过",F51)))</formula>
    </cfRule>
  </conditionalFormatting>
  <conditionalFormatting sqref="J53">
    <cfRule type="containsText" dxfId="50" priority="13" stopIfTrue="1" operator="containsText" text="超过">
      <formula>NOT(ISERROR(SEARCH("超过",J53)))</formula>
    </cfRule>
  </conditionalFormatting>
  <conditionalFormatting sqref="H53">
    <cfRule type="containsText" dxfId="49" priority="12" stopIfTrue="1" operator="containsText" text="超过">
      <formula>NOT(ISERROR(SEARCH("超过",H53)))</formula>
    </cfRule>
  </conditionalFormatting>
  <conditionalFormatting sqref="F53">
    <cfRule type="containsText" dxfId="48" priority="11" stopIfTrue="1" operator="containsText" text="超过">
      <formula>NOT(ISERROR(SEARCH("超过",F53)))</formula>
    </cfRule>
  </conditionalFormatting>
  <conditionalFormatting sqref="F52 H52 J52">
    <cfRule type="containsText" dxfId="47" priority="10" stopIfTrue="1" operator="containsText" text="超过">
      <formula>NOT(ISERROR(SEARCH("超过",F52)))</formula>
    </cfRule>
  </conditionalFormatting>
  <conditionalFormatting sqref="E51">
    <cfRule type="expression" dxfId="46" priority="9" stopIfTrue="1">
      <formula>$F$51="超过30%"</formula>
    </cfRule>
  </conditionalFormatting>
  <conditionalFormatting sqref="G53">
    <cfRule type="expression" dxfId="45" priority="8" stopIfTrue="1">
      <formula>$H$53="超过30%"</formula>
    </cfRule>
  </conditionalFormatting>
  <conditionalFormatting sqref="E52">
    <cfRule type="expression" dxfId="44" priority="7" stopIfTrue="1">
      <formula>$F$52="超过20%"</formula>
    </cfRule>
  </conditionalFormatting>
  <conditionalFormatting sqref="E53">
    <cfRule type="expression" dxfId="43" priority="6" stopIfTrue="1">
      <formula>$F$53="超过30%"</formula>
    </cfRule>
  </conditionalFormatting>
  <conditionalFormatting sqref="G51">
    <cfRule type="expression" dxfId="42" priority="5" stopIfTrue="1">
      <formula>$H$53+$H$51="超过30%"</formula>
    </cfRule>
  </conditionalFormatting>
  <conditionalFormatting sqref="G52">
    <cfRule type="expression" dxfId="41" priority="4" stopIfTrue="1">
      <formula>$H$52="超过20%"</formula>
    </cfRule>
  </conditionalFormatting>
  <conditionalFormatting sqref="I51">
    <cfRule type="expression" dxfId="40" priority="3" stopIfTrue="1">
      <formula>$J$51="超过30%"</formula>
    </cfRule>
  </conditionalFormatting>
  <conditionalFormatting sqref="I52">
    <cfRule type="expression" dxfId="39" priority="2" stopIfTrue="1">
      <formula>$J$52="超过20%"</formula>
    </cfRule>
  </conditionalFormatting>
  <conditionalFormatting sqref="I53">
    <cfRule type="expression" dxfId="3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2532</v>
      </c>
      <c r="B1" s="374"/>
      <c r="C1" s="375" t="s">
        <v>2580</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2000</v>
      </c>
      <c r="B2" s="654" t="e">
        <f>F61</f>
        <v>#DIV/0!</v>
      </c>
      <c r="C2" s="732" t="s">
        <v>2534</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1895"/>
      <c r="Y4" s="3166" t="s">
        <v>2338</v>
      </c>
      <c r="Z4" s="3167"/>
      <c r="AA4" s="3174" t="s">
        <v>2334</v>
      </c>
      <c r="AB4" s="3175" t="s">
        <v>2335</v>
      </c>
      <c r="AC4" s="3174" t="s">
        <v>2336</v>
      </c>
    </row>
    <row r="5" spans="1:29" ht="15">
      <c r="A5" s="383"/>
      <c r="B5" s="384"/>
      <c r="C5" s="3162" t="s">
        <v>2339</v>
      </c>
      <c r="D5" s="3163"/>
      <c r="E5" s="3188" t="s">
        <v>2340</v>
      </c>
      <c r="F5" s="3189"/>
      <c r="G5" s="3162" t="s">
        <v>2341</v>
      </c>
      <c r="H5" s="3163"/>
      <c r="I5" s="3162" t="s">
        <v>2342</v>
      </c>
      <c r="J5" s="3163"/>
      <c r="K5" s="594"/>
      <c r="L5" s="1239"/>
      <c r="M5" s="1240"/>
      <c r="N5" s="1240"/>
      <c r="O5" s="1240"/>
      <c r="P5" s="3183"/>
      <c r="Q5" s="3184"/>
      <c r="R5" s="3168"/>
      <c r="S5" s="3169"/>
      <c r="T5" s="3168"/>
      <c r="U5" s="3169"/>
      <c r="V5" s="3187"/>
      <c r="W5" s="3187"/>
      <c r="X5" s="1895"/>
      <c r="Y5" s="3168"/>
      <c r="Z5" s="3169"/>
      <c r="AA5" s="3175"/>
      <c r="AB5" s="3175"/>
      <c r="AC5" s="3175"/>
    </row>
    <row r="6" spans="1:29" ht="15.75" thickBot="1">
      <c r="A6" s="385"/>
      <c r="B6" s="386"/>
      <c r="C6" s="3160" t="s">
        <v>2343</v>
      </c>
      <c r="D6" s="3161"/>
      <c r="E6" s="3190" t="s">
        <v>2343</v>
      </c>
      <c r="F6" s="3191"/>
      <c r="G6" s="3160" t="s">
        <v>2343</v>
      </c>
      <c r="H6" s="3161"/>
      <c r="I6" s="3160" t="s">
        <v>2343</v>
      </c>
      <c r="J6" s="3161"/>
      <c r="K6" s="594" t="s">
        <v>2344</v>
      </c>
      <c r="L6" s="1239"/>
      <c r="M6" s="1240"/>
      <c r="N6" s="1240"/>
      <c r="O6" s="1240"/>
      <c r="P6" s="3185"/>
      <c r="Q6" s="3186"/>
      <c r="R6" s="3168"/>
      <c r="S6" s="3169"/>
      <c r="T6" s="3170"/>
      <c r="U6" s="3171"/>
      <c r="V6" s="3187"/>
      <c r="W6" s="3187"/>
      <c r="X6" s="1895"/>
      <c r="Y6" s="3170"/>
      <c r="Z6" s="3171"/>
      <c r="AA6" s="3176"/>
      <c r="AB6" s="3176"/>
      <c r="AC6" s="3176"/>
    </row>
    <row r="7" spans="1:29" s="35" customFormat="1" ht="15.75" thickBot="1">
      <c r="A7" s="387" t="s">
        <v>2345</v>
      </c>
      <c r="B7" s="388"/>
      <c r="C7" s="389">
        <f>'数据-取费表'!B2</f>
        <v>44134</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164" t="s">
        <v>2346</v>
      </c>
      <c r="Q7" s="3172"/>
      <c r="R7" s="749" t="s">
        <v>25</v>
      </c>
      <c r="S7" s="750">
        <f t="shared" ref="S7:S15" si="0">F7</f>
        <v>0</v>
      </c>
      <c r="T7" s="749" t="s">
        <v>25</v>
      </c>
      <c r="U7" s="750">
        <f t="shared" ref="U7:U15" si="1">H7</f>
        <v>0</v>
      </c>
      <c r="V7" s="749" t="s">
        <v>25</v>
      </c>
      <c r="W7" s="750">
        <f t="shared" ref="W7:W15" si="2">J7</f>
        <v>0</v>
      </c>
      <c r="X7" s="751"/>
      <c r="Y7" s="3164" t="s">
        <v>2346</v>
      </c>
      <c r="Z7" s="3165"/>
      <c r="AA7" s="752" t="e">
        <f>D7/F7</f>
        <v>#DIV/0!</v>
      </c>
      <c r="AB7" s="752" t="e">
        <f>D7/H7</f>
        <v>#DIV/0!</v>
      </c>
      <c r="AC7" s="752" t="e">
        <f>D7/J7</f>
        <v>#DIV/0!</v>
      </c>
    </row>
    <row r="8" spans="1:29" s="35" customFormat="1" ht="15.75" thickBot="1">
      <c r="A8" s="387" t="s">
        <v>2347</v>
      </c>
      <c r="B8" s="388"/>
      <c r="C8" s="394" t="s">
        <v>2536</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164" t="s">
        <v>2349</v>
      </c>
      <c r="Q8" s="3165"/>
      <c r="R8" s="749" t="s">
        <v>25</v>
      </c>
      <c r="S8" s="750">
        <f t="shared" si="0"/>
        <v>0</v>
      </c>
      <c r="T8" s="749" t="s">
        <v>25</v>
      </c>
      <c r="U8" s="750">
        <f t="shared" si="1"/>
        <v>0</v>
      </c>
      <c r="V8" s="749" t="s">
        <v>25</v>
      </c>
      <c r="W8" s="750">
        <f t="shared" si="2"/>
        <v>0</v>
      </c>
      <c r="X8" s="751"/>
      <c r="Y8" s="3164" t="s">
        <v>2349</v>
      </c>
      <c r="Z8" s="3165"/>
      <c r="AA8" s="752" t="e">
        <f t="shared" ref="AA8:AA40" si="3">D8/F8</f>
        <v>#DIV/0!</v>
      </c>
      <c r="AB8" s="752" t="e">
        <f t="shared" ref="AB8:AB40" si="4">D8/H8</f>
        <v>#DIV/0!</v>
      </c>
      <c r="AC8" s="752" t="e">
        <f t="shared" ref="AC8:AC40" si="5">D8/J8</f>
        <v>#DIV/0!</v>
      </c>
    </row>
    <row r="9" spans="1:29" s="35" customFormat="1">
      <c r="A9" s="395" t="s">
        <v>2350</v>
      </c>
      <c r="B9" s="28" t="s">
        <v>2351</v>
      </c>
      <c r="C9" s="2479" t="s">
        <v>2581</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150" t="s">
        <v>2352</v>
      </c>
      <c r="Q9" s="1882"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c r="A10" s="401"/>
      <c r="B10" s="402" t="s">
        <v>2354</v>
      </c>
      <c r="C10" s="412"/>
      <c r="D10" s="52">
        <v>100</v>
      </c>
      <c r="E10" s="412"/>
      <c r="F10" s="52">
        <f>ROUND(100/'数据-取费表'!B14,0)</f>
        <v>111</v>
      </c>
      <c r="G10" s="412"/>
      <c r="H10" s="52">
        <f>ROUND(100/'数据-取费表'!B14,0)</f>
        <v>111</v>
      </c>
      <c r="I10" s="412"/>
      <c r="J10" s="52">
        <f>ROUND(100/'数据-取费表'!B14,0)</f>
        <v>111</v>
      </c>
      <c r="K10" s="655"/>
      <c r="L10" s="1244"/>
      <c r="M10" s="1245"/>
      <c r="N10" s="1245"/>
      <c r="O10" s="1246"/>
      <c r="P10" s="3150"/>
      <c r="Q10" s="1882" t="str">
        <f t="shared" si="6"/>
        <v>土地使用年限（年）</v>
      </c>
      <c r="R10" s="749" t="s">
        <v>25</v>
      </c>
      <c r="S10" s="750">
        <f t="shared" si="0"/>
        <v>111</v>
      </c>
      <c r="T10" s="749" t="s">
        <v>25</v>
      </c>
      <c r="U10" s="750">
        <f t="shared" si="1"/>
        <v>111</v>
      </c>
      <c r="V10" s="749" t="s">
        <v>25</v>
      </c>
      <c r="W10" s="750">
        <f t="shared" si="2"/>
        <v>111</v>
      </c>
      <c r="X10" s="751"/>
      <c r="Y10" s="2979"/>
      <c r="Z10" s="23" t="str">
        <f t="shared" si="7"/>
        <v>土地使用年限（年）</v>
      </c>
      <c r="AA10" s="752">
        <f t="shared" si="3"/>
        <v>0.90090090090090091</v>
      </c>
      <c r="AB10" s="752">
        <f t="shared" si="4"/>
        <v>0.90090090090090091</v>
      </c>
      <c r="AC10" s="752">
        <f t="shared" si="5"/>
        <v>0.90090090090090091</v>
      </c>
    </row>
    <row r="11" spans="1:29" ht="15">
      <c r="A11" s="408"/>
      <c r="B11" s="402" t="s">
        <v>2355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150"/>
      <c r="Q11" s="1882" t="str">
        <f t="shared" si="6"/>
        <v>容积率</v>
      </c>
      <c r="R11" s="749" t="s">
        <v>25</v>
      </c>
      <c r="S11" s="750" t="e">
        <f t="shared" si="0"/>
        <v>#N/A</v>
      </c>
      <c r="T11" s="749" t="s">
        <v>25</v>
      </c>
      <c r="U11" s="750" t="e">
        <f t="shared" si="1"/>
        <v>#N/A</v>
      </c>
      <c r="V11" s="749" t="s">
        <v>25</v>
      </c>
      <c r="W11" s="750" t="e">
        <f t="shared" si="2"/>
        <v>#N/A</v>
      </c>
      <c r="X11" s="751"/>
      <c r="Y11" s="2979"/>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150"/>
      <c r="Q12" s="1882">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150"/>
      <c r="Q13" s="1882">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150"/>
      <c r="Q14" s="1882">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57">
      <c r="A15" s="419" t="s">
        <v>2356</v>
      </c>
      <c r="B15" s="613" t="s">
        <v>2582</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153" t="s">
        <v>2357</v>
      </c>
      <c r="Q15" s="1894" t="str">
        <f t="shared" si="6"/>
        <v>产业集聚程度</v>
      </c>
      <c r="R15" s="753" t="s">
        <v>25</v>
      </c>
      <c r="S15" s="754">
        <f t="shared" si="0"/>
        <v>100</v>
      </c>
      <c r="T15" s="753" t="s">
        <v>25</v>
      </c>
      <c r="U15" s="754">
        <f t="shared" si="1"/>
        <v>100</v>
      </c>
      <c r="V15" s="753" t="s">
        <v>25</v>
      </c>
      <c r="W15" s="754">
        <f t="shared" si="2"/>
        <v>100</v>
      </c>
      <c r="X15" s="1895"/>
      <c r="Y15" s="3153" t="s">
        <v>2357</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154"/>
      <c r="Q16" s="1894"/>
      <c r="R16" s="753"/>
      <c r="S16" s="754"/>
      <c r="T16" s="753"/>
      <c r="U16" s="754"/>
      <c r="V16" s="753"/>
      <c r="W16" s="754"/>
      <c r="X16" s="1895"/>
      <c r="Y16" s="3154"/>
      <c r="Z16" s="1897"/>
      <c r="AA16" s="1898">
        <v>1</v>
      </c>
      <c r="AB16" s="1898">
        <v>1</v>
      </c>
      <c r="AC16" s="1898">
        <v>1</v>
      </c>
    </row>
    <row r="17" spans="1:29" ht="85.5">
      <c r="A17" s="408"/>
      <c r="B17" s="615" t="s">
        <v>2498</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154"/>
      <c r="Q17" s="1894" t="str">
        <f>B17</f>
        <v>交通便捷度</v>
      </c>
      <c r="R17" s="753" t="s">
        <v>25</v>
      </c>
      <c r="S17" s="754">
        <f>F17</f>
        <v>100</v>
      </c>
      <c r="T17" s="753" t="s">
        <v>25</v>
      </c>
      <c r="U17" s="754">
        <f>H17</f>
        <v>100</v>
      </c>
      <c r="V17" s="753" t="s">
        <v>25</v>
      </c>
      <c r="W17" s="754">
        <f>J17</f>
        <v>100</v>
      </c>
      <c r="X17" s="1895"/>
      <c r="Y17" s="3154"/>
      <c r="Z17" s="1897" t="str">
        <f>Q17</f>
        <v>交通便捷度</v>
      </c>
      <c r="AA17" s="1898">
        <f t="shared" si="3"/>
        <v>1</v>
      </c>
      <c r="AB17" s="1898">
        <f t="shared" si="4"/>
        <v>1</v>
      </c>
      <c r="AC17" s="1898">
        <f t="shared" si="5"/>
        <v>1</v>
      </c>
    </row>
    <row r="18" spans="1:29" ht="15">
      <c r="A18" s="408"/>
      <c r="B18" s="616"/>
      <c r="C18" s="426"/>
      <c r="D18" s="427"/>
      <c r="E18" s="428"/>
      <c r="F18" s="427"/>
      <c r="G18" s="428"/>
      <c r="H18" s="427"/>
      <c r="I18" s="2399"/>
      <c r="J18" s="427"/>
      <c r="K18" s="655"/>
      <c r="L18" s="1249"/>
      <c r="M18" s="1240"/>
      <c r="N18" s="1240"/>
      <c r="O18" s="1248"/>
      <c r="P18" s="3154"/>
      <c r="Q18" s="1894"/>
      <c r="R18" s="753"/>
      <c r="S18" s="754"/>
      <c r="T18" s="753"/>
      <c r="U18" s="754"/>
      <c r="V18" s="753"/>
      <c r="W18" s="754"/>
      <c r="X18" s="1895"/>
      <c r="Y18" s="3154"/>
      <c r="Z18" s="1897"/>
      <c r="AA18" s="1898">
        <v>1</v>
      </c>
      <c r="AB18" s="1898">
        <v>1</v>
      </c>
      <c r="AC18" s="1898">
        <v>1</v>
      </c>
    </row>
    <row r="19" spans="1:29" ht="15">
      <c r="A19" s="408"/>
      <c r="B19" s="615" t="s">
        <v>2538</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154"/>
      <c r="Q19" s="1894" t="str">
        <f t="shared" ref="Q19:Q33" si="8">B19</f>
        <v>区域土地利用方向</v>
      </c>
      <c r="R19" s="753" t="s">
        <v>25</v>
      </c>
      <c r="S19" s="754">
        <f>F19</f>
        <v>100</v>
      </c>
      <c r="T19" s="753" t="s">
        <v>25</v>
      </c>
      <c r="U19" s="754">
        <f>H19</f>
        <v>100</v>
      </c>
      <c r="V19" s="753" t="s">
        <v>25</v>
      </c>
      <c r="W19" s="754">
        <f>J19</f>
        <v>100</v>
      </c>
      <c r="X19" s="1895"/>
      <c r="Y19" s="3154"/>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154"/>
      <c r="Q20" s="1894"/>
      <c r="R20" s="753"/>
      <c r="S20" s="754"/>
      <c r="T20" s="753"/>
      <c r="U20" s="754"/>
      <c r="V20" s="753"/>
      <c r="W20" s="754"/>
      <c r="X20" s="1895"/>
      <c r="Y20" s="3154"/>
      <c r="Z20" s="1897"/>
      <c r="AA20" s="1898"/>
      <c r="AB20" s="1898"/>
      <c r="AC20" s="1898"/>
    </row>
    <row r="21" spans="1:29" ht="71.25">
      <c r="A21" s="383"/>
      <c r="B21" s="615" t="s">
        <v>2583</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154"/>
      <c r="Q21" s="1894" t="str">
        <f t="shared" si="8"/>
        <v>环境状况</v>
      </c>
      <c r="R21" s="753" t="s">
        <v>25</v>
      </c>
      <c r="S21" s="754">
        <f>F21</f>
        <v>100</v>
      </c>
      <c r="T21" s="753" t="s">
        <v>25</v>
      </c>
      <c r="U21" s="754">
        <f>H21</f>
        <v>100</v>
      </c>
      <c r="V21" s="753" t="s">
        <v>25</v>
      </c>
      <c r="W21" s="754">
        <f>J21</f>
        <v>100</v>
      </c>
      <c r="X21" s="1895"/>
      <c r="Y21" s="3154"/>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154"/>
      <c r="Q22" s="1894"/>
      <c r="R22" s="753"/>
      <c r="S22" s="754"/>
      <c r="T22" s="753"/>
      <c r="U22" s="754"/>
      <c r="V22" s="753"/>
      <c r="W22" s="754"/>
      <c r="X22" s="1895"/>
      <c r="Y22" s="3154"/>
      <c r="Z22" s="1897"/>
      <c r="AA22" s="1898">
        <v>1</v>
      </c>
      <c r="AB22" s="1898">
        <v>1</v>
      </c>
      <c r="AC22" s="1898">
        <v>1</v>
      </c>
    </row>
    <row r="23" spans="1:29" s="35" customFormat="1" ht="42.75">
      <c r="A23" s="633"/>
      <c r="B23" s="615" t="s">
        <v>2443</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154"/>
      <c r="Q23" s="1882" t="str">
        <f t="shared" si="8"/>
        <v>公共配套设施</v>
      </c>
      <c r="R23" s="749" t="s">
        <v>25</v>
      </c>
      <c r="S23" s="750">
        <f>F23</f>
        <v>100</v>
      </c>
      <c r="T23" s="749" t="s">
        <v>25</v>
      </c>
      <c r="U23" s="750">
        <f>H23</f>
        <v>100</v>
      </c>
      <c r="V23" s="749" t="s">
        <v>25</v>
      </c>
      <c r="W23" s="750">
        <f>J23</f>
        <v>100</v>
      </c>
      <c r="X23" s="751"/>
      <c r="Y23" s="3154"/>
      <c r="Z23" s="23" t="str">
        <f>Q23</f>
        <v>公共配套设施</v>
      </c>
      <c r="AA23" s="1898">
        <f>D23/F23</f>
        <v>1</v>
      </c>
      <c r="AB23" s="1898">
        <f>D23/H23</f>
        <v>1</v>
      </c>
      <c r="AC23" s="1898">
        <f>D23/J23</f>
        <v>1</v>
      </c>
    </row>
    <row r="24" spans="1:29" s="35" customFormat="1" ht="15">
      <c r="A24" s="633"/>
      <c r="B24" s="616"/>
      <c r="C24" s="2493"/>
      <c r="D24" s="427"/>
      <c r="E24" s="1468"/>
      <c r="F24" s="427"/>
      <c r="G24" s="1468"/>
      <c r="H24" s="427"/>
      <c r="I24" s="426"/>
      <c r="J24" s="427"/>
      <c r="K24" s="655"/>
      <c r="L24" s="1241"/>
      <c r="M24" s="1242"/>
      <c r="N24" s="1242"/>
      <c r="O24" s="1243"/>
      <c r="P24" s="3154"/>
      <c r="Q24" s="1882"/>
      <c r="R24" s="749"/>
      <c r="S24" s="750"/>
      <c r="T24" s="749"/>
      <c r="U24" s="750"/>
      <c r="V24" s="749"/>
      <c r="W24" s="750"/>
      <c r="X24" s="751"/>
      <c r="Y24" s="3154"/>
      <c r="Z24" s="23"/>
      <c r="AA24" s="752">
        <v>1</v>
      </c>
      <c r="AB24" s="752">
        <v>1</v>
      </c>
      <c r="AC24" s="752">
        <v>1</v>
      </c>
    </row>
    <row r="25" spans="1:29" s="35" customFormat="1" ht="28.5">
      <c r="A25" s="633"/>
      <c r="B25" s="617" t="s">
        <v>2444</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154"/>
      <c r="Q25" s="1882" t="str">
        <f t="shared" ref="Q25" si="9">B25</f>
        <v>基础设施水平</v>
      </c>
      <c r="R25" s="749" t="s">
        <v>25</v>
      </c>
      <c r="S25" s="750">
        <f>F25</f>
        <v>100</v>
      </c>
      <c r="T25" s="749" t="s">
        <v>25</v>
      </c>
      <c r="U25" s="750">
        <f>H25</f>
        <v>100</v>
      </c>
      <c r="V25" s="749" t="s">
        <v>25</v>
      </c>
      <c r="W25" s="750">
        <f>J25</f>
        <v>100</v>
      </c>
      <c r="X25" s="751"/>
      <c r="Y25" s="3154"/>
      <c r="Z25" s="23" t="str">
        <f>Q25</f>
        <v>基础设施水平</v>
      </c>
      <c r="AA25" s="1898">
        <f>D25/F25</f>
        <v>1</v>
      </c>
      <c r="AB25" s="1898">
        <f>D25/H25</f>
        <v>1</v>
      </c>
      <c r="AC25" s="1898">
        <f>D25/J25</f>
        <v>1</v>
      </c>
    </row>
    <row r="26" spans="1:29" s="35" customFormat="1" ht="15">
      <c r="A26" s="633"/>
      <c r="B26" s="616"/>
      <c r="C26" s="2493"/>
      <c r="D26" s="427"/>
      <c r="E26" s="2482"/>
      <c r="F26" s="427"/>
      <c r="G26" s="2482"/>
      <c r="H26" s="427"/>
      <c r="I26" s="2482"/>
      <c r="J26" s="427"/>
      <c r="K26" s="655"/>
      <c r="L26" s="1241"/>
      <c r="M26" s="1242"/>
      <c r="N26" s="1242"/>
      <c r="O26" s="1243"/>
      <c r="P26" s="3154"/>
      <c r="Q26" s="1882"/>
      <c r="R26" s="749"/>
      <c r="S26" s="750"/>
      <c r="T26" s="749"/>
      <c r="U26" s="750"/>
      <c r="V26" s="749"/>
      <c r="W26" s="750"/>
      <c r="X26" s="751"/>
      <c r="Y26" s="3154"/>
      <c r="Z26" s="23"/>
      <c r="AA26" s="752">
        <v>1</v>
      </c>
      <c r="AB26" s="752">
        <v>1</v>
      </c>
      <c r="AC26" s="752">
        <v>1</v>
      </c>
    </row>
    <row r="27" spans="1:29" ht="15">
      <c r="A27" s="408"/>
      <c r="B27" s="616" t="s">
        <v>2445</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154"/>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154"/>
      <c r="Z27" s="1897" t="str">
        <f t="shared" ref="Z27:Z40" si="13">Q27</f>
        <v>临街状况</v>
      </c>
      <c r="AA27" s="1898">
        <f t="shared" si="3"/>
        <v>1</v>
      </c>
      <c r="AB27" s="1898">
        <f t="shared" si="4"/>
        <v>1</v>
      </c>
      <c r="AC27" s="1898">
        <f t="shared" si="5"/>
        <v>1</v>
      </c>
    </row>
    <row r="28" spans="1:29" ht="27">
      <c r="A28" s="408"/>
      <c r="B28" s="617" t="s">
        <v>2473</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154"/>
      <c r="Q28" s="1894" t="str">
        <f t="shared" si="8"/>
        <v>毗邻道路的类型与等级</v>
      </c>
      <c r="R28" s="753" t="s">
        <v>25</v>
      </c>
      <c r="S28" s="754">
        <f t="shared" si="10"/>
        <v>100</v>
      </c>
      <c r="T28" s="753" t="s">
        <v>25</v>
      </c>
      <c r="U28" s="754">
        <f t="shared" si="11"/>
        <v>100</v>
      </c>
      <c r="V28" s="753" t="s">
        <v>25</v>
      </c>
      <c r="W28" s="754">
        <f t="shared" si="12"/>
        <v>100</v>
      </c>
      <c r="X28" s="1895"/>
      <c r="Y28" s="3154"/>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154"/>
      <c r="Q29" s="1894"/>
      <c r="R29" s="753"/>
      <c r="S29" s="754"/>
      <c r="T29" s="753"/>
      <c r="U29" s="754"/>
      <c r="V29" s="753"/>
      <c r="W29" s="754"/>
      <c r="X29" s="1895"/>
      <c r="Y29" s="3154"/>
      <c r="Z29" s="1897"/>
      <c r="AA29" s="1898">
        <v>1</v>
      </c>
      <c r="AB29" s="1898">
        <v>1</v>
      </c>
      <c r="AC29" s="1898">
        <v>1</v>
      </c>
    </row>
    <row r="30" spans="1:29" ht="15">
      <c r="A30" s="408"/>
      <c r="B30" s="637" t="s">
        <v>2540</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154"/>
      <c r="Q30" s="1894" t="str">
        <f t="shared" si="8"/>
        <v>土地级别</v>
      </c>
      <c r="R30" s="753" t="s">
        <v>25</v>
      </c>
      <c r="S30" s="754">
        <f t="shared" si="10"/>
        <v>100</v>
      </c>
      <c r="T30" s="753" t="s">
        <v>25</v>
      </c>
      <c r="U30" s="754">
        <f t="shared" si="11"/>
        <v>100</v>
      </c>
      <c r="V30" s="753" t="s">
        <v>25</v>
      </c>
      <c r="W30" s="754">
        <f t="shared" si="12"/>
        <v>100</v>
      </c>
      <c r="X30" s="1895"/>
      <c r="Y30" s="3154"/>
      <c r="Z30" s="1897" t="str">
        <f t="shared" si="13"/>
        <v>土地级别</v>
      </c>
      <c r="AA30" s="1898">
        <f t="shared" si="3"/>
        <v>1</v>
      </c>
      <c r="AB30" s="1898">
        <f t="shared" si="4"/>
        <v>1</v>
      </c>
      <c r="AC30" s="1898">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154"/>
      <c r="Q31" s="1894">
        <f t="shared" si="8"/>
        <v>111</v>
      </c>
      <c r="R31" s="753" t="s">
        <v>25</v>
      </c>
      <c r="S31" s="754">
        <f t="shared" si="10"/>
        <v>100</v>
      </c>
      <c r="T31" s="753" t="s">
        <v>25</v>
      </c>
      <c r="U31" s="754">
        <f t="shared" si="11"/>
        <v>100</v>
      </c>
      <c r="V31" s="753" t="s">
        <v>25</v>
      </c>
      <c r="W31" s="754">
        <f t="shared" si="12"/>
        <v>100</v>
      </c>
      <c r="X31" s="1895"/>
      <c r="Y31" s="3154"/>
      <c r="Z31" s="1897">
        <f t="shared" si="13"/>
        <v>111</v>
      </c>
      <c r="AA31" s="1898">
        <f t="shared" si="3"/>
        <v>1</v>
      </c>
      <c r="AB31" s="1898">
        <f t="shared" si="4"/>
        <v>1</v>
      </c>
      <c r="AC31" s="1898">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203" t="s">
        <v>2363</v>
      </c>
      <c r="Q32" s="1894">
        <f t="shared" si="8"/>
        <v>111</v>
      </c>
      <c r="R32" s="753" t="s">
        <v>25</v>
      </c>
      <c r="S32" s="754">
        <f t="shared" si="10"/>
        <v>100</v>
      </c>
      <c r="T32" s="753" t="s">
        <v>25</v>
      </c>
      <c r="U32" s="754">
        <f t="shared" si="11"/>
        <v>100</v>
      </c>
      <c r="V32" s="753" t="s">
        <v>25</v>
      </c>
      <c r="W32" s="754">
        <f t="shared" si="12"/>
        <v>100</v>
      </c>
      <c r="X32" s="1895"/>
      <c r="Y32" s="3158" t="s">
        <v>2363</v>
      </c>
      <c r="Z32" s="1897">
        <f t="shared" si="13"/>
        <v>111</v>
      </c>
      <c r="AA32" s="1898">
        <f t="shared" si="3"/>
        <v>1</v>
      </c>
      <c r="AB32" s="1898">
        <f t="shared" si="4"/>
        <v>1</v>
      </c>
      <c r="AC32" s="1898">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158"/>
      <c r="Q33" s="1894">
        <f t="shared" si="8"/>
        <v>111</v>
      </c>
      <c r="R33" s="756" t="s">
        <v>25</v>
      </c>
      <c r="S33" s="757">
        <f t="shared" si="10"/>
        <v>100</v>
      </c>
      <c r="T33" s="756" t="s">
        <v>25</v>
      </c>
      <c r="U33" s="757">
        <f t="shared" si="11"/>
        <v>100</v>
      </c>
      <c r="V33" s="756" t="s">
        <v>25</v>
      </c>
      <c r="W33" s="757">
        <f t="shared" si="12"/>
        <v>100</v>
      </c>
      <c r="X33" s="758"/>
      <c r="Y33" s="3158"/>
      <c r="Z33" s="759">
        <f t="shared" si="13"/>
        <v>111</v>
      </c>
      <c r="AA33" s="1898">
        <f t="shared" si="3"/>
        <v>1</v>
      </c>
      <c r="AB33" s="1898">
        <f t="shared" si="4"/>
        <v>1</v>
      </c>
      <c r="AC33" s="1898">
        <f t="shared" si="5"/>
        <v>1</v>
      </c>
    </row>
    <row r="34" spans="1:29" ht="15">
      <c r="A34" s="453" t="s">
        <v>2361</v>
      </c>
      <c r="B34" s="436" t="s">
        <v>2541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158"/>
      <c r="Q34" s="1894" t="str">
        <f>B34</f>
        <v>宗地面积</v>
      </c>
      <c r="R34" s="753" t="s">
        <v>25</v>
      </c>
      <c r="S34" s="754" t="e">
        <f t="shared" si="10"/>
        <v>#N/A</v>
      </c>
      <c r="T34" s="753" t="s">
        <v>25</v>
      </c>
      <c r="U34" s="754" t="e">
        <f t="shared" si="11"/>
        <v>#N/A</v>
      </c>
      <c r="V34" s="753" t="s">
        <v>25</v>
      </c>
      <c r="W34" s="754" t="e">
        <f t="shared" si="12"/>
        <v>#N/A</v>
      </c>
      <c r="X34" s="1895"/>
      <c r="Y34" s="3158"/>
      <c r="Z34" s="1897" t="str">
        <f t="shared" si="13"/>
        <v>宗地面积</v>
      </c>
      <c r="AA34" s="1898" t="e">
        <f t="shared" si="3"/>
        <v>#N/A</v>
      </c>
      <c r="AB34" s="1898" t="e">
        <f t="shared" si="4"/>
        <v>#N/A</v>
      </c>
      <c r="AC34" s="1898" t="e">
        <f t="shared" si="5"/>
        <v>#N/A</v>
      </c>
    </row>
    <row r="35" spans="1:29" ht="15">
      <c r="A35" s="453"/>
      <c r="B35" s="402" t="s">
        <v>2542</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158"/>
      <c r="Q35" s="1894" t="str">
        <f t="shared" ref="Q35:Q40" si="14">B35</f>
        <v>宗地形状</v>
      </c>
      <c r="R35" s="753" t="s">
        <v>25</v>
      </c>
      <c r="S35" s="754">
        <f t="shared" si="10"/>
        <v>100</v>
      </c>
      <c r="T35" s="753" t="s">
        <v>25</v>
      </c>
      <c r="U35" s="754">
        <f t="shared" si="11"/>
        <v>100</v>
      </c>
      <c r="V35" s="753" t="s">
        <v>25</v>
      </c>
      <c r="W35" s="754">
        <f t="shared" si="12"/>
        <v>100</v>
      </c>
      <c r="X35" s="1895"/>
      <c r="Y35" s="3158"/>
      <c r="Z35" s="1897" t="str">
        <f t="shared" si="13"/>
        <v>宗地形状</v>
      </c>
      <c r="AA35" s="1898">
        <f t="shared" si="3"/>
        <v>1</v>
      </c>
      <c r="AB35" s="1898">
        <f t="shared" si="4"/>
        <v>1</v>
      </c>
      <c r="AC35" s="1898">
        <f t="shared" si="5"/>
        <v>1</v>
      </c>
    </row>
    <row r="36" spans="1:29" s="35" customFormat="1" ht="15">
      <c r="A36" s="454"/>
      <c r="B36" s="402" t="s">
        <v>2544</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158"/>
      <c r="Q36" s="1894" t="str">
        <f t="shared" si="14"/>
        <v>宗地开发程度</v>
      </c>
      <c r="R36" s="749" t="s">
        <v>25</v>
      </c>
      <c r="S36" s="750">
        <f t="shared" si="10"/>
        <v>100</v>
      </c>
      <c r="T36" s="749" t="s">
        <v>25</v>
      </c>
      <c r="U36" s="750">
        <f t="shared" si="11"/>
        <v>100</v>
      </c>
      <c r="V36" s="749" t="s">
        <v>25</v>
      </c>
      <c r="W36" s="750">
        <f t="shared" si="12"/>
        <v>100</v>
      </c>
      <c r="X36" s="751"/>
      <c r="Y36" s="3158"/>
      <c r="Z36" s="23" t="str">
        <f t="shared" si="13"/>
        <v>宗地开发程度</v>
      </c>
      <c r="AA36" s="752">
        <f t="shared" si="3"/>
        <v>1</v>
      </c>
      <c r="AB36" s="752">
        <f t="shared" si="4"/>
        <v>1</v>
      </c>
      <c r="AC36" s="752">
        <f t="shared" si="5"/>
        <v>1</v>
      </c>
    </row>
    <row r="37" spans="1:29" ht="15">
      <c r="A37" s="453"/>
      <c r="B37" s="402" t="s">
        <v>2545</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158" t="s">
        <v>2363</v>
      </c>
      <c r="Q37" s="1894" t="str">
        <f t="shared" si="14"/>
        <v>工程地质条件</v>
      </c>
      <c r="R37" s="753" t="s">
        <v>25</v>
      </c>
      <c r="S37" s="754">
        <f t="shared" si="10"/>
        <v>100</v>
      </c>
      <c r="T37" s="753" t="s">
        <v>25</v>
      </c>
      <c r="U37" s="754">
        <f t="shared" si="11"/>
        <v>100</v>
      </c>
      <c r="V37" s="753" t="s">
        <v>25</v>
      </c>
      <c r="W37" s="754">
        <f t="shared" si="12"/>
        <v>100</v>
      </c>
      <c r="X37" s="1895"/>
      <c r="Y37" s="3158" t="s">
        <v>2363</v>
      </c>
      <c r="Z37" s="1897" t="str">
        <f t="shared" si="13"/>
        <v>工程地质条件</v>
      </c>
      <c r="AA37" s="1898">
        <f t="shared" si="3"/>
        <v>1</v>
      </c>
      <c r="AB37" s="1898">
        <f t="shared" si="4"/>
        <v>1</v>
      </c>
      <c r="AC37" s="1898">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158"/>
      <c r="Q38" s="1894">
        <f t="shared" si="14"/>
        <v>111</v>
      </c>
      <c r="R38" s="753" t="s">
        <v>25</v>
      </c>
      <c r="S38" s="754">
        <f t="shared" si="10"/>
        <v>100</v>
      </c>
      <c r="T38" s="753" t="s">
        <v>25</v>
      </c>
      <c r="U38" s="754">
        <f t="shared" si="11"/>
        <v>100</v>
      </c>
      <c r="V38" s="753" t="s">
        <v>25</v>
      </c>
      <c r="W38" s="754">
        <f t="shared" si="12"/>
        <v>100</v>
      </c>
      <c r="X38" s="1895"/>
      <c r="Y38" s="3158"/>
      <c r="Z38" s="1897">
        <f t="shared" si="13"/>
        <v>111</v>
      </c>
      <c r="AA38" s="1898">
        <f t="shared" si="3"/>
        <v>1</v>
      </c>
      <c r="AB38" s="1898">
        <f t="shared" si="4"/>
        <v>1</v>
      </c>
      <c r="AC38" s="1898">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158"/>
      <c r="Q39" s="1894">
        <f t="shared" si="14"/>
        <v>111</v>
      </c>
      <c r="R39" s="753" t="s">
        <v>25</v>
      </c>
      <c r="S39" s="754">
        <f t="shared" si="10"/>
        <v>100</v>
      </c>
      <c r="T39" s="753" t="s">
        <v>25</v>
      </c>
      <c r="U39" s="754">
        <f t="shared" si="11"/>
        <v>100</v>
      </c>
      <c r="V39" s="753" t="s">
        <v>25</v>
      </c>
      <c r="W39" s="754">
        <f t="shared" si="12"/>
        <v>100</v>
      </c>
      <c r="X39" s="1895"/>
      <c r="Y39" s="3158"/>
      <c r="Z39" s="1897">
        <f t="shared" si="13"/>
        <v>111</v>
      </c>
      <c r="AA39" s="1898">
        <f t="shared" si="3"/>
        <v>1</v>
      </c>
      <c r="AB39" s="1898">
        <f t="shared" si="4"/>
        <v>1</v>
      </c>
      <c r="AC39" s="1898">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158"/>
      <c r="Q40" s="1894">
        <f t="shared" si="14"/>
        <v>111</v>
      </c>
      <c r="R40" s="756" t="s">
        <v>25</v>
      </c>
      <c r="S40" s="757">
        <f t="shared" si="10"/>
        <v>100</v>
      </c>
      <c r="T40" s="756" t="s">
        <v>25</v>
      </c>
      <c r="U40" s="757">
        <f t="shared" si="11"/>
        <v>100</v>
      </c>
      <c r="V40" s="756" t="s">
        <v>25</v>
      </c>
      <c r="W40" s="757">
        <f t="shared" si="12"/>
        <v>100</v>
      </c>
      <c r="X40" s="758"/>
      <c r="Y40" s="3158"/>
      <c r="Z40" s="759">
        <f t="shared" si="13"/>
        <v>111</v>
      </c>
      <c r="AA40" s="1898">
        <f t="shared" si="3"/>
        <v>1</v>
      </c>
      <c r="AB40" s="1898">
        <f t="shared" si="4"/>
        <v>1</v>
      </c>
      <c r="AC40" s="1898">
        <f t="shared" si="5"/>
        <v>1</v>
      </c>
    </row>
    <row r="41" spans="1:29" ht="15">
      <c r="A41" s="460" t="s">
        <v>2509</v>
      </c>
      <c r="B41" s="2487" t="s">
        <v>2584</v>
      </c>
      <c r="C41" s="665" t="s">
        <v>1</v>
      </c>
      <c r="D41" s="462"/>
      <c r="E41" s="463"/>
      <c r="F41" s="464"/>
      <c r="G41" s="465"/>
      <c r="H41" s="466"/>
      <c r="I41" s="463"/>
      <c r="J41" s="466"/>
      <c r="K41" s="762"/>
      <c r="L41" s="1252"/>
      <c r="M41" s="1240"/>
      <c r="N41" s="1240"/>
      <c r="O41" s="1253"/>
      <c r="P41" s="3150" t="str">
        <f>A41</f>
        <v>成交单价</v>
      </c>
      <c r="Q41" s="3150"/>
      <c r="R41" s="3187">
        <f>E41</f>
        <v>0</v>
      </c>
      <c r="S41" s="3187"/>
      <c r="T41" s="3187">
        <f>G41</f>
        <v>0</v>
      </c>
      <c r="U41" s="3187"/>
      <c r="V41" s="3187">
        <f>I41</f>
        <v>0</v>
      </c>
      <c r="W41" s="3187"/>
      <c r="X41" s="738"/>
      <c r="Y41" s="760"/>
      <c r="Z41" s="738"/>
      <c r="AA41" s="738"/>
      <c r="AB41" s="738"/>
      <c r="AC41" s="738"/>
    </row>
    <row r="42" spans="1:29" ht="15.75" thickBot="1">
      <c r="A42" s="467" t="s">
        <v>2457</v>
      </c>
      <c r="B42" s="666"/>
      <c r="C42" s="471" t="e">
        <f>R43</f>
        <v>#DIV/0!</v>
      </c>
      <c r="D42" s="470"/>
      <c r="E42" s="471" t="e">
        <f>R42</f>
        <v>#DIV/0!</v>
      </c>
      <c r="F42" s="472"/>
      <c r="G42" s="469" t="e">
        <f>T42</f>
        <v>#DIV/0!</v>
      </c>
      <c r="H42" s="470"/>
      <c r="I42" s="471" t="e">
        <f>V42</f>
        <v>#DIV/0!</v>
      </c>
      <c r="J42" s="470"/>
      <c r="K42" s="763"/>
      <c r="L42" s="1252"/>
      <c r="M42" s="1240"/>
      <c r="N42" s="1240"/>
      <c r="O42" s="1253"/>
      <c r="P42" s="3150" t="str">
        <f>A42</f>
        <v>比较价值（元/平方米）</v>
      </c>
      <c r="Q42" s="3150"/>
      <c r="R42" s="3204" t="e">
        <f>ROUND(PRODUCT(R41,AA7:AA40),0)</f>
        <v>#DIV/0!</v>
      </c>
      <c r="S42" s="3204"/>
      <c r="T42" s="3204" t="e">
        <f>ROUND(PRODUCT(T41,AB7:AB40),0)</f>
        <v>#DIV/0!</v>
      </c>
      <c r="U42" s="3204"/>
      <c r="V42" s="3204" t="e">
        <f>ROUND(PRODUCT(V41,AC7:AC40),0)</f>
        <v>#DIV/0!</v>
      </c>
      <c r="W42" s="3204"/>
      <c r="X42" s="738"/>
      <c r="Y42" s="738"/>
      <c r="Z42" s="738"/>
      <c r="AA42" s="738"/>
      <c r="AB42" s="738"/>
      <c r="AC42" s="738"/>
    </row>
    <row r="43" spans="1:29" ht="15.75" thickBot="1">
      <c r="A43" s="473" t="s">
        <v>2479</v>
      </c>
      <c r="B43" s="474"/>
      <c r="C43" s="475" t="e">
        <f>R43</f>
        <v>#DIV/0!</v>
      </c>
      <c r="D43" s="475"/>
      <c r="E43" s="475"/>
      <c r="F43" s="475"/>
      <c r="G43" s="475"/>
      <c r="H43" s="475"/>
      <c r="I43" s="475"/>
      <c r="J43" s="475"/>
      <c r="K43" s="764"/>
      <c r="L43" s="1252"/>
      <c r="M43" s="1240"/>
      <c r="N43" s="1240"/>
      <c r="O43" s="1253"/>
      <c r="P43" s="3147" t="str">
        <f>A43</f>
        <v>估价对象XX用房的比较价值（楼面单价，元/平方米）</v>
      </c>
      <c r="Q43" s="3148"/>
      <c r="R43" s="3205" t="e">
        <f>ROUND(AVERAGE(R42:V42),0)</f>
        <v>#DIV/0!</v>
      </c>
      <c r="S43" s="3205"/>
      <c r="T43" s="3205"/>
      <c r="U43" s="3205"/>
      <c r="V43" s="3205"/>
      <c r="W43" s="3205"/>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2547</v>
      </c>
      <c r="B50" s="668" t="s">
        <v>2548</v>
      </c>
      <c r="C50" s="2488" t="s">
        <v>2549</v>
      </c>
      <c r="D50" s="2489" t="s">
        <v>2550</v>
      </c>
      <c r="E50" s="669" t="s">
        <v>2551</v>
      </c>
      <c r="F50" s="670" t="s">
        <v>2552</v>
      </c>
      <c r="G50" s="1897" t="s">
        <v>2585</v>
      </c>
      <c r="H50" s="1897" t="str">
        <f>项目基本情况!G8</f>
        <v>北京市朝阳区常惠路6号</v>
      </c>
      <c r="I50" s="1845" t="s">
        <v>2554</v>
      </c>
      <c r="J50" s="1258"/>
      <c r="K50" s="1254"/>
      <c r="L50" s="1254"/>
      <c r="M50" s="1253"/>
      <c r="N50" s="1253"/>
      <c r="O50" s="1253"/>
    </row>
    <row r="51" spans="1:17" s="675" customFormat="1">
      <c r="A51" s="671" t="s">
        <v>2555</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2556</v>
      </c>
      <c r="B52" s="178" t="e">
        <f>ROUND($C$43*C52*D52,0)</f>
        <v>#DIV/0!</v>
      </c>
      <c r="C52" s="117">
        <f>IF($C$50="北京市系数",G52,H52)</f>
        <v>0</v>
      </c>
      <c r="D52" s="1288">
        <v>0.25</v>
      </c>
      <c r="E52" s="677">
        <v>0</v>
      </c>
      <c r="F52" s="674" t="e">
        <f t="shared" si="15"/>
        <v>#DIV/0!</v>
      </c>
      <c r="G52" s="968">
        <f>SUMIF(修正!$A$45:$A$56,项目基本情况!$F$9,修正!B45:B56)</f>
        <v>0</v>
      </c>
      <c r="H52" s="969"/>
      <c r="I52" s="1253"/>
      <c r="J52" s="1258"/>
      <c r="K52" s="1254"/>
      <c r="L52" s="1254"/>
      <c r="M52" s="1253"/>
      <c r="N52" s="1253"/>
      <c r="O52" s="1253"/>
    </row>
    <row r="53" spans="1:17" s="675" customFormat="1">
      <c r="A53" s="676" t="s">
        <v>2557</v>
      </c>
      <c r="B53" s="178" t="e">
        <f t="shared" ref="B53:B60" si="16">ROUND($C$43*C53*D53,0)</f>
        <v>#DIV/0!</v>
      </c>
      <c r="C53" s="117">
        <f t="shared" ref="C53:C60" si="17">IF($C$50="北京市系数",G53,H53)</f>
        <v>0</v>
      </c>
      <c r="D53" s="1288">
        <v>0.25</v>
      </c>
      <c r="E53" s="677">
        <v>0</v>
      </c>
      <c r="F53" s="674" t="e">
        <f t="shared" si="15"/>
        <v>#DIV/0!</v>
      </c>
      <c r="G53" s="968">
        <f>SUMIF(修正!$A$45:$A$56,项目基本情况!$F$9,修正!C45:C56)</f>
        <v>0</v>
      </c>
      <c r="H53" s="969"/>
      <c r="I53" s="1255"/>
      <c r="J53" s="1258"/>
      <c r="K53" s="1254"/>
      <c r="L53" s="1254"/>
      <c r="M53" s="1253"/>
      <c r="N53" s="1253"/>
      <c r="O53" s="1253"/>
    </row>
    <row r="54" spans="1:17" s="675" customFormat="1">
      <c r="A54" s="676" t="s">
        <v>2558</v>
      </c>
      <c r="B54" s="178" t="e">
        <f t="shared" si="16"/>
        <v>#DIV/0!</v>
      </c>
      <c r="C54" s="117">
        <f t="shared" si="17"/>
        <v>0</v>
      </c>
      <c r="D54" s="1288">
        <v>0.25</v>
      </c>
      <c r="E54" s="677">
        <v>0</v>
      </c>
      <c r="F54" s="674" t="e">
        <f t="shared" si="15"/>
        <v>#DIV/0!</v>
      </c>
      <c r="G54" s="968">
        <f>SUMIF(修正!$A$45:$A$56,项目基本情况!$F$9,修正!D45:D56)</f>
        <v>0</v>
      </c>
      <c r="H54" s="969"/>
      <c r="I54" s="1253"/>
      <c r="J54" s="1258"/>
      <c r="K54" s="1254"/>
      <c r="L54" s="1254"/>
      <c r="M54" s="1253"/>
      <c r="N54" s="1253"/>
      <c r="O54" s="1253"/>
    </row>
    <row r="55" spans="1:17" s="675" customFormat="1">
      <c r="A55" s="676" t="s">
        <v>2559</v>
      </c>
      <c r="B55" s="178" t="e">
        <f t="shared" si="16"/>
        <v>#DIV/0!</v>
      </c>
      <c r="C55" s="117">
        <f t="shared" si="17"/>
        <v>0</v>
      </c>
      <c r="D55" s="1288">
        <v>0.25</v>
      </c>
      <c r="E55" s="677">
        <v>0</v>
      </c>
      <c r="F55" s="674" t="e">
        <f t="shared" si="15"/>
        <v>#DIV/0!</v>
      </c>
      <c r="G55" s="968">
        <f>SUMIF(修正!$A$45:$A$56,项目基本情况!$F$9,修正!E45:E56)</f>
        <v>0</v>
      </c>
      <c r="H55" s="969"/>
      <c r="I55" s="1255"/>
      <c r="J55" s="1258"/>
      <c r="K55" s="1254"/>
      <c r="L55" s="1254"/>
      <c r="M55" s="1253"/>
      <c r="N55" s="1253"/>
      <c r="O55" s="1253"/>
    </row>
    <row r="56" spans="1:17" s="675" customFormat="1">
      <c r="A56" s="676" t="s">
        <v>2560</v>
      </c>
      <c r="B56" s="178" t="e">
        <f t="shared" si="16"/>
        <v>#DIV/0!</v>
      </c>
      <c r="C56" s="117">
        <f t="shared" si="17"/>
        <v>0</v>
      </c>
      <c r="D56" s="1288">
        <v>0.25</v>
      </c>
      <c r="E56" s="677">
        <v>0</v>
      </c>
      <c r="F56" s="674" t="e">
        <f t="shared" si="15"/>
        <v>#DIV/0!</v>
      </c>
      <c r="G56" s="968">
        <f>SUMIF(修正!A40:A51,项目基本情况!F9,修正!F45:F56)</f>
        <v>0</v>
      </c>
      <c r="H56" s="969"/>
      <c r="I56" s="1253"/>
      <c r="J56" s="1258"/>
      <c r="K56" s="1254"/>
      <c r="L56" s="1254"/>
      <c r="M56" s="1253"/>
      <c r="N56" s="1253"/>
      <c r="O56" s="1253"/>
    </row>
    <row r="57" spans="1:17" s="675" customFormat="1">
      <c r="A57" s="676" t="s">
        <v>2561</v>
      </c>
      <c r="B57" s="178" t="e">
        <f t="shared" si="16"/>
        <v>#DIV/0!</v>
      </c>
      <c r="C57" s="117">
        <f t="shared" si="17"/>
        <v>0</v>
      </c>
      <c r="D57" s="1288">
        <v>0.25</v>
      </c>
      <c r="E57" s="677">
        <v>0</v>
      </c>
      <c r="F57" s="674" t="e">
        <f t="shared" si="15"/>
        <v>#DIV/0!</v>
      </c>
      <c r="G57" s="968">
        <f>SUMIF(修正!A40:A51,项目基本情况!F9,修正!G45:G56)</f>
        <v>0</v>
      </c>
      <c r="H57" s="969"/>
      <c r="I57" s="1255"/>
      <c r="J57" s="1258"/>
      <c r="K57" s="1254"/>
      <c r="L57" s="1254"/>
      <c r="M57" s="1253"/>
      <c r="N57" s="1253"/>
      <c r="O57" s="1253"/>
    </row>
    <row r="58" spans="1:17" s="675" customFormat="1">
      <c r="A58" s="676" t="s">
        <v>2562</v>
      </c>
      <c r="B58" s="178" t="e">
        <f t="shared" si="16"/>
        <v>#DIV/0!</v>
      </c>
      <c r="C58" s="117">
        <f t="shared" si="17"/>
        <v>0</v>
      </c>
      <c r="D58" s="1288">
        <v>0.25</v>
      </c>
      <c r="E58" s="677">
        <v>0</v>
      </c>
      <c r="F58" s="674" t="e">
        <f t="shared" si="15"/>
        <v>#DIV/0!</v>
      </c>
      <c r="G58" s="968">
        <f>SUMIF(修正!A40:A51,项目基本情况!F9,修正!H45:H56)</f>
        <v>0</v>
      </c>
      <c r="H58" s="969"/>
      <c r="I58" s="1253"/>
      <c r="J58" s="1258"/>
      <c r="K58" s="1254"/>
      <c r="L58" s="1254"/>
      <c r="M58" s="1253"/>
      <c r="N58" s="1253"/>
      <c r="O58" s="1253"/>
    </row>
    <row r="59" spans="1:17" s="675" customFormat="1">
      <c r="A59" s="676" t="s">
        <v>2563</v>
      </c>
      <c r="B59" s="178" t="e">
        <f t="shared" si="16"/>
        <v>#DIV/0!</v>
      </c>
      <c r="C59" s="117">
        <f t="shared" si="17"/>
        <v>0</v>
      </c>
      <c r="D59" s="1288">
        <v>0.25</v>
      </c>
      <c r="E59" s="677">
        <v>0</v>
      </c>
      <c r="F59" s="674" t="e">
        <f t="shared" si="15"/>
        <v>#DIV/0!</v>
      </c>
      <c r="G59" s="968">
        <f>G58</f>
        <v>0</v>
      </c>
      <c r="H59" s="969"/>
      <c r="I59" s="1255"/>
      <c r="J59" s="1258"/>
      <c r="K59" s="1254"/>
      <c r="L59" s="1254"/>
      <c r="M59" s="1253"/>
      <c r="N59" s="1253"/>
      <c r="O59" s="1253"/>
    </row>
    <row r="60" spans="1:17" s="675" customFormat="1">
      <c r="A60" s="676" t="s">
        <v>2564</v>
      </c>
      <c r="B60" s="178" t="e">
        <f t="shared" si="16"/>
        <v>#DIV/0!</v>
      </c>
      <c r="C60" s="117">
        <f t="shared" si="17"/>
        <v>0</v>
      </c>
      <c r="D60" s="1288">
        <v>0.25</v>
      </c>
      <c r="E60" s="677">
        <v>0</v>
      </c>
      <c r="F60" s="674" t="e">
        <f t="shared" si="15"/>
        <v>#DIV/0!</v>
      </c>
      <c r="G60" s="968">
        <f>G58</f>
        <v>0</v>
      </c>
      <c r="H60" s="969"/>
      <c r="I60" s="1253"/>
      <c r="J60" s="1258"/>
      <c r="K60" s="1254"/>
      <c r="L60" s="1254"/>
      <c r="M60" s="1253"/>
      <c r="N60" s="1253"/>
      <c r="O60" s="1253"/>
    </row>
    <row r="61" spans="1:17" s="675" customFormat="1" ht="15" thickBot="1">
      <c r="A61" s="679" t="s">
        <v>2565</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2020-10-1</v>
      </c>
      <c r="D63" s="1666">
        <f>EDATE(C63,-3)</f>
        <v>44013</v>
      </c>
      <c r="E63" s="1666">
        <f t="shared" ref="E63:O63" si="18">EDATE(D63,-3)</f>
        <v>43922</v>
      </c>
      <c r="F63" s="1666">
        <f t="shared" si="18"/>
        <v>43831</v>
      </c>
      <c r="G63" s="1666">
        <f t="shared" si="18"/>
        <v>43739</v>
      </c>
      <c r="H63" s="1666">
        <f t="shared" si="18"/>
        <v>43647</v>
      </c>
      <c r="I63" s="1666">
        <f t="shared" si="18"/>
        <v>43556</v>
      </c>
      <c r="J63" s="1666">
        <f t="shared" si="18"/>
        <v>43466</v>
      </c>
      <c r="K63" s="1666">
        <f t="shared" si="18"/>
        <v>43374</v>
      </c>
      <c r="L63" s="1666">
        <f t="shared" si="18"/>
        <v>43282</v>
      </c>
      <c r="M63" s="1666">
        <f t="shared" si="18"/>
        <v>43191</v>
      </c>
      <c r="N63" s="1666">
        <f t="shared" si="18"/>
        <v>43101</v>
      </c>
      <c r="O63" s="1666">
        <f t="shared" si="18"/>
        <v>43009</v>
      </c>
    </row>
    <row r="64" spans="1:17" ht="21.75" thickBot="1">
      <c r="A64" s="742" t="s">
        <v>2461</v>
      </c>
      <c r="B64" s="738"/>
      <c r="C64" s="743"/>
      <c r="D64" s="743"/>
      <c r="E64" s="743"/>
      <c r="F64" s="744"/>
      <c r="G64" s="744"/>
      <c r="H64" s="743"/>
      <c r="I64" s="1269"/>
      <c r="J64" s="1269"/>
      <c r="K64" s="1267"/>
      <c r="L64" s="1268"/>
      <c r="M64" s="1269"/>
      <c r="N64" s="1269"/>
      <c r="O64" s="1269"/>
      <c r="P64" s="484"/>
      <c r="Q64" s="485"/>
    </row>
    <row r="65" spans="1:17" s="489" customFormat="1" ht="15">
      <c r="A65" s="2491" t="s">
        <v>2566</v>
      </c>
      <c r="B65" s="1452"/>
      <c r="C65" s="1667" t="str">
        <f>YEAR(C63)&amp;"-"&amp;ROUNDUP(MONTH(C63)/3,0)</f>
        <v>2020-4</v>
      </c>
      <c r="D65" s="1667" t="str">
        <f t="shared" ref="D65:O65" si="19">YEAR(D63)&amp;"-"&amp;ROUNDUP(MONTH(D63)/3,0)</f>
        <v>2020-3</v>
      </c>
      <c r="E65" s="1667" t="str">
        <f t="shared" si="19"/>
        <v>2020-2</v>
      </c>
      <c r="F65" s="1667" t="str">
        <f t="shared" si="19"/>
        <v>2020-1</v>
      </c>
      <c r="G65" s="1667" t="str">
        <f t="shared" si="19"/>
        <v>2019-4</v>
      </c>
      <c r="H65" s="1667" t="str">
        <f t="shared" si="19"/>
        <v>2019-3</v>
      </c>
      <c r="I65" s="1667" t="str">
        <f t="shared" si="19"/>
        <v>2019-2</v>
      </c>
      <c r="J65" s="1667" t="str">
        <f t="shared" si="19"/>
        <v>2019-1</v>
      </c>
      <c r="K65" s="1667" t="str">
        <f t="shared" si="19"/>
        <v>2018-4</v>
      </c>
      <c r="L65" s="1667" t="str">
        <f t="shared" si="19"/>
        <v>2018-3</v>
      </c>
      <c r="M65" s="1667" t="str">
        <f t="shared" si="19"/>
        <v>2018-2</v>
      </c>
      <c r="N65" s="1667" t="str">
        <f t="shared" si="19"/>
        <v>2018-1</v>
      </c>
      <c r="O65" s="1667" t="str">
        <f t="shared" si="19"/>
        <v>2017-4</v>
      </c>
      <c r="P65" s="488"/>
    </row>
    <row r="66" spans="1:17" s="35" customFormat="1" ht="33.75" customHeight="1">
      <c r="A66" s="2497" t="s">
        <v>2586</v>
      </c>
      <c r="B66" s="284" t="str">
        <f>"北京市平均增长率"&amp;TEXT(基准地价修正!P24,"0.00%")</f>
        <v>北京市平均增长率0.00%</v>
      </c>
      <c r="C66" s="587">
        <v>100</v>
      </c>
      <c r="D66" s="579"/>
      <c r="E66" s="579"/>
      <c r="F66" s="579"/>
      <c r="G66" s="579"/>
      <c r="H66" s="579"/>
      <c r="I66" s="579"/>
      <c r="J66" s="579"/>
      <c r="K66" s="579"/>
      <c r="L66" s="579"/>
      <c r="M66" s="1665"/>
      <c r="N66" s="579"/>
      <c r="O66" s="1671"/>
      <c r="P66" s="485"/>
    </row>
    <row r="67" spans="1:17" s="35" customFormat="1" ht="15.75" thickBot="1">
      <c r="A67" s="496" t="s">
        <v>2383</v>
      </c>
      <c r="B67" s="497"/>
      <c r="C67" s="498"/>
      <c r="D67" s="499"/>
      <c r="E67" s="499"/>
      <c r="F67" s="499"/>
      <c r="G67" s="499"/>
      <c r="H67" s="499"/>
      <c r="I67" s="499"/>
      <c r="J67" s="499"/>
      <c r="K67" s="499"/>
      <c r="L67" s="499"/>
      <c r="M67" s="500"/>
      <c r="N67" s="499"/>
      <c r="O67" s="1672"/>
      <c r="P67" s="485"/>
      <c r="Q67" s="485"/>
    </row>
    <row r="68" spans="1:17" s="35" customFormat="1" ht="15">
      <c r="A68" s="502" t="s">
        <v>2347</v>
      </c>
      <c r="B68" s="491"/>
      <c r="C68" s="503" t="s">
        <v>2348</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2386</v>
      </c>
      <c r="B70" s="509" t="s">
        <v>2351</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2354</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2356</v>
      </c>
      <c r="B83" s="509" t="s">
        <v>2494</v>
      </c>
      <c r="C83" s="557" t="s">
        <v>2395</v>
      </c>
      <c r="D83" s="557" t="s">
        <v>2396</v>
      </c>
      <c r="E83" s="557" t="s">
        <v>2397</v>
      </c>
      <c r="F83" s="557" t="s">
        <v>2398</v>
      </c>
      <c r="G83" s="557" t="s">
        <v>2399</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2400</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2569</v>
      </c>
      <c r="C87" s="557" t="s">
        <v>2395</v>
      </c>
      <c r="D87" s="557" t="s">
        <v>2396</v>
      </c>
      <c r="E87" s="557" t="s">
        <v>2397</v>
      </c>
      <c r="F87" s="557" t="s">
        <v>2398</v>
      </c>
      <c r="G87" s="557" t="s">
        <v>2399</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2570</v>
      </c>
      <c r="C89" s="557" t="s">
        <v>2395</v>
      </c>
      <c r="D89" s="557" t="s">
        <v>2396</v>
      </c>
      <c r="E89" s="557" t="s">
        <v>2397</v>
      </c>
      <c r="F89" s="557" t="s">
        <v>2398</v>
      </c>
      <c r="G89" s="557" t="s">
        <v>2399</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2443</v>
      </c>
      <c r="C91" s="557" t="s">
        <v>2395</v>
      </c>
      <c r="D91" s="557" t="s">
        <v>2396</v>
      </c>
      <c r="E91" s="557" t="s">
        <v>2397</v>
      </c>
      <c r="F91" s="557" t="s">
        <v>2398</v>
      </c>
      <c r="G91" s="557" t="s">
        <v>2399</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2444</v>
      </c>
      <c r="C93" s="522" t="s">
        <v>2402</v>
      </c>
      <c r="D93" s="522" t="s">
        <v>2403</v>
      </c>
      <c r="E93" s="522" t="s">
        <v>2404</v>
      </c>
      <c r="F93" s="522" t="s">
        <v>2405</v>
      </c>
      <c r="G93" s="522" t="s">
        <v>2406</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2571</v>
      </c>
      <c r="D95" s="522" t="s">
        <v>2572</v>
      </c>
      <c r="E95" s="522" t="s">
        <v>2573</v>
      </c>
      <c r="F95" s="522" t="s">
        <v>2574</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2473</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2540</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2361</v>
      </c>
      <c r="B107" s="509" t="s">
        <v>2575</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2576</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2578</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2579</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1"/>
  <sheetViews>
    <sheetView workbookViewId="0">
      <selection activeCell="E40" sqref="E40:E41"/>
    </sheetView>
  </sheetViews>
  <sheetFormatPr defaultColWidth="15.25" defaultRowHeight="12"/>
  <cols>
    <col min="1" max="1" width="3.875" style="2757" customWidth="1"/>
    <col min="2" max="2" width="18.625" style="2763" customWidth="1"/>
    <col min="3" max="3" width="13.5" style="2757" customWidth="1"/>
    <col min="4" max="4" width="7.125" style="2757" customWidth="1"/>
    <col min="5" max="5" width="13.5" style="2757" customWidth="1"/>
    <col min="6" max="6" width="7.125" style="2757" customWidth="1"/>
    <col min="7" max="7" width="13.5" style="2757" customWidth="1"/>
    <col min="8" max="8" width="7.125" style="2757" customWidth="1"/>
    <col min="9" max="9" width="13.5" style="2757" customWidth="1"/>
    <col min="10" max="10" width="7.125" style="2757" customWidth="1"/>
    <col min="11" max="11" width="2" style="2757" customWidth="1"/>
    <col min="12" max="12" width="5" style="2757" customWidth="1"/>
    <col min="13" max="13" width="19.5" style="2763" customWidth="1"/>
    <col min="14" max="14" width="6.125" style="2767" customWidth="1"/>
    <col min="15" max="15" width="6.125" style="2763" customWidth="1"/>
    <col min="16" max="16" width="6.125" style="2767" customWidth="1"/>
    <col min="17" max="17" width="6.125" style="2763" customWidth="1"/>
    <col min="18" max="18" width="6.125" style="2767" customWidth="1"/>
    <col min="19" max="19" width="6.125" style="2763" customWidth="1"/>
    <col min="20" max="20" width="2.25" style="2757" customWidth="1"/>
    <col min="21" max="21" width="4.125" style="2757" customWidth="1"/>
    <col min="22" max="22" width="19.125" style="2757" customWidth="1"/>
    <col min="23" max="25" width="11.875" style="2757" customWidth="1"/>
    <col min="26" max="254" width="9" style="2757" customWidth="1"/>
    <col min="255" max="255" width="4.75" style="2757" customWidth="1"/>
    <col min="256" max="256" width="15.25" style="2757"/>
    <col min="257" max="257" width="3.875" style="2757" customWidth="1"/>
    <col min="258" max="258" width="18.625" style="2757" customWidth="1"/>
    <col min="259" max="259" width="13.5" style="2757" customWidth="1"/>
    <col min="260" max="260" width="7.125" style="2757" customWidth="1"/>
    <col min="261" max="261" width="13.5" style="2757" customWidth="1"/>
    <col min="262" max="262" width="7.125" style="2757" customWidth="1"/>
    <col min="263" max="263" width="13.5" style="2757" customWidth="1"/>
    <col min="264" max="264" width="7.125" style="2757" customWidth="1"/>
    <col min="265" max="265" width="13.5" style="2757" customWidth="1"/>
    <col min="266" max="266" width="7.125" style="2757" customWidth="1"/>
    <col min="267" max="267" width="2" style="2757" customWidth="1"/>
    <col min="268" max="268" width="5" style="2757" customWidth="1"/>
    <col min="269" max="269" width="19.5" style="2757" customWidth="1"/>
    <col min="270" max="275" width="6.125" style="2757" customWidth="1"/>
    <col min="276" max="276" width="2.25" style="2757" customWidth="1"/>
    <col min="277" max="277" width="4.125" style="2757" customWidth="1"/>
    <col min="278" max="278" width="19.125" style="2757" customWidth="1"/>
    <col min="279" max="281" width="11.875" style="2757" customWidth="1"/>
    <col min="282" max="510" width="9" style="2757" customWidth="1"/>
    <col min="511" max="511" width="4.75" style="2757" customWidth="1"/>
    <col min="512" max="512" width="15.25" style="2757"/>
    <col min="513" max="513" width="3.875" style="2757" customWidth="1"/>
    <col min="514" max="514" width="18.625" style="2757" customWidth="1"/>
    <col min="515" max="515" width="13.5" style="2757" customWidth="1"/>
    <col min="516" max="516" width="7.125" style="2757" customWidth="1"/>
    <col min="517" max="517" width="13.5" style="2757" customWidth="1"/>
    <col min="518" max="518" width="7.125" style="2757" customWidth="1"/>
    <col min="519" max="519" width="13.5" style="2757" customWidth="1"/>
    <col min="520" max="520" width="7.125" style="2757" customWidth="1"/>
    <col min="521" max="521" width="13.5" style="2757" customWidth="1"/>
    <col min="522" max="522" width="7.125" style="2757" customWidth="1"/>
    <col min="523" max="523" width="2" style="2757" customWidth="1"/>
    <col min="524" max="524" width="5" style="2757" customWidth="1"/>
    <col min="525" max="525" width="19.5" style="2757" customWidth="1"/>
    <col min="526" max="531" width="6.125" style="2757" customWidth="1"/>
    <col min="532" max="532" width="2.25" style="2757" customWidth="1"/>
    <col min="533" max="533" width="4.125" style="2757" customWidth="1"/>
    <col min="534" max="534" width="19.125" style="2757" customWidth="1"/>
    <col min="535" max="537" width="11.875" style="2757" customWidth="1"/>
    <col min="538" max="766" width="9" style="2757" customWidth="1"/>
    <col min="767" max="767" width="4.75" style="2757" customWidth="1"/>
    <col min="768" max="768" width="15.25" style="2757"/>
    <col min="769" max="769" width="3.875" style="2757" customWidth="1"/>
    <col min="770" max="770" width="18.625" style="2757" customWidth="1"/>
    <col min="771" max="771" width="13.5" style="2757" customWidth="1"/>
    <col min="772" max="772" width="7.125" style="2757" customWidth="1"/>
    <col min="773" max="773" width="13.5" style="2757" customWidth="1"/>
    <col min="774" max="774" width="7.125" style="2757" customWidth="1"/>
    <col min="775" max="775" width="13.5" style="2757" customWidth="1"/>
    <col min="776" max="776" width="7.125" style="2757" customWidth="1"/>
    <col min="777" max="777" width="13.5" style="2757" customWidth="1"/>
    <col min="778" max="778" width="7.125" style="2757" customWidth="1"/>
    <col min="779" max="779" width="2" style="2757" customWidth="1"/>
    <col min="780" max="780" width="5" style="2757" customWidth="1"/>
    <col min="781" max="781" width="19.5" style="2757" customWidth="1"/>
    <col min="782" max="787" width="6.125" style="2757" customWidth="1"/>
    <col min="788" max="788" width="2.25" style="2757" customWidth="1"/>
    <col min="789" max="789" width="4.125" style="2757" customWidth="1"/>
    <col min="790" max="790" width="19.125" style="2757" customWidth="1"/>
    <col min="791" max="793" width="11.875" style="2757" customWidth="1"/>
    <col min="794" max="1022" width="9" style="2757" customWidth="1"/>
    <col min="1023" max="1023" width="4.75" style="2757" customWidth="1"/>
    <col min="1024" max="1024" width="15.25" style="2757"/>
    <col min="1025" max="1025" width="3.875" style="2757" customWidth="1"/>
    <col min="1026" max="1026" width="18.625" style="2757" customWidth="1"/>
    <col min="1027" max="1027" width="13.5" style="2757" customWidth="1"/>
    <col min="1028" max="1028" width="7.125" style="2757" customWidth="1"/>
    <col min="1029" max="1029" width="13.5" style="2757" customWidth="1"/>
    <col min="1030" max="1030" width="7.125" style="2757" customWidth="1"/>
    <col min="1031" max="1031" width="13.5" style="2757" customWidth="1"/>
    <col min="1032" max="1032" width="7.125" style="2757" customWidth="1"/>
    <col min="1033" max="1033" width="13.5" style="2757" customWidth="1"/>
    <col min="1034" max="1034" width="7.125" style="2757" customWidth="1"/>
    <col min="1035" max="1035" width="2" style="2757" customWidth="1"/>
    <col min="1036" max="1036" width="5" style="2757" customWidth="1"/>
    <col min="1037" max="1037" width="19.5" style="2757" customWidth="1"/>
    <col min="1038" max="1043" width="6.125" style="2757" customWidth="1"/>
    <col min="1044" max="1044" width="2.25" style="2757" customWidth="1"/>
    <col min="1045" max="1045" width="4.125" style="2757" customWidth="1"/>
    <col min="1046" max="1046" width="19.125" style="2757" customWidth="1"/>
    <col min="1047" max="1049" width="11.875" style="2757" customWidth="1"/>
    <col min="1050" max="1278" width="9" style="2757" customWidth="1"/>
    <col min="1279" max="1279" width="4.75" style="2757" customWidth="1"/>
    <col min="1280" max="1280" width="15.25" style="2757"/>
    <col min="1281" max="1281" width="3.875" style="2757" customWidth="1"/>
    <col min="1282" max="1282" width="18.625" style="2757" customWidth="1"/>
    <col min="1283" max="1283" width="13.5" style="2757" customWidth="1"/>
    <col min="1284" max="1284" width="7.125" style="2757" customWidth="1"/>
    <col min="1285" max="1285" width="13.5" style="2757" customWidth="1"/>
    <col min="1286" max="1286" width="7.125" style="2757" customWidth="1"/>
    <col min="1287" max="1287" width="13.5" style="2757" customWidth="1"/>
    <col min="1288" max="1288" width="7.125" style="2757" customWidth="1"/>
    <col min="1289" max="1289" width="13.5" style="2757" customWidth="1"/>
    <col min="1290" max="1290" width="7.125" style="2757" customWidth="1"/>
    <col min="1291" max="1291" width="2" style="2757" customWidth="1"/>
    <col min="1292" max="1292" width="5" style="2757" customWidth="1"/>
    <col min="1293" max="1293" width="19.5" style="2757" customWidth="1"/>
    <col min="1294" max="1299" width="6.125" style="2757" customWidth="1"/>
    <col min="1300" max="1300" width="2.25" style="2757" customWidth="1"/>
    <col min="1301" max="1301" width="4.125" style="2757" customWidth="1"/>
    <col min="1302" max="1302" width="19.125" style="2757" customWidth="1"/>
    <col min="1303" max="1305" width="11.875" style="2757" customWidth="1"/>
    <col min="1306" max="1534" width="9" style="2757" customWidth="1"/>
    <col min="1535" max="1535" width="4.75" style="2757" customWidth="1"/>
    <col min="1536" max="1536" width="15.25" style="2757"/>
    <col min="1537" max="1537" width="3.875" style="2757" customWidth="1"/>
    <col min="1538" max="1538" width="18.625" style="2757" customWidth="1"/>
    <col min="1539" max="1539" width="13.5" style="2757" customWidth="1"/>
    <col min="1540" max="1540" width="7.125" style="2757" customWidth="1"/>
    <col min="1541" max="1541" width="13.5" style="2757" customWidth="1"/>
    <col min="1542" max="1542" width="7.125" style="2757" customWidth="1"/>
    <col min="1543" max="1543" width="13.5" style="2757" customWidth="1"/>
    <col min="1544" max="1544" width="7.125" style="2757" customWidth="1"/>
    <col min="1545" max="1545" width="13.5" style="2757" customWidth="1"/>
    <col min="1546" max="1546" width="7.125" style="2757" customWidth="1"/>
    <col min="1547" max="1547" width="2" style="2757" customWidth="1"/>
    <col min="1548" max="1548" width="5" style="2757" customWidth="1"/>
    <col min="1549" max="1549" width="19.5" style="2757" customWidth="1"/>
    <col min="1550" max="1555" width="6.125" style="2757" customWidth="1"/>
    <col min="1556" max="1556" width="2.25" style="2757" customWidth="1"/>
    <col min="1557" max="1557" width="4.125" style="2757" customWidth="1"/>
    <col min="1558" max="1558" width="19.125" style="2757" customWidth="1"/>
    <col min="1559" max="1561" width="11.875" style="2757" customWidth="1"/>
    <col min="1562" max="1790" width="9" style="2757" customWidth="1"/>
    <col min="1791" max="1791" width="4.75" style="2757" customWidth="1"/>
    <col min="1792" max="1792" width="15.25" style="2757"/>
    <col min="1793" max="1793" width="3.875" style="2757" customWidth="1"/>
    <col min="1794" max="1794" width="18.625" style="2757" customWidth="1"/>
    <col min="1795" max="1795" width="13.5" style="2757" customWidth="1"/>
    <col min="1796" max="1796" width="7.125" style="2757" customWidth="1"/>
    <col min="1797" max="1797" width="13.5" style="2757" customWidth="1"/>
    <col min="1798" max="1798" width="7.125" style="2757" customWidth="1"/>
    <col min="1799" max="1799" width="13.5" style="2757" customWidth="1"/>
    <col min="1800" max="1800" width="7.125" style="2757" customWidth="1"/>
    <col min="1801" max="1801" width="13.5" style="2757" customWidth="1"/>
    <col min="1802" max="1802" width="7.125" style="2757" customWidth="1"/>
    <col min="1803" max="1803" width="2" style="2757" customWidth="1"/>
    <col min="1804" max="1804" width="5" style="2757" customWidth="1"/>
    <col min="1805" max="1805" width="19.5" style="2757" customWidth="1"/>
    <col min="1806" max="1811" width="6.125" style="2757" customWidth="1"/>
    <col min="1812" max="1812" width="2.25" style="2757" customWidth="1"/>
    <col min="1813" max="1813" width="4.125" style="2757" customWidth="1"/>
    <col min="1814" max="1814" width="19.125" style="2757" customWidth="1"/>
    <col min="1815" max="1817" width="11.875" style="2757" customWidth="1"/>
    <col min="1818" max="2046" width="9" style="2757" customWidth="1"/>
    <col min="2047" max="2047" width="4.75" style="2757" customWidth="1"/>
    <col min="2048" max="2048" width="15.25" style="2757"/>
    <col min="2049" max="2049" width="3.875" style="2757" customWidth="1"/>
    <col min="2050" max="2050" width="18.625" style="2757" customWidth="1"/>
    <col min="2051" max="2051" width="13.5" style="2757" customWidth="1"/>
    <col min="2052" max="2052" width="7.125" style="2757" customWidth="1"/>
    <col min="2053" max="2053" width="13.5" style="2757" customWidth="1"/>
    <col min="2054" max="2054" width="7.125" style="2757" customWidth="1"/>
    <col min="2055" max="2055" width="13.5" style="2757" customWidth="1"/>
    <col min="2056" max="2056" width="7.125" style="2757" customWidth="1"/>
    <col min="2057" max="2057" width="13.5" style="2757" customWidth="1"/>
    <col min="2058" max="2058" width="7.125" style="2757" customWidth="1"/>
    <col min="2059" max="2059" width="2" style="2757" customWidth="1"/>
    <col min="2060" max="2060" width="5" style="2757" customWidth="1"/>
    <col min="2061" max="2061" width="19.5" style="2757" customWidth="1"/>
    <col min="2062" max="2067" width="6.125" style="2757" customWidth="1"/>
    <col min="2068" max="2068" width="2.25" style="2757" customWidth="1"/>
    <col min="2069" max="2069" width="4.125" style="2757" customWidth="1"/>
    <col min="2070" max="2070" width="19.125" style="2757" customWidth="1"/>
    <col min="2071" max="2073" width="11.875" style="2757" customWidth="1"/>
    <col min="2074" max="2302" width="9" style="2757" customWidth="1"/>
    <col min="2303" max="2303" width="4.75" style="2757" customWidth="1"/>
    <col min="2304" max="2304" width="15.25" style="2757"/>
    <col min="2305" max="2305" width="3.875" style="2757" customWidth="1"/>
    <col min="2306" max="2306" width="18.625" style="2757" customWidth="1"/>
    <col min="2307" max="2307" width="13.5" style="2757" customWidth="1"/>
    <col min="2308" max="2308" width="7.125" style="2757" customWidth="1"/>
    <col min="2309" max="2309" width="13.5" style="2757" customWidth="1"/>
    <col min="2310" max="2310" width="7.125" style="2757" customWidth="1"/>
    <col min="2311" max="2311" width="13.5" style="2757" customWidth="1"/>
    <col min="2312" max="2312" width="7.125" style="2757" customWidth="1"/>
    <col min="2313" max="2313" width="13.5" style="2757" customWidth="1"/>
    <col min="2314" max="2314" width="7.125" style="2757" customWidth="1"/>
    <col min="2315" max="2315" width="2" style="2757" customWidth="1"/>
    <col min="2316" max="2316" width="5" style="2757" customWidth="1"/>
    <col min="2317" max="2317" width="19.5" style="2757" customWidth="1"/>
    <col min="2318" max="2323" width="6.125" style="2757" customWidth="1"/>
    <col min="2324" max="2324" width="2.25" style="2757" customWidth="1"/>
    <col min="2325" max="2325" width="4.125" style="2757" customWidth="1"/>
    <col min="2326" max="2326" width="19.125" style="2757" customWidth="1"/>
    <col min="2327" max="2329" width="11.875" style="2757" customWidth="1"/>
    <col min="2330" max="2558" width="9" style="2757" customWidth="1"/>
    <col min="2559" max="2559" width="4.75" style="2757" customWidth="1"/>
    <col min="2560" max="2560" width="15.25" style="2757"/>
    <col min="2561" max="2561" width="3.875" style="2757" customWidth="1"/>
    <col min="2562" max="2562" width="18.625" style="2757" customWidth="1"/>
    <col min="2563" max="2563" width="13.5" style="2757" customWidth="1"/>
    <col min="2564" max="2564" width="7.125" style="2757" customWidth="1"/>
    <col min="2565" max="2565" width="13.5" style="2757" customWidth="1"/>
    <col min="2566" max="2566" width="7.125" style="2757" customWidth="1"/>
    <col min="2567" max="2567" width="13.5" style="2757" customWidth="1"/>
    <col min="2568" max="2568" width="7.125" style="2757" customWidth="1"/>
    <col min="2569" max="2569" width="13.5" style="2757" customWidth="1"/>
    <col min="2570" max="2570" width="7.125" style="2757" customWidth="1"/>
    <col min="2571" max="2571" width="2" style="2757" customWidth="1"/>
    <col min="2572" max="2572" width="5" style="2757" customWidth="1"/>
    <col min="2573" max="2573" width="19.5" style="2757" customWidth="1"/>
    <col min="2574" max="2579" width="6.125" style="2757" customWidth="1"/>
    <col min="2580" max="2580" width="2.25" style="2757" customWidth="1"/>
    <col min="2581" max="2581" width="4.125" style="2757" customWidth="1"/>
    <col min="2582" max="2582" width="19.125" style="2757" customWidth="1"/>
    <col min="2583" max="2585" width="11.875" style="2757" customWidth="1"/>
    <col min="2586" max="2814" width="9" style="2757" customWidth="1"/>
    <col min="2815" max="2815" width="4.75" style="2757" customWidth="1"/>
    <col min="2816" max="2816" width="15.25" style="2757"/>
    <col min="2817" max="2817" width="3.875" style="2757" customWidth="1"/>
    <col min="2818" max="2818" width="18.625" style="2757" customWidth="1"/>
    <col min="2819" max="2819" width="13.5" style="2757" customWidth="1"/>
    <col min="2820" max="2820" width="7.125" style="2757" customWidth="1"/>
    <col min="2821" max="2821" width="13.5" style="2757" customWidth="1"/>
    <col min="2822" max="2822" width="7.125" style="2757" customWidth="1"/>
    <col min="2823" max="2823" width="13.5" style="2757" customWidth="1"/>
    <col min="2824" max="2824" width="7.125" style="2757" customWidth="1"/>
    <col min="2825" max="2825" width="13.5" style="2757" customWidth="1"/>
    <col min="2826" max="2826" width="7.125" style="2757" customWidth="1"/>
    <col min="2827" max="2827" width="2" style="2757" customWidth="1"/>
    <col min="2828" max="2828" width="5" style="2757" customWidth="1"/>
    <col min="2829" max="2829" width="19.5" style="2757" customWidth="1"/>
    <col min="2830" max="2835" width="6.125" style="2757" customWidth="1"/>
    <col min="2836" max="2836" width="2.25" style="2757" customWidth="1"/>
    <col min="2837" max="2837" width="4.125" style="2757" customWidth="1"/>
    <col min="2838" max="2838" width="19.125" style="2757" customWidth="1"/>
    <col min="2839" max="2841" width="11.875" style="2757" customWidth="1"/>
    <col min="2842" max="3070" width="9" style="2757" customWidth="1"/>
    <col min="3071" max="3071" width="4.75" style="2757" customWidth="1"/>
    <col min="3072" max="3072" width="15.25" style="2757"/>
    <col min="3073" max="3073" width="3.875" style="2757" customWidth="1"/>
    <col min="3074" max="3074" width="18.625" style="2757" customWidth="1"/>
    <col min="3075" max="3075" width="13.5" style="2757" customWidth="1"/>
    <col min="3076" max="3076" width="7.125" style="2757" customWidth="1"/>
    <col min="3077" max="3077" width="13.5" style="2757" customWidth="1"/>
    <col min="3078" max="3078" width="7.125" style="2757" customWidth="1"/>
    <col min="3079" max="3079" width="13.5" style="2757" customWidth="1"/>
    <col min="3080" max="3080" width="7.125" style="2757" customWidth="1"/>
    <col min="3081" max="3081" width="13.5" style="2757" customWidth="1"/>
    <col min="3082" max="3082" width="7.125" style="2757" customWidth="1"/>
    <col min="3083" max="3083" width="2" style="2757" customWidth="1"/>
    <col min="3084" max="3084" width="5" style="2757" customWidth="1"/>
    <col min="3085" max="3085" width="19.5" style="2757" customWidth="1"/>
    <col min="3086" max="3091" width="6.125" style="2757" customWidth="1"/>
    <col min="3092" max="3092" width="2.25" style="2757" customWidth="1"/>
    <col min="3093" max="3093" width="4.125" style="2757" customWidth="1"/>
    <col min="3094" max="3094" width="19.125" style="2757" customWidth="1"/>
    <col min="3095" max="3097" width="11.875" style="2757" customWidth="1"/>
    <col min="3098" max="3326" width="9" style="2757" customWidth="1"/>
    <col min="3327" max="3327" width="4.75" style="2757" customWidth="1"/>
    <col min="3328" max="3328" width="15.25" style="2757"/>
    <col min="3329" max="3329" width="3.875" style="2757" customWidth="1"/>
    <col min="3330" max="3330" width="18.625" style="2757" customWidth="1"/>
    <col min="3331" max="3331" width="13.5" style="2757" customWidth="1"/>
    <col min="3332" max="3332" width="7.125" style="2757" customWidth="1"/>
    <col min="3333" max="3333" width="13.5" style="2757" customWidth="1"/>
    <col min="3334" max="3334" width="7.125" style="2757" customWidth="1"/>
    <col min="3335" max="3335" width="13.5" style="2757" customWidth="1"/>
    <col min="3336" max="3336" width="7.125" style="2757" customWidth="1"/>
    <col min="3337" max="3337" width="13.5" style="2757" customWidth="1"/>
    <col min="3338" max="3338" width="7.125" style="2757" customWidth="1"/>
    <col min="3339" max="3339" width="2" style="2757" customWidth="1"/>
    <col min="3340" max="3340" width="5" style="2757" customWidth="1"/>
    <col min="3341" max="3341" width="19.5" style="2757" customWidth="1"/>
    <col min="3342" max="3347" width="6.125" style="2757" customWidth="1"/>
    <col min="3348" max="3348" width="2.25" style="2757" customWidth="1"/>
    <col min="3349" max="3349" width="4.125" style="2757" customWidth="1"/>
    <col min="3350" max="3350" width="19.125" style="2757" customWidth="1"/>
    <col min="3351" max="3353" width="11.875" style="2757" customWidth="1"/>
    <col min="3354" max="3582" width="9" style="2757" customWidth="1"/>
    <col min="3583" max="3583" width="4.75" style="2757" customWidth="1"/>
    <col min="3584" max="3584" width="15.25" style="2757"/>
    <col min="3585" max="3585" width="3.875" style="2757" customWidth="1"/>
    <col min="3586" max="3586" width="18.625" style="2757" customWidth="1"/>
    <col min="3587" max="3587" width="13.5" style="2757" customWidth="1"/>
    <col min="3588" max="3588" width="7.125" style="2757" customWidth="1"/>
    <col min="3589" max="3589" width="13.5" style="2757" customWidth="1"/>
    <col min="3590" max="3590" width="7.125" style="2757" customWidth="1"/>
    <col min="3591" max="3591" width="13.5" style="2757" customWidth="1"/>
    <col min="3592" max="3592" width="7.125" style="2757" customWidth="1"/>
    <col min="3593" max="3593" width="13.5" style="2757" customWidth="1"/>
    <col min="3594" max="3594" width="7.125" style="2757" customWidth="1"/>
    <col min="3595" max="3595" width="2" style="2757" customWidth="1"/>
    <col min="3596" max="3596" width="5" style="2757" customWidth="1"/>
    <col min="3597" max="3597" width="19.5" style="2757" customWidth="1"/>
    <col min="3598" max="3603" width="6.125" style="2757" customWidth="1"/>
    <col min="3604" max="3604" width="2.25" style="2757" customWidth="1"/>
    <col min="3605" max="3605" width="4.125" style="2757" customWidth="1"/>
    <col min="3606" max="3606" width="19.125" style="2757" customWidth="1"/>
    <col min="3607" max="3609" width="11.875" style="2757" customWidth="1"/>
    <col min="3610" max="3838" width="9" style="2757" customWidth="1"/>
    <col min="3839" max="3839" width="4.75" style="2757" customWidth="1"/>
    <col min="3840" max="3840" width="15.25" style="2757"/>
    <col min="3841" max="3841" width="3.875" style="2757" customWidth="1"/>
    <col min="3842" max="3842" width="18.625" style="2757" customWidth="1"/>
    <col min="3843" max="3843" width="13.5" style="2757" customWidth="1"/>
    <col min="3844" max="3844" width="7.125" style="2757" customWidth="1"/>
    <col min="3845" max="3845" width="13.5" style="2757" customWidth="1"/>
    <col min="3846" max="3846" width="7.125" style="2757" customWidth="1"/>
    <col min="3847" max="3847" width="13.5" style="2757" customWidth="1"/>
    <col min="3848" max="3848" width="7.125" style="2757" customWidth="1"/>
    <col min="3849" max="3849" width="13.5" style="2757" customWidth="1"/>
    <col min="3850" max="3850" width="7.125" style="2757" customWidth="1"/>
    <col min="3851" max="3851" width="2" style="2757" customWidth="1"/>
    <col min="3852" max="3852" width="5" style="2757" customWidth="1"/>
    <col min="3853" max="3853" width="19.5" style="2757" customWidth="1"/>
    <col min="3854" max="3859" width="6.125" style="2757" customWidth="1"/>
    <col min="3860" max="3860" width="2.25" style="2757" customWidth="1"/>
    <col min="3861" max="3861" width="4.125" style="2757" customWidth="1"/>
    <col min="3862" max="3862" width="19.125" style="2757" customWidth="1"/>
    <col min="3863" max="3865" width="11.875" style="2757" customWidth="1"/>
    <col min="3866" max="4094" width="9" style="2757" customWidth="1"/>
    <col min="4095" max="4095" width="4.75" style="2757" customWidth="1"/>
    <col min="4096" max="4096" width="15.25" style="2757"/>
    <col min="4097" max="4097" width="3.875" style="2757" customWidth="1"/>
    <col min="4098" max="4098" width="18.625" style="2757" customWidth="1"/>
    <col min="4099" max="4099" width="13.5" style="2757" customWidth="1"/>
    <col min="4100" max="4100" width="7.125" style="2757" customWidth="1"/>
    <col min="4101" max="4101" width="13.5" style="2757" customWidth="1"/>
    <col min="4102" max="4102" width="7.125" style="2757" customWidth="1"/>
    <col min="4103" max="4103" width="13.5" style="2757" customWidth="1"/>
    <col min="4104" max="4104" width="7.125" style="2757" customWidth="1"/>
    <col min="4105" max="4105" width="13.5" style="2757" customWidth="1"/>
    <col min="4106" max="4106" width="7.125" style="2757" customWidth="1"/>
    <col min="4107" max="4107" width="2" style="2757" customWidth="1"/>
    <col min="4108" max="4108" width="5" style="2757" customWidth="1"/>
    <col min="4109" max="4109" width="19.5" style="2757" customWidth="1"/>
    <col min="4110" max="4115" width="6.125" style="2757" customWidth="1"/>
    <col min="4116" max="4116" width="2.25" style="2757" customWidth="1"/>
    <col min="4117" max="4117" width="4.125" style="2757" customWidth="1"/>
    <col min="4118" max="4118" width="19.125" style="2757" customWidth="1"/>
    <col min="4119" max="4121" width="11.875" style="2757" customWidth="1"/>
    <col min="4122" max="4350" width="9" style="2757" customWidth="1"/>
    <col min="4351" max="4351" width="4.75" style="2757" customWidth="1"/>
    <col min="4352" max="4352" width="15.25" style="2757"/>
    <col min="4353" max="4353" width="3.875" style="2757" customWidth="1"/>
    <col min="4354" max="4354" width="18.625" style="2757" customWidth="1"/>
    <col min="4355" max="4355" width="13.5" style="2757" customWidth="1"/>
    <col min="4356" max="4356" width="7.125" style="2757" customWidth="1"/>
    <col min="4357" max="4357" width="13.5" style="2757" customWidth="1"/>
    <col min="4358" max="4358" width="7.125" style="2757" customWidth="1"/>
    <col min="4359" max="4359" width="13.5" style="2757" customWidth="1"/>
    <col min="4360" max="4360" width="7.125" style="2757" customWidth="1"/>
    <col min="4361" max="4361" width="13.5" style="2757" customWidth="1"/>
    <col min="4362" max="4362" width="7.125" style="2757" customWidth="1"/>
    <col min="4363" max="4363" width="2" style="2757" customWidth="1"/>
    <col min="4364" max="4364" width="5" style="2757" customWidth="1"/>
    <col min="4365" max="4365" width="19.5" style="2757" customWidth="1"/>
    <col min="4366" max="4371" width="6.125" style="2757" customWidth="1"/>
    <col min="4372" max="4372" width="2.25" style="2757" customWidth="1"/>
    <col min="4373" max="4373" width="4.125" style="2757" customWidth="1"/>
    <col min="4374" max="4374" width="19.125" style="2757" customWidth="1"/>
    <col min="4375" max="4377" width="11.875" style="2757" customWidth="1"/>
    <col min="4378" max="4606" width="9" style="2757" customWidth="1"/>
    <col min="4607" max="4607" width="4.75" style="2757" customWidth="1"/>
    <col min="4608" max="4608" width="15.25" style="2757"/>
    <col min="4609" max="4609" width="3.875" style="2757" customWidth="1"/>
    <col min="4610" max="4610" width="18.625" style="2757" customWidth="1"/>
    <col min="4611" max="4611" width="13.5" style="2757" customWidth="1"/>
    <col min="4612" max="4612" width="7.125" style="2757" customWidth="1"/>
    <col min="4613" max="4613" width="13.5" style="2757" customWidth="1"/>
    <col min="4614" max="4614" width="7.125" style="2757" customWidth="1"/>
    <col min="4615" max="4615" width="13.5" style="2757" customWidth="1"/>
    <col min="4616" max="4616" width="7.125" style="2757" customWidth="1"/>
    <col min="4617" max="4617" width="13.5" style="2757" customWidth="1"/>
    <col min="4618" max="4618" width="7.125" style="2757" customWidth="1"/>
    <col min="4619" max="4619" width="2" style="2757" customWidth="1"/>
    <col min="4620" max="4620" width="5" style="2757" customWidth="1"/>
    <col min="4621" max="4621" width="19.5" style="2757" customWidth="1"/>
    <col min="4622" max="4627" width="6.125" style="2757" customWidth="1"/>
    <col min="4628" max="4628" width="2.25" style="2757" customWidth="1"/>
    <col min="4629" max="4629" width="4.125" style="2757" customWidth="1"/>
    <col min="4630" max="4630" width="19.125" style="2757" customWidth="1"/>
    <col min="4631" max="4633" width="11.875" style="2757" customWidth="1"/>
    <col min="4634" max="4862" width="9" style="2757" customWidth="1"/>
    <col min="4863" max="4863" width="4.75" style="2757" customWidth="1"/>
    <col min="4864" max="4864" width="15.25" style="2757"/>
    <col min="4865" max="4865" width="3.875" style="2757" customWidth="1"/>
    <col min="4866" max="4866" width="18.625" style="2757" customWidth="1"/>
    <col min="4867" max="4867" width="13.5" style="2757" customWidth="1"/>
    <col min="4868" max="4868" width="7.125" style="2757" customWidth="1"/>
    <col min="4869" max="4869" width="13.5" style="2757" customWidth="1"/>
    <col min="4870" max="4870" width="7.125" style="2757" customWidth="1"/>
    <col min="4871" max="4871" width="13.5" style="2757" customWidth="1"/>
    <col min="4872" max="4872" width="7.125" style="2757" customWidth="1"/>
    <col min="4873" max="4873" width="13.5" style="2757" customWidth="1"/>
    <col min="4874" max="4874" width="7.125" style="2757" customWidth="1"/>
    <col min="4875" max="4875" width="2" style="2757" customWidth="1"/>
    <col min="4876" max="4876" width="5" style="2757" customWidth="1"/>
    <col min="4877" max="4877" width="19.5" style="2757" customWidth="1"/>
    <col min="4878" max="4883" width="6.125" style="2757" customWidth="1"/>
    <col min="4884" max="4884" width="2.25" style="2757" customWidth="1"/>
    <col min="4885" max="4885" width="4.125" style="2757" customWidth="1"/>
    <col min="4886" max="4886" width="19.125" style="2757" customWidth="1"/>
    <col min="4887" max="4889" width="11.875" style="2757" customWidth="1"/>
    <col min="4890" max="5118" width="9" style="2757" customWidth="1"/>
    <col min="5119" max="5119" width="4.75" style="2757" customWidth="1"/>
    <col min="5120" max="5120" width="15.25" style="2757"/>
    <col min="5121" max="5121" width="3.875" style="2757" customWidth="1"/>
    <col min="5122" max="5122" width="18.625" style="2757" customWidth="1"/>
    <col min="5123" max="5123" width="13.5" style="2757" customWidth="1"/>
    <col min="5124" max="5124" width="7.125" style="2757" customWidth="1"/>
    <col min="5125" max="5125" width="13.5" style="2757" customWidth="1"/>
    <col min="5126" max="5126" width="7.125" style="2757" customWidth="1"/>
    <col min="5127" max="5127" width="13.5" style="2757" customWidth="1"/>
    <col min="5128" max="5128" width="7.125" style="2757" customWidth="1"/>
    <col min="5129" max="5129" width="13.5" style="2757" customWidth="1"/>
    <col min="5130" max="5130" width="7.125" style="2757" customWidth="1"/>
    <col min="5131" max="5131" width="2" style="2757" customWidth="1"/>
    <col min="5132" max="5132" width="5" style="2757" customWidth="1"/>
    <col min="5133" max="5133" width="19.5" style="2757" customWidth="1"/>
    <col min="5134" max="5139" width="6.125" style="2757" customWidth="1"/>
    <col min="5140" max="5140" width="2.25" style="2757" customWidth="1"/>
    <col min="5141" max="5141" width="4.125" style="2757" customWidth="1"/>
    <col min="5142" max="5142" width="19.125" style="2757" customWidth="1"/>
    <col min="5143" max="5145" width="11.875" style="2757" customWidth="1"/>
    <col min="5146" max="5374" width="9" style="2757" customWidth="1"/>
    <col min="5375" max="5375" width="4.75" style="2757" customWidth="1"/>
    <col min="5376" max="5376" width="15.25" style="2757"/>
    <col min="5377" max="5377" width="3.875" style="2757" customWidth="1"/>
    <col min="5378" max="5378" width="18.625" style="2757" customWidth="1"/>
    <col min="5379" max="5379" width="13.5" style="2757" customWidth="1"/>
    <col min="5380" max="5380" width="7.125" style="2757" customWidth="1"/>
    <col min="5381" max="5381" width="13.5" style="2757" customWidth="1"/>
    <col min="5382" max="5382" width="7.125" style="2757" customWidth="1"/>
    <col min="5383" max="5383" width="13.5" style="2757" customWidth="1"/>
    <col min="5384" max="5384" width="7.125" style="2757" customWidth="1"/>
    <col min="5385" max="5385" width="13.5" style="2757" customWidth="1"/>
    <col min="5386" max="5386" width="7.125" style="2757" customWidth="1"/>
    <col min="5387" max="5387" width="2" style="2757" customWidth="1"/>
    <col min="5388" max="5388" width="5" style="2757" customWidth="1"/>
    <col min="5389" max="5389" width="19.5" style="2757" customWidth="1"/>
    <col min="5390" max="5395" width="6.125" style="2757" customWidth="1"/>
    <col min="5396" max="5396" width="2.25" style="2757" customWidth="1"/>
    <col min="5397" max="5397" width="4.125" style="2757" customWidth="1"/>
    <col min="5398" max="5398" width="19.125" style="2757" customWidth="1"/>
    <col min="5399" max="5401" width="11.875" style="2757" customWidth="1"/>
    <col min="5402" max="5630" width="9" style="2757" customWidth="1"/>
    <col min="5631" max="5631" width="4.75" style="2757" customWidth="1"/>
    <col min="5632" max="5632" width="15.25" style="2757"/>
    <col min="5633" max="5633" width="3.875" style="2757" customWidth="1"/>
    <col min="5634" max="5634" width="18.625" style="2757" customWidth="1"/>
    <col min="5635" max="5635" width="13.5" style="2757" customWidth="1"/>
    <col min="5636" max="5636" width="7.125" style="2757" customWidth="1"/>
    <col min="5637" max="5637" width="13.5" style="2757" customWidth="1"/>
    <col min="5638" max="5638" width="7.125" style="2757" customWidth="1"/>
    <col min="5639" max="5639" width="13.5" style="2757" customWidth="1"/>
    <col min="5640" max="5640" width="7.125" style="2757" customWidth="1"/>
    <col min="5641" max="5641" width="13.5" style="2757" customWidth="1"/>
    <col min="5642" max="5642" width="7.125" style="2757" customWidth="1"/>
    <col min="5643" max="5643" width="2" style="2757" customWidth="1"/>
    <col min="5644" max="5644" width="5" style="2757" customWidth="1"/>
    <col min="5645" max="5645" width="19.5" style="2757" customWidth="1"/>
    <col min="5646" max="5651" width="6.125" style="2757" customWidth="1"/>
    <col min="5652" max="5652" width="2.25" style="2757" customWidth="1"/>
    <col min="5653" max="5653" width="4.125" style="2757" customWidth="1"/>
    <col min="5654" max="5654" width="19.125" style="2757" customWidth="1"/>
    <col min="5655" max="5657" width="11.875" style="2757" customWidth="1"/>
    <col min="5658" max="5886" width="9" style="2757" customWidth="1"/>
    <col min="5887" max="5887" width="4.75" style="2757" customWidth="1"/>
    <col min="5888" max="5888" width="15.25" style="2757"/>
    <col min="5889" max="5889" width="3.875" style="2757" customWidth="1"/>
    <col min="5890" max="5890" width="18.625" style="2757" customWidth="1"/>
    <col min="5891" max="5891" width="13.5" style="2757" customWidth="1"/>
    <col min="5892" max="5892" width="7.125" style="2757" customWidth="1"/>
    <col min="5893" max="5893" width="13.5" style="2757" customWidth="1"/>
    <col min="5894" max="5894" width="7.125" style="2757" customWidth="1"/>
    <col min="5895" max="5895" width="13.5" style="2757" customWidth="1"/>
    <col min="5896" max="5896" width="7.125" style="2757" customWidth="1"/>
    <col min="5897" max="5897" width="13.5" style="2757" customWidth="1"/>
    <col min="5898" max="5898" width="7.125" style="2757" customWidth="1"/>
    <col min="5899" max="5899" width="2" style="2757" customWidth="1"/>
    <col min="5900" max="5900" width="5" style="2757" customWidth="1"/>
    <col min="5901" max="5901" width="19.5" style="2757" customWidth="1"/>
    <col min="5902" max="5907" width="6.125" style="2757" customWidth="1"/>
    <col min="5908" max="5908" width="2.25" style="2757" customWidth="1"/>
    <col min="5909" max="5909" width="4.125" style="2757" customWidth="1"/>
    <col min="5910" max="5910" width="19.125" style="2757" customWidth="1"/>
    <col min="5911" max="5913" width="11.875" style="2757" customWidth="1"/>
    <col min="5914" max="6142" width="9" style="2757" customWidth="1"/>
    <col min="6143" max="6143" width="4.75" style="2757" customWidth="1"/>
    <col min="6144" max="6144" width="15.25" style="2757"/>
    <col min="6145" max="6145" width="3.875" style="2757" customWidth="1"/>
    <col min="6146" max="6146" width="18.625" style="2757" customWidth="1"/>
    <col min="6147" max="6147" width="13.5" style="2757" customWidth="1"/>
    <col min="6148" max="6148" width="7.125" style="2757" customWidth="1"/>
    <col min="6149" max="6149" width="13.5" style="2757" customWidth="1"/>
    <col min="6150" max="6150" width="7.125" style="2757" customWidth="1"/>
    <col min="6151" max="6151" width="13.5" style="2757" customWidth="1"/>
    <col min="6152" max="6152" width="7.125" style="2757" customWidth="1"/>
    <col min="6153" max="6153" width="13.5" style="2757" customWidth="1"/>
    <col min="6154" max="6154" width="7.125" style="2757" customWidth="1"/>
    <col min="6155" max="6155" width="2" style="2757" customWidth="1"/>
    <col min="6156" max="6156" width="5" style="2757" customWidth="1"/>
    <col min="6157" max="6157" width="19.5" style="2757" customWidth="1"/>
    <col min="6158" max="6163" width="6.125" style="2757" customWidth="1"/>
    <col min="6164" max="6164" width="2.25" style="2757" customWidth="1"/>
    <col min="6165" max="6165" width="4.125" style="2757" customWidth="1"/>
    <col min="6166" max="6166" width="19.125" style="2757" customWidth="1"/>
    <col min="6167" max="6169" width="11.875" style="2757" customWidth="1"/>
    <col min="6170" max="6398" width="9" style="2757" customWidth="1"/>
    <col min="6399" max="6399" width="4.75" style="2757" customWidth="1"/>
    <col min="6400" max="6400" width="15.25" style="2757"/>
    <col min="6401" max="6401" width="3.875" style="2757" customWidth="1"/>
    <col min="6402" max="6402" width="18.625" style="2757" customWidth="1"/>
    <col min="6403" max="6403" width="13.5" style="2757" customWidth="1"/>
    <col min="6404" max="6404" width="7.125" style="2757" customWidth="1"/>
    <col min="6405" max="6405" width="13.5" style="2757" customWidth="1"/>
    <col min="6406" max="6406" width="7.125" style="2757" customWidth="1"/>
    <col min="6407" max="6407" width="13.5" style="2757" customWidth="1"/>
    <col min="6408" max="6408" width="7.125" style="2757" customWidth="1"/>
    <col min="6409" max="6409" width="13.5" style="2757" customWidth="1"/>
    <col min="6410" max="6410" width="7.125" style="2757" customWidth="1"/>
    <col min="6411" max="6411" width="2" style="2757" customWidth="1"/>
    <col min="6412" max="6412" width="5" style="2757" customWidth="1"/>
    <col min="6413" max="6413" width="19.5" style="2757" customWidth="1"/>
    <col min="6414" max="6419" width="6.125" style="2757" customWidth="1"/>
    <col min="6420" max="6420" width="2.25" style="2757" customWidth="1"/>
    <col min="6421" max="6421" width="4.125" style="2757" customWidth="1"/>
    <col min="6422" max="6422" width="19.125" style="2757" customWidth="1"/>
    <col min="6423" max="6425" width="11.875" style="2757" customWidth="1"/>
    <col min="6426" max="6654" width="9" style="2757" customWidth="1"/>
    <col min="6655" max="6655" width="4.75" style="2757" customWidth="1"/>
    <col min="6656" max="6656" width="15.25" style="2757"/>
    <col min="6657" max="6657" width="3.875" style="2757" customWidth="1"/>
    <col min="6658" max="6658" width="18.625" style="2757" customWidth="1"/>
    <col min="6659" max="6659" width="13.5" style="2757" customWidth="1"/>
    <col min="6660" max="6660" width="7.125" style="2757" customWidth="1"/>
    <col min="6661" max="6661" width="13.5" style="2757" customWidth="1"/>
    <col min="6662" max="6662" width="7.125" style="2757" customWidth="1"/>
    <col min="6663" max="6663" width="13.5" style="2757" customWidth="1"/>
    <col min="6664" max="6664" width="7.125" style="2757" customWidth="1"/>
    <col min="6665" max="6665" width="13.5" style="2757" customWidth="1"/>
    <col min="6666" max="6666" width="7.125" style="2757" customWidth="1"/>
    <col min="6667" max="6667" width="2" style="2757" customWidth="1"/>
    <col min="6668" max="6668" width="5" style="2757" customWidth="1"/>
    <col min="6669" max="6669" width="19.5" style="2757" customWidth="1"/>
    <col min="6670" max="6675" width="6.125" style="2757" customWidth="1"/>
    <col min="6676" max="6676" width="2.25" style="2757" customWidth="1"/>
    <col min="6677" max="6677" width="4.125" style="2757" customWidth="1"/>
    <col min="6678" max="6678" width="19.125" style="2757" customWidth="1"/>
    <col min="6679" max="6681" width="11.875" style="2757" customWidth="1"/>
    <col min="6682" max="6910" width="9" style="2757" customWidth="1"/>
    <col min="6911" max="6911" width="4.75" style="2757" customWidth="1"/>
    <col min="6912" max="6912" width="15.25" style="2757"/>
    <col min="6913" max="6913" width="3.875" style="2757" customWidth="1"/>
    <col min="6914" max="6914" width="18.625" style="2757" customWidth="1"/>
    <col min="6915" max="6915" width="13.5" style="2757" customWidth="1"/>
    <col min="6916" max="6916" width="7.125" style="2757" customWidth="1"/>
    <col min="6917" max="6917" width="13.5" style="2757" customWidth="1"/>
    <col min="6918" max="6918" width="7.125" style="2757" customWidth="1"/>
    <col min="6919" max="6919" width="13.5" style="2757" customWidth="1"/>
    <col min="6920" max="6920" width="7.125" style="2757" customWidth="1"/>
    <col min="6921" max="6921" width="13.5" style="2757" customWidth="1"/>
    <col min="6922" max="6922" width="7.125" style="2757" customWidth="1"/>
    <col min="6923" max="6923" width="2" style="2757" customWidth="1"/>
    <col min="6924" max="6924" width="5" style="2757" customWidth="1"/>
    <col min="6925" max="6925" width="19.5" style="2757" customWidth="1"/>
    <col min="6926" max="6931" width="6.125" style="2757" customWidth="1"/>
    <col min="6932" max="6932" width="2.25" style="2757" customWidth="1"/>
    <col min="6933" max="6933" width="4.125" style="2757" customWidth="1"/>
    <col min="6934" max="6934" width="19.125" style="2757" customWidth="1"/>
    <col min="6935" max="6937" width="11.875" style="2757" customWidth="1"/>
    <col min="6938" max="7166" width="9" style="2757" customWidth="1"/>
    <col min="7167" max="7167" width="4.75" style="2757" customWidth="1"/>
    <col min="7168" max="7168" width="15.25" style="2757"/>
    <col min="7169" max="7169" width="3.875" style="2757" customWidth="1"/>
    <col min="7170" max="7170" width="18.625" style="2757" customWidth="1"/>
    <col min="7171" max="7171" width="13.5" style="2757" customWidth="1"/>
    <col min="7172" max="7172" width="7.125" style="2757" customWidth="1"/>
    <col min="7173" max="7173" width="13.5" style="2757" customWidth="1"/>
    <col min="7174" max="7174" width="7.125" style="2757" customWidth="1"/>
    <col min="7175" max="7175" width="13.5" style="2757" customWidth="1"/>
    <col min="7176" max="7176" width="7.125" style="2757" customWidth="1"/>
    <col min="7177" max="7177" width="13.5" style="2757" customWidth="1"/>
    <col min="7178" max="7178" width="7.125" style="2757" customWidth="1"/>
    <col min="7179" max="7179" width="2" style="2757" customWidth="1"/>
    <col min="7180" max="7180" width="5" style="2757" customWidth="1"/>
    <col min="7181" max="7181" width="19.5" style="2757" customWidth="1"/>
    <col min="7182" max="7187" width="6.125" style="2757" customWidth="1"/>
    <col min="7188" max="7188" width="2.25" style="2757" customWidth="1"/>
    <col min="7189" max="7189" width="4.125" style="2757" customWidth="1"/>
    <col min="7190" max="7190" width="19.125" style="2757" customWidth="1"/>
    <col min="7191" max="7193" width="11.875" style="2757" customWidth="1"/>
    <col min="7194" max="7422" width="9" style="2757" customWidth="1"/>
    <col min="7423" max="7423" width="4.75" style="2757" customWidth="1"/>
    <col min="7424" max="7424" width="15.25" style="2757"/>
    <col min="7425" max="7425" width="3.875" style="2757" customWidth="1"/>
    <col min="7426" max="7426" width="18.625" style="2757" customWidth="1"/>
    <col min="7427" max="7427" width="13.5" style="2757" customWidth="1"/>
    <col min="7428" max="7428" width="7.125" style="2757" customWidth="1"/>
    <col min="7429" max="7429" width="13.5" style="2757" customWidth="1"/>
    <col min="7430" max="7430" width="7.125" style="2757" customWidth="1"/>
    <col min="7431" max="7431" width="13.5" style="2757" customWidth="1"/>
    <col min="7432" max="7432" width="7.125" style="2757" customWidth="1"/>
    <col min="7433" max="7433" width="13.5" style="2757" customWidth="1"/>
    <col min="7434" max="7434" width="7.125" style="2757" customWidth="1"/>
    <col min="7435" max="7435" width="2" style="2757" customWidth="1"/>
    <col min="7436" max="7436" width="5" style="2757" customWidth="1"/>
    <col min="7437" max="7437" width="19.5" style="2757" customWidth="1"/>
    <col min="7438" max="7443" width="6.125" style="2757" customWidth="1"/>
    <col min="7444" max="7444" width="2.25" style="2757" customWidth="1"/>
    <col min="7445" max="7445" width="4.125" style="2757" customWidth="1"/>
    <col min="7446" max="7446" width="19.125" style="2757" customWidth="1"/>
    <col min="7447" max="7449" width="11.875" style="2757" customWidth="1"/>
    <col min="7450" max="7678" width="9" style="2757" customWidth="1"/>
    <col min="7679" max="7679" width="4.75" style="2757" customWidth="1"/>
    <col min="7680" max="7680" width="15.25" style="2757"/>
    <col min="7681" max="7681" width="3.875" style="2757" customWidth="1"/>
    <col min="7682" max="7682" width="18.625" style="2757" customWidth="1"/>
    <col min="7683" max="7683" width="13.5" style="2757" customWidth="1"/>
    <col min="7684" max="7684" width="7.125" style="2757" customWidth="1"/>
    <col min="7685" max="7685" width="13.5" style="2757" customWidth="1"/>
    <col min="7686" max="7686" width="7.125" style="2757" customWidth="1"/>
    <col min="7687" max="7687" width="13.5" style="2757" customWidth="1"/>
    <col min="7688" max="7688" width="7.125" style="2757" customWidth="1"/>
    <col min="7689" max="7689" width="13.5" style="2757" customWidth="1"/>
    <col min="7690" max="7690" width="7.125" style="2757" customWidth="1"/>
    <col min="7691" max="7691" width="2" style="2757" customWidth="1"/>
    <col min="7692" max="7692" width="5" style="2757" customWidth="1"/>
    <col min="7693" max="7693" width="19.5" style="2757" customWidth="1"/>
    <col min="7694" max="7699" width="6.125" style="2757" customWidth="1"/>
    <col min="7700" max="7700" width="2.25" style="2757" customWidth="1"/>
    <col min="7701" max="7701" width="4.125" style="2757" customWidth="1"/>
    <col min="7702" max="7702" width="19.125" style="2757" customWidth="1"/>
    <col min="7703" max="7705" width="11.875" style="2757" customWidth="1"/>
    <col min="7706" max="7934" width="9" style="2757" customWidth="1"/>
    <col min="7935" max="7935" width="4.75" style="2757" customWidth="1"/>
    <col min="7936" max="7936" width="15.25" style="2757"/>
    <col min="7937" max="7937" width="3.875" style="2757" customWidth="1"/>
    <col min="7938" max="7938" width="18.625" style="2757" customWidth="1"/>
    <col min="7939" max="7939" width="13.5" style="2757" customWidth="1"/>
    <col min="7940" max="7940" width="7.125" style="2757" customWidth="1"/>
    <col min="7941" max="7941" width="13.5" style="2757" customWidth="1"/>
    <col min="7942" max="7942" width="7.125" style="2757" customWidth="1"/>
    <col min="7943" max="7943" width="13.5" style="2757" customWidth="1"/>
    <col min="7944" max="7944" width="7.125" style="2757" customWidth="1"/>
    <col min="7945" max="7945" width="13.5" style="2757" customWidth="1"/>
    <col min="7946" max="7946" width="7.125" style="2757" customWidth="1"/>
    <col min="7947" max="7947" width="2" style="2757" customWidth="1"/>
    <col min="7948" max="7948" width="5" style="2757" customWidth="1"/>
    <col min="7949" max="7949" width="19.5" style="2757" customWidth="1"/>
    <col min="7950" max="7955" width="6.125" style="2757" customWidth="1"/>
    <col min="7956" max="7956" width="2.25" style="2757" customWidth="1"/>
    <col min="7957" max="7957" width="4.125" style="2757" customWidth="1"/>
    <col min="7958" max="7958" width="19.125" style="2757" customWidth="1"/>
    <col min="7959" max="7961" width="11.875" style="2757" customWidth="1"/>
    <col min="7962" max="8190" width="9" style="2757" customWidth="1"/>
    <col min="8191" max="8191" width="4.75" style="2757" customWidth="1"/>
    <col min="8192" max="8192" width="15.25" style="2757"/>
    <col min="8193" max="8193" width="3.875" style="2757" customWidth="1"/>
    <col min="8194" max="8194" width="18.625" style="2757" customWidth="1"/>
    <col min="8195" max="8195" width="13.5" style="2757" customWidth="1"/>
    <col min="8196" max="8196" width="7.125" style="2757" customWidth="1"/>
    <col min="8197" max="8197" width="13.5" style="2757" customWidth="1"/>
    <col min="8198" max="8198" width="7.125" style="2757" customWidth="1"/>
    <col min="8199" max="8199" width="13.5" style="2757" customWidth="1"/>
    <col min="8200" max="8200" width="7.125" style="2757" customWidth="1"/>
    <col min="8201" max="8201" width="13.5" style="2757" customWidth="1"/>
    <col min="8202" max="8202" width="7.125" style="2757" customWidth="1"/>
    <col min="8203" max="8203" width="2" style="2757" customWidth="1"/>
    <col min="8204" max="8204" width="5" style="2757" customWidth="1"/>
    <col min="8205" max="8205" width="19.5" style="2757" customWidth="1"/>
    <col min="8206" max="8211" width="6.125" style="2757" customWidth="1"/>
    <col min="8212" max="8212" width="2.25" style="2757" customWidth="1"/>
    <col min="8213" max="8213" width="4.125" style="2757" customWidth="1"/>
    <col min="8214" max="8214" width="19.125" style="2757" customWidth="1"/>
    <col min="8215" max="8217" width="11.875" style="2757" customWidth="1"/>
    <col min="8218" max="8446" width="9" style="2757" customWidth="1"/>
    <col min="8447" max="8447" width="4.75" style="2757" customWidth="1"/>
    <col min="8448" max="8448" width="15.25" style="2757"/>
    <col min="8449" max="8449" width="3.875" style="2757" customWidth="1"/>
    <col min="8450" max="8450" width="18.625" style="2757" customWidth="1"/>
    <col min="8451" max="8451" width="13.5" style="2757" customWidth="1"/>
    <col min="8452" max="8452" width="7.125" style="2757" customWidth="1"/>
    <col min="8453" max="8453" width="13.5" style="2757" customWidth="1"/>
    <col min="8454" max="8454" width="7.125" style="2757" customWidth="1"/>
    <col min="8455" max="8455" width="13.5" style="2757" customWidth="1"/>
    <col min="8456" max="8456" width="7.125" style="2757" customWidth="1"/>
    <col min="8457" max="8457" width="13.5" style="2757" customWidth="1"/>
    <col min="8458" max="8458" width="7.125" style="2757" customWidth="1"/>
    <col min="8459" max="8459" width="2" style="2757" customWidth="1"/>
    <col min="8460" max="8460" width="5" style="2757" customWidth="1"/>
    <col min="8461" max="8461" width="19.5" style="2757" customWidth="1"/>
    <col min="8462" max="8467" width="6.125" style="2757" customWidth="1"/>
    <col min="8468" max="8468" width="2.25" style="2757" customWidth="1"/>
    <col min="8469" max="8469" width="4.125" style="2757" customWidth="1"/>
    <col min="8470" max="8470" width="19.125" style="2757" customWidth="1"/>
    <col min="8471" max="8473" width="11.875" style="2757" customWidth="1"/>
    <col min="8474" max="8702" width="9" style="2757" customWidth="1"/>
    <col min="8703" max="8703" width="4.75" style="2757" customWidth="1"/>
    <col min="8704" max="8704" width="15.25" style="2757"/>
    <col min="8705" max="8705" width="3.875" style="2757" customWidth="1"/>
    <col min="8706" max="8706" width="18.625" style="2757" customWidth="1"/>
    <col min="8707" max="8707" width="13.5" style="2757" customWidth="1"/>
    <col min="8708" max="8708" width="7.125" style="2757" customWidth="1"/>
    <col min="8709" max="8709" width="13.5" style="2757" customWidth="1"/>
    <col min="8710" max="8710" width="7.125" style="2757" customWidth="1"/>
    <col min="8711" max="8711" width="13.5" style="2757" customWidth="1"/>
    <col min="8712" max="8712" width="7.125" style="2757" customWidth="1"/>
    <col min="8713" max="8713" width="13.5" style="2757" customWidth="1"/>
    <col min="8714" max="8714" width="7.125" style="2757" customWidth="1"/>
    <col min="8715" max="8715" width="2" style="2757" customWidth="1"/>
    <col min="8716" max="8716" width="5" style="2757" customWidth="1"/>
    <col min="8717" max="8717" width="19.5" style="2757" customWidth="1"/>
    <col min="8718" max="8723" width="6.125" style="2757" customWidth="1"/>
    <col min="8724" max="8724" width="2.25" style="2757" customWidth="1"/>
    <col min="8725" max="8725" width="4.125" style="2757" customWidth="1"/>
    <col min="8726" max="8726" width="19.125" style="2757" customWidth="1"/>
    <col min="8727" max="8729" width="11.875" style="2757" customWidth="1"/>
    <col min="8730" max="8958" width="9" style="2757" customWidth="1"/>
    <col min="8959" max="8959" width="4.75" style="2757" customWidth="1"/>
    <col min="8960" max="8960" width="15.25" style="2757"/>
    <col min="8961" max="8961" width="3.875" style="2757" customWidth="1"/>
    <col min="8962" max="8962" width="18.625" style="2757" customWidth="1"/>
    <col min="8963" max="8963" width="13.5" style="2757" customWidth="1"/>
    <col min="8964" max="8964" width="7.125" style="2757" customWidth="1"/>
    <col min="8965" max="8965" width="13.5" style="2757" customWidth="1"/>
    <col min="8966" max="8966" width="7.125" style="2757" customWidth="1"/>
    <col min="8967" max="8967" width="13.5" style="2757" customWidth="1"/>
    <col min="8968" max="8968" width="7.125" style="2757" customWidth="1"/>
    <col min="8969" max="8969" width="13.5" style="2757" customWidth="1"/>
    <col min="8970" max="8970" width="7.125" style="2757" customWidth="1"/>
    <col min="8971" max="8971" width="2" style="2757" customWidth="1"/>
    <col min="8972" max="8972" width="5" style="2757" customWidth="1"/>
    <col min="8973" max="8973" width="19.5" style="2757" customWidth="1"/>
    <col min="8974" max="8979" width="6.125" style="2757" customWidth="1"/>
    <col min="8980" max="8980" width="2.25" style="2757" customWidth="1"/>
    <col min="8981" max="8981" width="4.125" style="2757" customWidth="1"/>
    <col min="8982" max="8982" width="19.125" style="2757" customWidth="1"/>
    <col min="8983" max="8985" width="11.875" style="2757" customWidth="1"/>
    <col min="8986" max="9214" width="9" style="2757" customWidth="1"/>
    <col min="9215" max="9215" width="4.75" style="2757" customWidth="1"/>
    <col min="9216" max="9216" width="15.25" style="2757"/>
    <col min="9217" max="9217" width="3.875" style="2757" customWidth="1"/>
    <col min="9218" max="9218" width="18.625" style="2757" customWidth="1"/>
    <col min="9219" max="9219" width="13.5" style="2757" customWidth="1"/>
    <col min="9220" max="9220" width="7.125" style="2757" customWidth="1"/>
    <col min="9221" max="9221" width="13.5" style="2757" customWidth="1"/>
    <col min="9222" max="9222" width="7.125" style="2757" customWidth="1"/>
    <col min="9223" max="9223" width="13.5" style="2757" customWidth="1"/>
    <col min="9224" max="9224" width="7.125" style="2757" customWidth="1"/>
    <col min="9225" max="9225" width="13.5" style="2757" customWidth="1"/>
    <col min="9226" max="9226" width="7.125" style="2757" customWidth="1"/>
    <col min="9227" max="9227" width="2" style="2757" customWidth="1"/>
    <col min="9228" max="9228" width="5" style="2757" customWidth="1"/>
    <col min="9229" max="9229" width="19.5" style="2757" customWidth="1"/>
    <col min="9230" max="9235" width="6.125" style="2757" customWidth="1"/>
    <col min="9236" max="9236" width="2.25" style="2757" customWidth="1"/>
    <col min="9237" max="9237" width="4.125" style="2757" customWidth="1"/>
    <col min="9238" max="9238" width="19.125" style="2757" customWidth="1"/>
    <col min="9239" max="9241" width="11.875" style="2757" customWidth="1"/>
    <col min="9242" max="9470" width="9" style="2757" customWidth="1"/>
    <col min="9471" max="9471" width="4.75" style="2757" customWidth="1"/>
    <col min="9472" max="9472" width="15.25" style="2757"/>
    <col min="9473" max="9473" width="3.875" style="2757" customWidth="1"/>
    <col min="9474" max="9474" width="18.625" style="2757" customWidth="1"/>
    <col min="9475" max="9475" width="13.5" style="2757" customWidth="1"/>
    <col min="9476" max="9476" width="7.125" style="2757" customWidth="1"/>
    <col min="9477" max="9477" width="13.5" style="2757" customWidth="1"/>
    <col min="9478" max="9478" width="7.125" style="2757" customWidth="1"/>
    <col min="9479" max="9479" width="13.5" style="2757" customWidth="1"/>
    <col min="9480" max="9480" width="7.125" style="2757" customWidth="1"/>
    <col min="9481" max="9481" width="13.5" style="2757" customWidth="1"/>
    <col min="9482" max="9482" width="7.125" style="2757" customWidth="1"/>
    <col min="9483" max="9483" width="2" style="2757" customWidth="1"/>
    <col min="9484" max="9484" width="5" style="2757" customWidth="1"/>
    <col min="9485" max="9485" width="19.5" style="2757" customWidth="1"/>
    <col min="9486" max="9491" width="6.125" style="2757" customWidth="1"/>
    <col min="9492" max="9492" width="2.25" style="2757" customWidth="1"/>
    <col min="9493" max="9493" width="4.125" style="2757" customWidth="1"/>
    <col min="9494" max="9494" width="19.125" style="2757" customWidth="1"/>
    <col min="9495" max="9497" width="11.875" style="2757" customWidth="1"/>
    <col min="9498" max="9726" width="9" style="2757" customWidth="1"/>
    <col min="9727" max="9727" width="4.75" style="2757" customWidth="1"/>
    <col min="9728" max="9728" width="15.25" style="2757"/>
    <col min="9729" max="9729" width="3.875" style="2757" customWidth="1"/>
    <col min="9730" max="9730" width="18.625" style="2757" customWidth="1"/>
    <col min="9731" max="9731" width="13.5" style="2757" customWidth="1"/>
    <col min="9732" max="9732" width="7.125" style="2757" customWidth="1"/>
    <col min="9733" max="9733" width="13.5" style="2757" customWidth="1"/>
    <col min="9734" max="9734" width="7.125" style="2757" customWidth="1"/>
    <col min="9735" max="9735" width="13.5" style="2757" customWidth="1"/>
    <col min="9736" max="9736" width="7.125" style="2757" customWidth="1"/>
    <col min="9737" max="9737" width="13.5" style="2757" customWidth="1"/>
    <col min="9738" max="9738" width="7.125" style="2757" customWidth="1"/>
    <col min="9739" max="9739" width="2" style="2757" customWidth="1"/>
    <col min="9740" max="9740" width="5" style="2757" customWidth="1"/>
    <col min="9741" max="9741" width="19.5" style="2757" customWidth="1"/>
    <col min="9742" max="9747" width="6.125" style="2757" customWidth="1"/>
    <col min="9748" max="9748" width="2.25" style="2757" customWidth="1"/>
    <col min="9749" max="9749" width="4.125" style="2757" customWidth="1"/>
    <col min="9750" max="9750" width="19.125" style="2757" customWidth="1"/>
    <col min="9751" max="9753" width="11.875" style="2757" customWidth="1"/>
    <col min="9754" max="9982" width="9" style="2757" customWidth="1"/>
    <col min="9983" max="9983" width="4.75" style="2757" customWidth="1"/>
    <col min="9984" max="9984" width="15.25" style="2757"/>
    <col min="9985" max="9985" width="3.875" style="2757" customWidth="1"/>
    <col min="9986" max="9986" width="18.625" style="2757" customWidth="1"/>
    <col min="9987" max="9987" width="13.5" style="2757" customWidth="1"/>
    <col min="9988" max="9988" width="7.125" style="2757" customWidth="1"/>
    <col min="9989" max="9989" width="13.5" style="2757" customWidth="1"/>
    <col min="9990" max="9990" width="7.125" style="2757" customWidth="1"/>
    <col min="9991" max="9991" width="13.5" style="2757" customWidth="1"/>
    <col min="9992" max="9992" width="7.125" style="2757" customWidth="1"/>
    <col min="9993" max="9993" width="13.5" style="2757" customWidth="1"/>
    <col min="9994" max="9994" width="7.125" style="2757" customWidth="1"/>
    <col min="9995" max="9995" width="2" style="2757" customWidth="1"/>
    <col min="9996" max="9996" width="5" style="2757" customWidth="1"/>
    <col min="9997" max="9997" width="19.5" style="2757" customWidth="1"/>
    <col min="9998" max="10003" width="6.125" style="2757" customWidth="1"/>
    <col min="10004" max="10004" width="2.25" style="2757" customWidth="1"/>
    <col min="10005" max="10005" width="4.125" style="2757" customWidth="1"/>
    <col min="10006" max="10006" width="19.125" style="2757" customWidth="1"/>
    <col min="10007" max="10009" width="11.875" style="2757" customWidth="1"/>
    <col min="10010" max="10238" width="9" style="2757" customWidth="1"/>
    <col min="10239" max="10239" width="4.75" style="2757" customWidth="1"/>
    <col min="10240" max="10240" width="15.25" style="2757"/>
    <col min="10241" max="10241" width="3.875" style="2757" customWidth="1"/>
    <col min="10242" max="10242" width="18.625" style="2757" customWidth="1"/>
    <col min="10243" max="10243" width="13.5" style="2757" customWidth="1"/>
    <col min="10244" max="10244" width="7.125" style="2757" customWidth="1"/>
    <col min="10245" max="10245" width="13.5" style="2757" customWidth="1"/>
    <col min="10246" max="10246" width="7.125" style="2757" customWidth="1"/>
    <col min="10247" max="10247" width="13.5" style="2757" customWidth="1"/>
    <col min="10248" max="10248" width="7.125" style="2757" customWidth="1"/>
    <col min="10249" max="10249" width="13.5" style="2757" customWidth="1"/>
    <col min="10250" max="10250" width="7.125" style="2757" customWidth="1"/>
    <col min="10251" max="10251" width="2" style="2757" customWidth="1"/>
    <col min="10252" max="10252" width="5" style="2757" customWidth="1"/>
    <col min="10253" max="10253" width="19.5" style="2757" customWidth="1"/>
    <col min="10254" max="10259" width="6.125" style="2757" customWidth="1"/>
    <col min="10260" max="10260" width="2.25" style="2757" customWidth="1"/>
    <col min="10261" max="10261" width="4.125" style="2757" customWidth="1"/>
    <col min="10262" max="10262" width="19.125" style="2757" customWidth="1"/>
    <col min="10263" max="10265" width="11.875" style="2757" customWidth="1"/>
    <col min="10266" max="10494" width="9" style="2757" customWidth="1"/>
    <col min="10495" max="10495" width="4.75" style="2757" customWidth="1"/>
    <col min="10496" max="10496" width="15.25" style="2757"/>
    <col min="10497" max="10497" width="3.875" style="2757" customWidth="1"/>
    <col min="10498" max="10498" width="18.625" style="2757" customWidth="1"/>
    <col min="10499" max="10499" width="13.5" style="2757" customWidth="1"/>
    <col min="10500" max="10500" width="7.125" style="2757" customWidth="1"/>
    <col min="10501" max="10501" width="13.5" style="2757" customWidth="1"/>
    <col min="10502" max="10502" width="7.125" style="2757" customWidth="1"/>
    <col min="10503" max="10503" width="13.5" style="2757" customWidth="1"/>
    <col min="10504" max="10504" width="7.125" style="2757" customWidth="1"/>
    <col min="10505" max="10505" width="13.5" style="2757" customWidth="1"/>
    <col min="10506" max="10506" width="7.125" style="2757" customWidth="1"/>
    <col min="10507" max="10507" width="2" style="2757" customWidth="1"/>
    <col min="10508" max="10508" width="5" style="2757" customWidth="1"/>
    <col min="10509" max="10509" width="19.5" style="2757" customWidth="1"/>
    <col min="10510" max="10515" width="6.125" style="2757" customWidth="1"/>
    <col min="10516" max="10516" width="2.25" style="2757" customWidth="1"/>
    <col min="10517" max="10517" width="4.125" style="2757" customWidth="1"/>
    <col min="10518" max="10518" width="19.125" style="2757" customWidth="1"/>
    <col min="10519" max="10521" width="11.875" style="2757" customWidth="1"/>
    <col min="10522" max="10750" width="9" style="2757" customWidth="1"/>
    <col min="10751" max="10751" width="4.75" style="2757" customWidth="1"/>
    <col min="10752" max="10752" width="15.25" style="2757"/>
    <col min="10753" max="10753" width="3.875" style="2757" customWidth="1"/>
    <col min="10754" max="10754" width="18.625" style="2757" customWidth="1"/>
    <col min="10755" max="10755" width="13.5" style="2757" customWidth="1"/>
    <col min="10756" max="10756" width="7.125" style="2757" customWidth="1"/>
    <col min="10757" max="10757" width="13.5" style="2757" customWidth="1"/>
    <col min="10758" max="10758" width="7.125" style="2757" customWidth="1"/>
    <col min="10759" max="10759" width="13.5" style="2757" customWidth="1"/>
    <col min="10760" max="10760" width="7.125" style="2757" customWidth="1"/>
    <col min="10761" max="10761" width="13.5" style="2757" customWidth="1"/>
    <col min="10762" max="10762" width="7.125" style="2757" customWidth="1"/>
    <col min="10763" max="10763" width="2" style="2757" customWidth="1"/>
    <col min="10764" max="10764" width="5" style="2757" customWidth="1"/>
    <col min="10765" max="10765" width="19.5" style="2757" customWidth="1"/>
    <col min="10766" max="10771" width="6.125" style="2757" customWidth="1"/>
    <col min="10772" max="10772" width="2.25" style="2757" customWidth="1"/>
    <col min="10773" max="10773" width="4.125" style="2757" customWidth="1"/>
    <col min="10774" max="10774" width="19.125" style="2757" customWidth="1"/>
    <col min="10775" max="10777" width="11.875" style="2757" customWidth="1"/>
    <col min="10778" max="11006" width="9" style="2757" customWidth="1"/>
    <col min="11007" max="11007" width="4.75" style="2757" customWidth="1"/>
    <col min="11008" max="11008" width="15.25" style="2757"/>
    <col min="11009" max="11009" width="3.875" style="2757" customWidth="1"/>
    <col min="11010" max="11010" width="18.625" style="2757" customWidth="1"/>
    <col min="11011" max="11011" width="13.5" style="2757" customWidth="1"/>
    <col min="11012" max="11012" width="7.125" style="2757" customWidth="1"/>
    <col min="11013" max="11013" width="13.5" style="2757" customWidth="1"/>
    <col min="11014" max="11014" width="7.125" style="2757" customWidth="1"/>
    <col min="11015" max="11015" width="13.5" style="2757" customWidth="1"/>
    <col min="11016" max="11016" width="7.125" style="2757" customWidth="1"/>
    <col min="11017" max="11017" width="13.5" style="2757" customWidth="1"/>
    <col min="11018" max="11018" width="7.125" style="2757" customWidth="1"/>
    <col min="11019" max="11019" width="2" style="2757" customWidth="1"/>
    <col min="11020" max="11020" width="5" style="2757" customWidth="1"/>
    <col min="11021" max="11021" width="19.5" style="2757" customWidth="1"/>
    <col min="11022" max="11027" width="6.125" style="2757" customWidth="1"/>
    <col min="11028" max="11028" width="2.25" style="2757" customWidth="1"/>
    <col min="11029" max="11029" width="4.125" style="2757" customWidth="1"/>
    <col min="11030" max="11030" width="19.125" style="2757" customWidth="1"/>
    <col min="11031" max="11033" width="11.875" style="2757" customWidth="1"/>
    <col min="11034" max="11262" width="9" style="2757" customWidth="1"/>
    <col min="11263" max="11263" width="4.75" style="2757" customWidth="1"/>
    <col min="11264" max="11264" width="15.25" style="2757"/>
    <col min="11265" max="11265" width="3.875" style="2757" customWidth="1"/>
    <col min="11266" max="11266" width="18.625" style="2757" customWidth="1"/>
    <col min="11267" max="11267" width="13.5" style="2757" customWidth="1"/>
    <col min="11268" max="11268" width="7.125" style="2757" customWidth="1"/>
    <col min="11269" max="11269" width="13.5" style="2757" customWidth="1"/>
    <col min="11270" max="11270" width="7.125" style="2757" customWidth="1"/>
    <col min="11271" max="11271" width="13.5" style="2757" customWidth="1"/>
    <col min="11272" max="11272" width="7.125" style="2757" customWidth="1"/>
    <col min="11273" max="11273" width="13.5" style="2757" customWidth="1"/>
    <col min="11274" max="11274" width="7.125" style="2757" customWidth="1"/>
    <col min="11275" max="11275" width="2" style="2757" customWidth="1"/>
    <col min="11276" max="11276" width="5" style="2757" customWidth="1"/>
    <col min="11277" max="11277" width="19.5" style="2757" customWidth="1"/>
    <col min="11278" max="11283" width="6.125" style="2757" customWidth="1"/>
    <col min="11284" max="11284" width="2.25" style="2757" customWidth="1"/>
    <col min="11285" max="11285" width="4.125" style="2757" customWidth="1"/>
    <col min="11286" max="11286" width="19.125" style="2757" customWidth="1"/>
    <col min="11287" max="11289" width="11.875" style="2757" customWidth="1"/>
    <col min="11290" max="11518" width="9" style="2757" customWidth="1"/>
    <col min="11519" max="11519" width="4.75" style="2757" customWidth="1"/>
    <col min="11520" max="11520" width="15.25" style="2757"/>
    <col min="11521" max="11521" width="3.875" style="2757" customWidth="1"/>
    <col min="11522" max="11522" width="18.625" style="2757" customWidth="1"/>
    <col min="11523" max="11523" width="13.5" style="2757" customWidth="1"/>
    <col min="11524" max="11524" width="7.125" style="2757" customWidth="1"/>
    <col min="11525" max="11525" width="13.5" style="2757" customWidth="1"/>
    <col min="11526" max="11526" width="7.125" style="2757" customWidth="1"/>
    <col min="11527" max="11527" width="13.5" style="2757" customWidth="1"/>
    <col min="11528" max="11528" width="7.125" style="2757" customWidth="1"/>
    <col min="11529" max="11529" width="13.5" style="2757" customWidth="1"/>
    <col min="11530" max="11530" width="7.125" style="2757" customWidth="1"/>
    <col min="11531" max="11531" width="2" style="2757" customWidth="1"/>
    <col min="11532" max="11532" width="5" style="2757" customWidth="1"/>
    <col min="11533" max="11533" width="19.5" style="2757" customWidth="1"/>
    <col min="11534" max="11539" width="6.125" style="2757" customWidth="1"/>
    <col min="11540" max="11540" width="2.25" style="2757" customWidth="1"/>
    <col min="11541" max="11541" width="4.125" style="2757" customWidth="1"/>
    <col min="11542" max="11542" width="19.125" style="2757" customWidth="1"/>
    <col min="11543" max="11545" width="11.875" style="2757" customWidth="1"/>
    <col min="11546" max="11774" width="9" style="2757" customWidth="1"/>
    <col min="11775" max="11775" width="4.75" style="2757" customWidth="1"/>
    <col min="11776" max="11776" width="15.25" style="2757"/>
    <col min="11777" max="11777" width="3.875" style="2757" customWidth="1"/>
    <col min="11778" max="11778" width="18.625" style="2757" customWidth="1"/>
    <col min="11779" max="11779" width="13.5" style="2757" customWidth="1"/>
    <col min="11780" max="11780" width="7.125" style="2757" customWidth="1"/>
    <col min="11781" max="11781" width="13.5" style="2757" customWidth="1"/>
    <col min="11782" max="11782" width="7.125" style="2757" customWidth="1"/>
    <col min="11783" max="11783" width="13.5" style="2757" customWidth="1"/>
    <col min="11784" max="11784" width="7.125" style="2757" customWidth="1"/>
    <col min="11785" max="11785" width="13.5" style="2757" customWidth="1"/>
    <col min="11786" max="11786" width="7.125" style="2757" customWidth="1"/>
    <col min="11787" max="11787" width="2" style="2757" customWidth="1"/>
    <col min="11788" max="11788" width="5" style="2757" customWidth="1"/>
    <col min="11789" max="11789" width="19.5" style="2757" customWidth="1"/>
    <col min="11790" max="11795" width="6.125" style="2757" customWidth="1"/>
    <col min="11796" max="11796" width="2.25" style="2757" customWidth="1"/>
    <col min="11797" max="11797" width="4.125" style="2757" customWidth="1"/>
    <col min="11798" max="11798" width="19.125" style="2757" customWidth="1"/>
    <col min="11799" max="11801" width="11.875" style="2757" customWidth="1"/>
    <col min="11802" max="12030" width="9" style="2757" customWidth="1"/>
    <col min="12031" max="12031" width="4.75" style="2757" customWidth="1"/>
    <col min="12032" max="12032" width="15.25" style="2757"/>
    <col min="12033" max="12033" width="3.875" style="2757" customWidth="1"/>
    <col min="12034" max="12034" width="18.625" style="2757" customWidth="1"/>
    <col min="12035" max="12035" width="13.5" style="2757" customWidth="1"/>
    <col min="12036" max="12036" width="7.125" style="2757" customWidth="1"/>
    <col min="12037" max="12037" width="13.5" style="2757" customWidth="1"/>
    <col min="12038" max="12038" width="7.125" style="2757" customWidth="1"/>
    <col min="12039" max="12039" width="13.5" style="2757" customWidth="1"/>
    <col min="12040" max="12040" width="7.125" style="2757" customWidth="1"/>
    <col min="12041" max="12041" width="13.5" style="2757" customWidth="1"/>
    <col min="12042" max="12042" width="7.125" style="2757" customWidth="1"/>
    <col min="12043" max="12043" width="2" style="2757" customWidth="1"/>
    <col min="12044" max="12044" width="5" style="2757" customWidth="1"/>
    <col min="12045" max="12045" width="19.5" style="2757" customWidth="1"/>
    <col min="12046" max="12051" width="6.125" style="2757" customWidth="1"/>
    <col min="12052" max="12052" width="2.25" style="2757" customWidth="1"/>
    <col min="12053" max="12053" width="4.125" style="2757" customWidth="1"/>
    <col min="12054" max="12054" width="19.125" style="2757" customWidth="1"/>
    <col min="12055" max="12057" width="11.875" style="2757" customWidth="1"/>
    <col min="12058" max="12286" width="9" style="2757" customWidth="1"/>
    <col min="12287" max="12287" width="4.75" style="2757" customWidth="1"/>
    <col min="12288" max="12288" width="15.25" style="2757"/>
    <col min="12289" max="12289" width="3.875" style="2757" customWidth="1"/>
    <col min="12290" max="12290" width="18.625" style="2757" customWidth="1"/>
    <col min="12291" max="12291" width="13.5" style="2757" customWidth="1"/>
    <col min="12292" max="12292" width="7.125" style="2757" customWidth="1"/>
    <col min="12293" max="12293" width="13.5" style="2757" customWidth="1"/>
    <col min="12294" max="12294" width="7.125" style="2757" customWidth="1"/>
    <col min="12295" max="12295" width="13.5" style="2757" customWidth="1"/>
    <col min="12296" max="12296" width="7.125" style="2757" customWidth="1"/>
    <col min="12297" max="12297" width="13.5" style="2757" customWidth="1"/>
    <col min="12298" max="12298" width="7.125" style="2757" customWidth="1"/>
    <col min="12299" max="12299" width="2" style="2757" customWidth="1"/>
    <col min="12300" max="12300" width="5" style="2757" customWidth="1"/>
    <col min="12301" max="12301" width="19.5" style="2757" customWidth="1"/>
    <col min="12302" max="12307" width="6.125" style="2757" customWidth="1"/>
    <col min="12308" max="12308" width="2.25" style="2757" customWidth="1"/>
    <col min="12309" max="12309" width="4.125" style="2757" customWidth="1"/>
    <col min="12310" max="12310" width="19.125" style="2757" customWidth="1"/>
    <col min="12311" max="12313" width="11.875" style="2757" customWidth="1"/>
    <col min="12314" max="12542" width="9" style="2757" customWidth="1"/>
    <col min="12543" max="12543" width="4.75" style="2757" customWidth="1"/>
    <col min="12544" max="12544" width="15.25" style="2757"/>
    <col min="12545" max="12545" width="3.875" style="2757" customWidth="1"/>
    <col min="12546" max="12546" width="18.625" style="2757" customWidth="1"/>
    <col min="12547" max="12547" width="13.5" style="2757" customWidth="1"/>
    <col min="12548" max="12548" width="7.125" style="2757" customWidth="1"/>
    <col min="12549" max="12549" width="13.5" style="2757" customWidth="1"/>
    <col min="12550" max="12550" width="7.125" style="2757" customWidth="1"/>
    <col min="12551" max="12551" width="13.5" style="2757" customWidth="1"/>
    <col min="12552" max="12552" width="7.125" style="2757" customWidth="1"/>
    <col min="12553" max="12553" width="13.5" style="2757" customWidth="1"/>
    <col min="12554" max="12554" width="7.125" style="2757" customWidth="1"/>
    <col min="12555" max="12555" width="2" style="2757" customWidth="1"/>
    <col min="12556" max="12556" width="5" style="2757" customWidth="1"/>
    <col min="12557" max="12557" width="19.5" style="2757" customWidth="1"/>
    <col min="12558" max="12563" width="6.125" style="2757" customWidth="1"/>
    <col min="12564" max="12564" width="2.25" style="2757" customWidth="1"/>
    <col min="12565" max="12565" width="4.125" style="2757" customWidth="1"/>
    <col min="12566" max="12566" width="19.125" style="2757" customWidth="1"/>
    <col min="12567" max="12569" width="11.875" style="2757" customWidth="1"/>
    <col min="12570" max="12798" width="9" style="2757" customWidth="1"/>
    <col min="12799" max="12799" width="4.75" style="2757" customWidth="1"/>
    <col min="12800" max="12800" width="15.25" style="2757"/>
    <col min="12801" max="12801" width="3.875" style="2757" customWidth="1"/>
    <col min="12802" max="12802" width="18.625" style="2757" customWidth="1"/>
    <col min="12803" max="12803" width="13.5" style="2757" customWidth="1"/>
    <col min="12804" max="12804" width="7.125" style="2757" customWidth="1"/>
    <col min="12805" max="12805" width="13.5" style="2757" customWidth="1"/>
    <col min="12806" max="12806" width="7.125" style="2757" customWidth="1"/>
    <col min="12807" max="12807" width="13.5" style="2757" customWidth="1"/>
    <col min="12808" max="12808" width="7.125" style="2757" customWidth="1"/>
    <col min="12809" max="12809" width="13.5" style="2757" customWidth="1"/>
    <col min="12810" max="12810" width="7.125" style="2757" customWidth="1"/>
    <col min="12811" max="12811" width="2" style="2757" customWidth="1"/>
    <col min="12812" max="12812" width="5" style="2757" customWidth="1"/>
    <col min="12813" max="12813" width="19.5" style="2757" customWidth="1"/>
    <col min="12814" max="12819" width="6.125" style="2757" customWidth="1"/>
    <col min="12820" max="12820" width="2.25" style="2757" customWidth="1"/>
    <col min="12821" max="12821" width="4.125" style="2757" customWidth="1"/>
    <col min="12822" max="12822" width="19.125" style="2757" customWidth="1"/>
    <col min="12823" max="12825" width="11.875" style="2757" customWidth="1"/>
    <col min="12826" max="13054" width="9" style="2757" customWidth="1"/>
    <col min="13055" max="13055" width="4.75" style="2757" customWidth="1"/>
    <col min="13056" max="13056" width="15.25" style="2757"/>
    <col min="13057" max="13057" width="3.875" style="2757" customWidth="1"/>
    <col min="13058" max="13058" width="18.625" style="2757" customWidth="1"/>
    <col min="13059" max="13059" width="13.5" style="2757" customWidth="1"/>
    <col min="13060" max="13060" width="7.125" style="2757" customWidth="1"/>
    <col min="13061" max="13061" width="13.5" style="2757" customWidth="1"/>
    <col min="13062" max="13062" width="7.125" style="2757" customWidth="1"/>
    <col min="13063" max="13063" width="13.5" style="2757" customWidth="1"/>
    <col min="13064" max="13064" width="7.125" style="2757" customWidth="1"/>
    <col min="13065" max="13065" width="13.5" style="2757" customWidth="1"/>
    <col min="13066" max="13066" width="7.125" style="2757" customWidth="1"/>
    <col min="13067" max="13067" width="2" style="2757" customWidth="1"/>
    <col min="13068" max="13068" width="5" style="2757" customWidth="1"/>
    <col min="13069" max="13069" width="19.5" style="2757" customWidth="1"/>
    <col min="13070" max="13075" width="6.125" style="2757" customWidth="1"/>
    <col min="13076" max="13076" width="2.25" style="2757" customWidth="1"/>
    <col min="13077" max="13077" width="4.125" style="2757" customWidth="1"/>
    <col min="13078" max="13078" width="19.125" style="2757" customWidth="1"/>
    <col min="13079" max="13081" width="11.875" style="2757" customWidth="1"/>
    <col min="13082" max="13310" width="9" style="2757" customWidth="1"/>
    <col min="13311" max="13311" width="4.75" style="2757" customWidth="1"/>
    <col min="13312" max="13312" width="15.25" style="2757"/>
    <col min="13313" max="13313" width="3.875" style="2757" customWidth="1"/>
    <col min="13314" max="13314" width="18.625" style="2757" customWidth="1"/>
    <col min="13315" max="13315" width="13.5" style="2757" customWidth="1"/>
    <col min="13316" max="13316" width="7.125" style="2757" customWidth="1"/>
    <col min="13317" max="13317" width="13.5" style="2757" customWidth="1"/>
    <col min="13318" max="13318" width="7.125" style="2757" customWidth="1"/>
    <col min="13319" max="13319" width="13.5" style="2757" customWidth="1"/>
    <col min="13320" max="13320" width="7.125" style="2757" customWidth="1"/>
    <col min="13321" max="13321" width="13.5" style="2757" customWidth="1"/>
    <col min="13322" max="13322" width="7.125" style="2757" customWidth="1"/>
    <col min="13323" max="13323" width="2" style="2757" customWidth="1"/>
    <col min="13324" max="13324" width="5" style="2757" customWidth="1"/>
    <col min="13325" max="13325" width="19.5" style="2757" customWidth="1"/>
    <col min="13326" max="13331" width="6.125" style="2757" customWidth="1"/>
    <col min="13332" max="13332" width="2.25" style="2757" customWidth="1"/>
    <col min="13333" max="13333" width="4.125" style="2757" customWidth="1"/>
    <col min="13334" max="13334" width="19.125" style="2757" customWidth="1"/>
    <col min="13335" max="13337" width="11.875" style="2757" customWidth="1"/>
    <col min="13338" max="13566" width="9" style="2757" customWidth="1"/>
    <col min="13567" max="13567" width="4.75" style="2757" customWidth="1"/>
    <col min="13568" max="13568" width="15.25" style="2757"/>
    <col min="13569" max="13569" width="3.875" style="2757" customWidth="1"/>
    <col min="13570" max="13570" width="18.625" style="2757" customWidth="1"/>
    <col min="13571" max="13571" width="13.5" style="2757" customWidth="1"/>
    <col min="13572" max="13572" width="7.125" style="2757" customWidth="1"/>
    <col min="13573" max="13573" width="13.5" style="2757" customWidth="1"/>
    <col min="13574" max="13574" width="7.125" style="2757" customWidth="1"/>
    <col min="13575" max="13575" width="13.5" style="2757" customWidth="1"/>
    <col min="13576" max="13576" width="7.125" style="2757" customWidth="1"/>
    <col min="13577" max="13577" width="13.5" style="2757" customWidth="1"/>
    <col min="13578" max="13578" width="7.125" style="2757" customWidth="1"/>
    <col min="13579" max="13579" width="2" style="2757" customWidth="1"/>
    <col min="13580" max="13580" width="5" style="2757" customWidth="1"/>
    <col min="13581" max="13581" width="19.5" style="2757" customWidth="1"/>
    <col min="13582" max="13587" width="6.125" style="2757" customWidth="1"/>
    <col min="13588" max="13588" width="2.25" style="2757" customWidth="1"/>
    <col min="13589" max="13589" width="4.125" style="2757" customWidth="1"/>
    <col min="13590" max="13590" width="19.125" style="2757" customWidth="1"/>
    <col min="13591" max="13593" width="11.875" style="2757" customWidth="1"/>
    <col min="13594" max="13822" width="9" style="2757" customWidth="1"/>
    <col min="13823" max="13823" width="4.75" style="2757" customWidth="1"/>
    <col min="13824" max="13824" width="15.25" style="2757"/>
    <col min="13825" max="13825" width="3.875" style="2757" customWidth="1"/>
    <col min="13826" max="13826" width="18.625" style="2757" customWidth="1"/>
    <col min="13827" max="13827" width="13.5" style="2757" customWidth="1"/>
    <col min="13828" max="13828" width="7.125" style="2757" customWidth="1"/>
    <col min="13829" max="13829" width="13.5" style="2757" customWidth="1"/>
    <col min="13830" max="13830" width="7.125" style="2757" customWidth="1"/>
    <col min="13831" max="13831" width="13.5" style="2757" customWidth="1"/>
    <col min="13832" max="13832" width="7.125" style="2757" customWidth="1"/>
    <col min="13833" max="13833" width="13.5" style="2757" customWidth="1"/>
    <col min="13834" max="13834" width="7.125" style="2757" customWidth="1"/>
    <col min="13835" max="13835" width="2" style="2757" customWidth="1"/>
    <col min="13836" max="13836" width="5" style="2757" customWidth="1"/>
    <col min="13837" max="13837" width="19.5" style="2757" customWidth="1"/>
    <col min="13838" max="13843" width="6.125" style="2757" customWidth="1"/>
    <col min="13844" max="13844" width="2.25" style="2757" customWidth="1"/>
    <col min="13845" max="13845" width="4.125" style="2757" customWidth="1"/>
    <col min="13846" max="13846" width="19.125" style="2757" customWidth="1"/>
    <col min="13847" max="13849" width="11.875" style="2757" customWidth="1"/>
    <col min="13850" max="14078" width="9" style="2757" customWidth="1"/>
    <col min="14079" max="14079" width="4.75" style="2757" customWidth="1"/>
    <col min="14080" max="14080" width="15.25" style="2757"/>
    <col min="14081" max="14081" width="3.875" style="2757" customWidth="1"/>
    <col min="14082" max="14082" width="18.625" style="2757" customWidth="1"/>
    <col min="14083" max="14083" width="13.5" style="2757" customWidth="1"/>
    <col min="14084" max="14084" width="7.125" style="2757" customWidth="1"/>
    <col min="14085" max="14085" width="13.5" style="2757" customWidth="1"/>
    <col min="14086" max="14086" width="7.125" style="2757" customWidth="1"/>
    <col min="14087" max="14087" width="13.5" style="2757" customWidth="1"/>
    <col min="14088" max="14088" width="7.125" style="2757" customWidth="1"/>
    <col min="14089" max="14089" width="13.5" style="2757" customWidth="1"/>
    <col min="14090" max="14090" width="7.125" style="2757" customWidth="1"/>
    <col min="14091" max="14091" width="2" style="2757" customWidth="1"/>
    <col min="14092" max="14092" width="5" style="2757" customWidth="1"/>
    <col min="14093" max="14093" width="19.5" style="2757" customWidth="1"/>
    <col min="14094" max="14099" width="6.125" style="2757" customWidth="1"/>
    <col min="14100" max="14100" width="2.25" style="2757" customWidth="1"/>
    <col min="14101" max="14101" width="4.125" style="2757" customWidth="1"/>
    <col min="14102" max="14102" width="19.125" style="2757" customWidth="1"/>
    <col min="14103" max="14105" width="11.875" style="2757" customWidth="1"/>
    <col min="14106" max="14334" width="9" style="2757" customWidth="1"/>
    <col min="14335" max="14335" width="4.75" style="2757" customWidth="1"/>
    <col min="14336" max="14336" width="15.25" style="2757"/>
    <col min="14337" max="14337" width="3.875" style="2757" customWidth="1"/>
    <col min="14338" max="14338" width="18.625" style="2757" customWidth="1"/>
    <col min="14339" max="14339" width="13.5" style="2757" customWidth="1"/>
    <col min="14340" max="14340" width="7.125" style="2757" customWidth="1"/>
    <col min="14341" max="14341" width="13.5" style="2757" customWidth="1"/>
    <col min="14342" max="14342" width="7.125" style="2757" customWidth="1"/>
    <col min="14343" max="14343" width="13.5" style="2757" customWidth="1"/>
    <col min="14344" max="14344" width="7.125" style="2757" customWidth="1"/>
    <col min="14345" max="14345" width="13.5" style="2757" customWidth="1"/>
    <col min="14346" max="14346" width="7.125" style="2757" customWidth="1"/>
    <col min="14347" max="14347" width="2" style="2757" customWidth="1"/>
    <col min="14348" max="14348" width="5" style="2757" customWidth="1"/>
    <col min="14349" max="14349" width="19.5" style="2757" customWidth="1"/>
    <col min="14350" max="14355" width="6.125" style="2757" customWidth="1"/>
    <col min="14356" max="14356" width="2.25" style="2757" customWidth="1"/>
    <col min="14357" max="14357" width="4.125" style="2757" customWidth="1"/>
    <col min="14358" max="14358" width="19.125" style="2757" customWidth="1"/>
    <col min="14359" max="14361" width="11.875" style="2757" customWidth="1"/>
    <col min="14362" max="14590" width="9" style="2757" customWidth="1"/>
    <col min="14591" max="14591" width="4.75" style="2757" customWidth="1"/>
    <col min="14592" max="14592" width="15.25" style="2757"/>
    <col min="14593" max="14593" width="3.875" style="2757" customWidth="1"/>
    <col min="14594" max="14594" width="18.625" style="2757" customWidth="1"/>
    <col min="14595" max="14595" width="13.5" style="2757" customWidth="1"/>
    <col min="14596" max="14596" width="7.125" style="2757" customWidth="1"/>
    <col min="14597" max="14597" width="13.5" style="2757" customWidth="1"/>
    <col min="14598" max="14598" width="7.125" style="2757" customWidth="1"/>
    <col min="14599" max="14599" width="13.5" style="2757" customWidth="1"/>
    <col min="14600" max="14600" width="7.125" style="2757" customWidth="1"/>
    <col min="14601" max="14601" width="13.5" style="2757" customWidth="1"/>
    <col min="14602" max="14602" width="7.125" style="2757" customWidth="1"/>
    <col min="14603" max="14603" width="2" style="2757" customWidth="1"/>
    <col min="14604" max="14604" width="5" style="2757" customWidth="1"/>
    <col min="14605" max="14605" width="19.5" style="2757" customWidth="1"/>
    <col min="14606" max="14611" width="6.125" style="2757" customWidth="1"/>
    <col min="14612" max="14612" width="2.25" style="2757" customWidth="1"/>
    <col min="14613" max="14613" width="4.125" style="2757" customWidth="1"/>
    <col min="14614" max="14614" width="19.125" style="2757" customWidth="1"/>
    <col min="14615" max="14617" width="11.875" style="2757" customWidth="1"/>
    <col min="14618" max="14846" width="9" style="2757" customWidth="1"/>
    <col min="14847" max="14847" width="4.75" style="2757" customWidth="1"/>
    <col min="14848" max="14848" width="15.25" style="2757"/>
    <col min="14849" max="14849" width="3.875" style="2757" customWidth="1"/>
    <col min="14850" max="14850" width="18.625" style="2757" customWidth="1"/>
    <col min="14851" max="14851" width="13.5" style="2757" customWidth="1"/>
    <col min="14852" max="14852" width="7.125" style="2757" customWidth="1"/>
    <col min="14853" max="14853" width="13.5" style="2757" customWidth="1"/>
    <col min="14854" max="14854" width="7.125" style="2757" customWidth="1"/>
    <col min="14855" max="14855" width="13.5" style="2757" customWidth="1"/>
    <col min="14856" max="14856" width="7.125" style="2757" customWidth="1"/>
    <col min="14857" max="14857" width="13.5" style="2757" customWidth="1"/>
    <col min="14858" max="14858" width="7.125" style="2757" customWidth="1"/>
    <col min="14859" max="14859" width="2" style="2757" customWidth="1"/>
    <col min="14860" max="14860" width="5" style="2757" customWidth="1"/>
    <col min="14861" max="14861" width="19.5" style="2757" customWidth="1"/>
    <col min="14862" max="14867" width="6.125" style="2757" customWidth="1"/>
    <col min="14868" max="14868" width="2.25" style="2757" customWidth="1"/>
    <col min="14869" max="14869" width="4.125" style="2757" customWidth="1"/>
    <col min="14870" max="14870" width="19.125" style="2757" customWidth="1"/>
    <col min="14871" max="14873" width="11.875" style="2757" customWidth="1"/>
    <col min="14874" max="15102" width="9" style="2757" customWidth="1"/>
    <col min="15103" max="15103" width="4.75" style="2757" customWidth="1"/>
    <col min="15104" max="15104" width="15.25" style="2757"/>
    <col min="15105" max="15105" width="3.875" style="2757" customWidth="1"/>
    <col min="15106" max="15106" width="18.625" style="2757" customWidth="1"/>
    <col min="15107" max="15107" width="13.5" style="2757" customWidth="1"/>
    <col min="15108" max="15108" width="7.125" style="2757" customWidth="1"/>
    <col min="15109" max="15109" width="13.5" style="2757" customWidth="1"/>
    <col min="15110" max="15110" width="7.125" style="2757" customWidth="1"/>
    <col min="15111" max="15111" width="13.5" style="2757" customWidth="1"/>
    <col min="15112" max="15112" width="7.125" style="2757" customWidth="1"/>
    <col min="15113" max="15113" width="13.5" style="2757" customWidth="1"/>
    <col min="15114" max="15114" width="7.125" style="2757" customWidth="1"/>
    <col min="15115" max="15115" width="2" style="2757" customWidth="1"/>
    <col min="15116" max="15116" width="5" style="2757" customWidth="1"/>
    <col min="15117" max="15117" width="19.5" style="2757" customWidth="1"/>
    <col min="15118" max="15123" width="6.125" style="2757" customWidth="1"/>
    <col min="15124" max="15124" width="2.25" style="2757" customWidth="1"/>
    <col min="15125" max="15125" width="4.125" style="2757" customWidth="1"/>
    <col min="15126" max="15126" width="19.125" style="2757" customWidth="1"/>
    <col min="15127" max="15129" width="11.875" style="2757" customWidth="1"/>
    <col min="15130" max="15358" width="9" style="2757" customWidth="1"/>
    <col min="15359" max="15359" width="4.75" style="2757" customWidth="1"/>
    <col min="15360" max="15360" width="15.25" style="2757"/>
    <col min="15361" max="15361" width="3.875" style="2757" customWidth="1"/>
    <col min="15362" max="15362" width="18.625" style="2757" customWidth="1"/>
    <col min="15363" max="15363" width="13.5" style="2757" customWidth="1"/>
    <col min="15364" max="15364" width="7.125" style="2757" customWidth="1"/>
    <col min="15365" max="15365" width="13.5" style="2757" customWidth="1"/>
    <col min="15366" max="15366" width="7.125" style="2757" customWidth="1"/>
    <col min="15367" max="15367" width="13.5" style="2757" customWidth="1"/>
    <col min="15368" max="15368" width="7.125" style="2757" customWidth="1"/>
    <col min="15369" max="15369" width="13.5" style="2757" customWidth="1"/>
    <col min="15370" max="15370" width="7.125" style="2757" customWidth="1"/>
    <col min="15371" max="15371" width="2" style="2757" customWidth="1"/>
    <col min="15372" max="15372" width="5" style="2757" customWidth="1"/>
    <col min="15373" max="15373" width="19.5" style="2757" customWidth="1"/>
    <col min="15374" max="15379" width="6.125" style="2757" customWidth="1"/>
    <col min="15380" max="15380" width="2.25" style="2757" customWidth="1"/>
    <col min="15381" max="15381" width="4.125" style="2757" customWidth="1"/>
    <col min="15382" max="15382" width="19.125" style="2757" customWidth="1"/>
    <col min="15383" max="15385" width="11.875" style="2757" customWidth="1"/>
    <col min="15386" max="15614" width="9" style="2757" customWidth="1"/>
    <col min="15615" max="15615" width="4.75" style="2757" customWidth="1"/>
    <col min="15616" max="15616" width="15.25" style="2757"/>
    <col min="15617" max="15617" width="3.875" style="2757" customWidth="1"/>
    <col min="15618" max="15618" width="18.625" style="2757" customWidth="1"/>
    <col min="15619" max="15619" width="13.5" style="2757" customWidth="1"/>
    <col min="15620" max="15620" width="7.125" style="2757" customWidth="1"/>
    <col min="15621" max="15621" width="13.5" style="2757" customWidth="1"/>
    <col min="15622" max="15622" width="7.125" style="2757" customWidth="1"/>
    <col min="15623" max="15623" width="13.5" style="2757" customWidth="1"/>
    <col min="15624" max="15624" width="7.125" style="2757" customWidth="1"/>
    <col min="15625" max="15625" width="13.5" style="2757" customWidth="1"/>
    <col min="15626" max="15626" width="7.125" style="2757" customWidth="1"/>
    <col min="15627" max="15627" width="2" style="2757" customWidth="1"/>
    <col min="15628" max="15628" width="5" style="2757" customWidth="1"/>
    <col min="15629" max="15629" width="19.5" style="2757" customWidth="1"/>
    <col min="15630" max="15635" width="6.125" style="2757" customWidth="1"/>
    <col min="15636" max="15636" width="2.25" style="2757" customWidth="1"/>
    <col min="15637" max="15637" width="4.125" style="2757" customWidth="1"/>
    <col min="15638" max="15638" width="19.125" style="2757" customWidth="1"/>
    <col min="15639" max="15641" width="11.875" style="2757" customWidth="1"/>
    <col min="15642" max="15870" width="9" style="2757" customWidth="1"/>
    <col min="15871" max="15871" width="4.75" style="2757" customWidth="1"/>
    <col min="15872" max="15872" width="15.25" style="2757"/>
    <col min="15873" max="15873" width="3.875" style="2757" customWidth="1"/>
    <col min="15874" max="15874" width="18.625" style="2757" customWidth="1"/>
    <col min="15875" max="15875" width="13.5" style="2757" customWidth="1"/>
    <col min="15876" max="15876" width="7.125" style="2757" customWidth="1"/>
    <col min="15877" max="15877" width="13.5" style="2757" customWidth="1"/>
    <col min="15878" max="15878" width="7.125" style="2757" customWidth="1"/>
    <col min="15879" max="15879" width="13.5" style="2757" customWidth="1"/>
    <col min="15880" max="15880" width="7.125" style="2757" customWidth="1"/>
    <col min="15881" max="15881" width="13.5" style="2757" customWidth="1"/>
    <col min="15882" max="15882" width="7.125" style="2757" customWidth="1"/>
    <col min="15883" max="15883" width="2" style="2757" customWidth="1"/>
    <col min="15884" max="15884" width="5" style="2757" customWidth="1"/>
    <col min="15885" max="15885" width="19.5" style="2757" customWidth="1"/>
    <col min="15886" max="15891" width="6.125" style="2757" customWidth="1"/>
    <col min="15892" max="15892" width="2.25" style="2757" customWidth="1"/>
    <col min="15893" max="15893" width="4.125" style="2757" customWidth="1"/>
    <col min="15894" max="15894" width="19.125" style="2757" customWidth="1"/>
    <col min="15895" max="15897" width="11.875" style="2757" customWidth="1"/>
    <col min="15898" max="16126" width="9" style="2757" customWidth="1"/>
    <col min="16127" max="16127" width="4.75" style="2757" customWidth="1"/>
    <col min="16128" max="16128" width="15.25" style="2757"/>
    <col min="16129" max="16129" width="3.875" style="2757" customWidth="1"/>
    <col min="16130" max="16130" width="18.625" style="2757" customWidth="1"/>
    <col min="16131" max="16131" width="13.5" style="2757" customWidth="1"/>
    <col min="16132" max="16132" width="7.125" style="2757" customWidth="1"/>
    <col min="16133" max="16133" width="13.5" style="2757" customWidth="1"/>
    <col min="16134" max="16134" width="7.125" style="2757" customWidth="1"/>
    <col min="16135" max="16135" width="13.5" style="2757" customWidth="1"/>
    <col min="16136" max="16136" width="7.125" style="2757" customWidth="1"/>
    <col min="16137" max="16137" width="13.5" style="2757" customWidth="1"/>
    <col min="16138" max="16138" width="7.125" style="2757" customWidth="1"/>
    <col min="16139" max="16139" width="2" style="2757" customWidth="1"/>
    <col min="16140" max="16140" width="5" style="2757" customWidth="1"/>
    <col min="16141" max="16141" width="19.5" style="2757" customWidth="1"/>
    <col min="16142" max="16147" width="6.125" style="2757" customWidth="1"/>
    <col min="16148" max="16148" width="2.25" style="2757" customWidth="1"/>
    <col min="16149" max="16149" width="4.125" style="2757" customWidth="1"/>
    <col min="16150" max="16150" width="19.125" style="2757" customWidth="1"/>
    <col min="16151" max="16153" width="11.875" style="2757" customWidth="1"/>
    <col min="16154" max="16382" width="9" style="2757" customWidth="1"/>
    <col min="16383" max="16383" width="4.75" style="2757" customWidth="1"/>
    <col min="16384" max="16384" width="15.25" style="2757"/>
  </cols>
  <sheetData>
    <row r="1" spans="1:25" ht="18.75">
      <c r="A1" s="3236" t="s">
        <v>2826</v>
      </c>
      <c r="B1" s="3237"/>
      <c r="C1" s="3237"/>
      <c r="D1" s="3237"/>
      <c r="E1" s="3237"/>
      <c r="F1" s="3237"/>
      <c r="G1" s="3237"/>
      <c r="H1" s="3237"/>
      <c r="I1" s="3237"/>
      <c r="J1" s="3237"/>
      <c r="K1" s="3237"/>
      <c r="L1" s="3237"/>
      <c r="M1" s="3237"/>
      <c r="N1" s="3237"/>
      <c r="O1" s="3237"/>
      <c r="P1" s="3237"/>
      <c r="Q1" s="3237"/>
      <c r="R1" s="3237"/>
      <c r="S1" s="3237"/>
      <c r="T1" s="2755"/>
      <c r="U1" s="2756"/>
      <c r="V1" s="2756"/>
      <c r="W1" s="2756"/>
      <c r="X1" s="2756"/>
      <c r="Y1" s="2756"/>
    </row>
    <row r="2" spans="1:25">
      <c r="A2" s="3238" t="s">
        <v>2827</v>
      </c>
      <c r="B2" s="3238"/>
      <c r="C2" s="3238"/>
      <c r="D2" s="3238"/>
      <c r="E2" s="3238"/>
      <c r="F2" s="3238"/>
      <c r="G2" s="3238"/>
      <c r="H2" s="3238"/>
      <c r="I2" s="3238"/>
      <c r="J2" s="3238"/>
      <c r="K2" s="3239"/>
      <c r="L2" s="3238" t="s">
        <v>2857</v>
      </c>
      <c r="M2" s="3238"/>
      <c r="N2" s="3238"/>
      <c r="O2" s="3238"/>
      <c r="P2" s="3238"/>
      <c r="Q2" s="3238"/>
      <c r="R2" s="3238"/>
      <c r="S2" s="3238"/>
      <c r="T2" s="3241"/>
      <c r="U2" s="2758"/>
      <c r="V2" s="2758"/>
      <c r="W2" s="2758"/>
      <c r="X2" s="2758"/>
      <c r="Y2" s="2758"/>
    </row>
    <row r="3" spans="1:25" ht="12" customHeight="1">
      <c r="A3" s="3229" t="s">
        <v>2858</v>
      </c>
      <c r="B3" s="3229"/>
      <c r="C3" s="2865" t="s">
        <v>2859</v>
      </c>
      <c r="D3" s="3243" t="s">
        <v>2830</v>
      </c>
      <c r="E3" s="2865" t="s">
        <v>3102</v>
      </c>
      <c r="F3" s="3243" t="s">
        <v>2830</v>
      </c>
      <c r="G3" s="2865" t="s">
        <v>3103</v>
      </c>
      <c r="H3" s="3243" t="s">
        <v>2830</v>
      </c>
      <c r="I3" s="2865" t="s">
        <v>3104</v>
      </c>
      <c r="J3" s="3243" t="s">
        <v>2830</v>
      </c>
      <c r="K3" s="3240"/>
      <c r="L3" s="3216" t="s">
        <v>2829</v>
      </c>
      <c r="M3" s="3216"/>
      <c r="N3" s="3234" t="str">
        <f>E3</f>
        <v>实例A</v>
      </c>
      <c r="O3" s="3226"/>
      <c r="P3" s="3234" t="str">
        <f>G3</f>
        <v>实例B</v>
      </c>
      <c r="Q3" s="3226"/>
      <c r="R3" s="3216" t="str">
        <f>I3</f>
        <v>实例C</v>
      </c>
      <c r="S3" s="3216"/>
      <c r="T3" s="3242"/>
      <c r="U3" s="3216" t="s">
        <v>2829</v>
      </c>
      <c r="V3" s="3216"/>
      <c r="W3" s="3216" t="str">
        <f>N3</f>
        <v>实例A</v>
      </c>
      <c r="X3" s="3216" t="str">
        <f>P3</f>
        <v>实例B</v>
      </c>
      <c r="Y3" s="3216" t="str">
        <f>R3</f>
        <v>实例C</v>
      </c>
    </row>
    <row r="4" spans="1:25" ht="24">
      <c r="A4" s="3229"/>
      <c r="B4" s="3229"/>
      <c r="C4" s="2865" t="str">
        <f>项目基本情况!C6</f>
        <v>北京市朝阳区常惠路6号</v>
      </c>
      <c r="D4" s="3243"/>
      <c r="E4" s="2865" t="str">
        <f>'比较法-租金'!E5:F5</f>
        <v>龙湖长楹天街</v>
      </c>
      <c r="F4" s="3243" t="s">
        <v>2830</v>
      </c>
      <c r="G4" s="2865" t="str">
        <f>'比较法-租金'!G5:H5</f>
        <v>陆港城</v>
      </c>
      <c r="H4" s="3243" t="s">
        <v>2828</v>
      </c>
      <c r="I4" s="2865" t="str">
        <f>'比较法-租金'!I5:J5</f>
        <v>陆港城</v>
      </c>
      <c r="J4" s="3243" t="s">
        <v>2828</v>
      </c>
      <c r="K4" s="3240"/>
      <c r="L4" s="3216"/>
      <c r="M4" s="3216"/>
      <c r="N4" s="3235"/>
      <c r="O4" s="3227"/>
      <c r="P4" s="3235"/>
      <c r="Q4" s="3227"/>
      <c r="R4" s="3216"/>
      <c r="S4" s="3216"/>
      <c r="T4" s="3242"/>
      <c r="U4" s="3216"/>
      <c r="V4" s="3216"/>
      <c r="W4" s="3216"/>
      <c r="X4" s="3216"/>
      <c r="Y4" s="3216"/>
    </row>
    <row r="5" spans="1:25">
      <c r="A5" s="3229" t="s">
        <v>2860</v>
      </c>
      <c r="B5" s="3229"/>
      <c r="C5" s="2866">
        <f>'比较法-租金'!C7</f>
        <v>44134</v>
      </c>
      <c r="D5" s="2867">
        <v>100</v>
      </c>
      <c r="E5" s="2866">
        <f>'比较法-租金'!E7</f>
        <v>44118</v>
      </c>
      <c r="F5" s="2868" t="s">
        <v>2861</v>
      </c>
      <c r="G5" s="2866">
        <f>'比较法-租金'!G7</f>
        <v>44118</v>
      </c>
      <c r="H5" s="2868" t="s">
        <v>2861</v>
      </c>
      <c r="I5" s="2866">
        <f>'比较法-租金'!I7</f>
        <v>44134</v>
      </c>
      <c r="J5" s="2868" t="s">
        <v>2861</v>
      </c>
      <c r="K5" s="3240"/>
      <c r="L5" s="3232" t="s">
        <v>2862</v>
      </c>
      <c r="M5" s="3233"/>
      <c r="N5" s="2760" t="s">
        <v>2854</v>
      </c>
      <c r="O5" s="2761" t="str">
        <f>F5</f>
        <v>100</v>
      </c>
      <c r="P5" s="2760" t="s">
        <v>2863</v>
      </c>
      <c r="Q5" s="2761" t="str">
        <f>H5</f>
        <v>100</v>
      </c>
      <c r="R5" s="2760" t="s">
        <v>2855</v>
      </c>
      <c r="S5" s="2761" t="str">
        <f>J5</f>
        <v>100</v>
      </c>
      <c r="T5" s="3242"/>
      <c r="U5" s="3216" t="s">
        <v>2864</v>
      </c>
      <c r="V5" s="3216"/>
      <c r="W5" s="2759">
        <f>D5/F5</f>
        <v>1</v>
      </c>
      <c r="X5" s="2759">
        <f>D5/H5</f>
        <v>1</v>
      </c>
      <c r="Y5" s="2759">
        <f>D5/J5</f>
        <v>1</v>
      </c>
    </row>
    <row r="6" spans="1:25">
      <c r="A6" s="3244" t="s">
        <v>2832</v>
      </c>
      <c r="B6" s="3244"/>
      <c r="C6" s="2869" t="s">
        <v>2865</v>
      </c>
      <c r="D6" s="2867">
        <v>100</v>
      </c>
      <c r="E6" s="2868" t="s">
        <v>3085</v>
      </c>
      <c r="F6" s="2870">
        <v>100</v>
      </c>
      <c r="G6" s="2868" t="s">
        <v>3085</v>
      </c>
      <c r="H6" s="2870">
        <v>100</v>
      </c>
      <c r="I6" s="2868" t="s">
        <v>3085</v>
      </c>
      <c r="J6" s="2870">
        <v>100</v>
      </c>
      <c r="K6" s="3240"/>
      <c r="L6" s="3232" t="s">
        <v>2832</v>
      </c>
      <c r="M6" s="3245"/>
      <c r="N6" s="2760" t="s">
        <v>2855</v>
      </c>
      <c r="O6" s="2761">
        <f t="shared" ref="O6:O35" si="0">F6</f>
        <v>100</v>
      </c>
      <c r="P6" s="2760" t="s">
        <v>2855</v>
      </c>
      <c r="Q6" s="2761">
        <f t="shared" ref="Q6:Q35" si="1">H6</f>
        <v>100</v>
      </c>
      <c r="R6" s="2760" t="s">
        <v>2855</v>
      </c>
      <c r="S6" s="2761">
        <f t="shared" ref="S6:S35" si="2">J6</f>
        <v>100</v>
      </c>
      <c r="T6" s="3242"/>
      <c r="U6" s="3216" t="s">
        <v>2832</v>
      </c>
      <c r="V6" s="3216"/>
      <c r="W6" s="2759">
        <f t="shared" ref="W6:W35" si="3">D6/F6</f>
        <v>1</v>
      </c>
      <c r="X6" s="2759">
        <f t="shared" ref="X6:X35" si="4">D6/H6</f>
        <v>1</v>
      </c>
      <c r="Y6" s="2759">
        <f t="shared" ref="Y6:Y35" si="5">D6/J6</f>
        <v>1</v>
      </c>
    </row>
    <row r="7" spans="1:25" ht="25.5" customHeight="1">
      <c r="A7" s="3246" t="s">
        <v>2833</v>
      </c>
      <c r="B7" s="2871" t="s">
        <v>3105</v>
      </c>
      <c r="C7" s="2869" t="s">
        <v>2834</v>
      </c>
      <c r="D7" s="2867">
        <v>100</v>
      </c>
      <c r="E7" s="2870" t="s">
        <v>2834</v>
      </c>
      <c r="F7" s="2870">
        <f>D7</f>
        <v>100</v>
      </c>
      <c r="G7" s="2870" t="str">
        <f>E7</f>
        <v>商业</v>
      </c>
      <c r="H7" s="2870">
        <f>D7</f>
        <v>100</v>
      </c>
      <c r="I7" s="2868" t="str">
        <f>C7</f>
        <v>商业</v>
      </c>
      <c r="J7" s="2870">
        <f>D7</f>
        <v>100</v>
      </c>
      <c r="K7" s="3240"/>
      <c r="L7" s="3216" t="s">
        <v>2833</v>
      </c>
      <c r="M7" s="2762" t="str">
        <f>B7</f>
        <v>实际用途</v>
      </c>
      <c r="N7" s="2760" t="s">
        <v>2831</v>
      </c>
      <c r="O7" s="2761">
        <f t="shared" si="0"/>
        <v>100</v>
      </c>
      <c r="P7" s="2760" t="s">
        <v>2831</v>
      </c>
      <c r="Q7" s="2761">
        <f t="shared" si="1"/>
        <v>100</v>
      </c>
      <c r="R7" s="2760" t="s">
        <v>2831</v>
      </c>
      <c r="S7" s="2761">
        <f t="shared" si="2"/>
        <v>100</v>
      </c>
      <c r="T7" s="3242"/>
      <c r="U7" s="3216" t="s">
        <v>2835</v>
      </c>
      <c r="V7" s="2762" t="str">
        <f>M7</f>
        <v>实际用途</v>
      </c>
      <c r="W7" s="2759">
        <f t="shared" si="3"/>
        <v>1</v>
      </c>
      <c r="X7" s="2759">
        <f t="shared" si="4"/>
        <v>1</v>
      </c>
      <c r="Y7" s="2759">
        <f t="shared" si="5"/>
        <v>1</v>
      </c>
    </row>
    <row r="8" spans="1:25" hidden="1">
      <c r="A8" s="3246"/>
      <c r="B8" s="2871" t="s">
        <v>2836</v>
      </c>
      <c r="C8" s="2869" t="s">
        <v>2866</v>
      </c>
      <c r="D8" s="2867">
        <v>100</v>
      </c>
      <c r="E8" s="2868" t="s">
        <v>2867</v>
      </c>
      <c r="F8" s="2870">
        <v>98</v>
      </c>
      <c r="G8" s="2868" t="str">
        <f>C8</f>
        <v>20-30年</v>
      </c>
      <c r="H8" s="2870">
        <f>D8</f>
        <v>100</v>
      </c>
      <c r="I8" s="2868" t="str">
        <f>C8</f>
        <v>20-30年</v>
      </c>
      <c r="J8" s="2870">
        <f>D8</f>
        <v>100</v>
      </c>
      <c r="K8" s="3240"/>
      <c r="L8" s="3216"/>
      <c r="M8" s="2762" t="str">
        <f t="shared" ref="M8:M35" si="6">B8</f>
        <v>土地使用年限</v>
      </c>
      <c r="N8" s="2760" t="s">
        <v>2831</v>
      </c>
      <c r="O8" s="2761">
        <f t="shared" si="0"/>
        <v>98</v>
      </c>
      <c r="P8" s="2760" t="s">
        <v>2831</v>
      </c>
      <c r="Q8" s="2761">
        <f t="shared" si="1"/>
        <v>100</v>
      </c>
      <c r="R8" s="2760" t="s">
        <v>2831</v>
      </c>
      <c r="S8" s="2761">
        <f t="shared" si="2"/>
        <v>100</v>
      </c>
      <c r="T8" s="3242"/>
      <c r="U8" s="3216"/>
      <c r="V8" s="2762" t="str">
        <f t="shared" ref="V8:V35" si="7">M8</f>
        <v>土地使用年限</v>
      </c>
      <c r="W8" s="2759">
        <f t="shared" si="3"/>
        <v>1.0204081632653061</v>
      </c>
      <c r="X8" s="2759">
        <f t="shared" si="4"/>
        <v>1</v>
      </c>
      <c r="Y8" s="2759">
        <f t="shared" si="5"/>
        <v>1</v>
      </c>
    </row>
    <row r="9" spans="1:25" hidden="1">
      <c r="A9" s="3246"/>
      <c r="B9" s="2871" t="s">
        <v>2868</v>
      </c>
      <c r="C9" s="2869"/>
      <c r="D9" s="2867">
        <v>100</v>
      </c>
      <c r="E9" s="2870"/>
      <c r="F9" s="2870">
        <f>D9</f>
        <v>100</v>
      </c>
      <c r="G9" s="2870"/>
      <c r="H9" s="2870">
        <f>D9</f>
        <v>100</v>
      </c>
      <c r="I9" s="2870"/>
      <c r="J9" s="2870">
        <f>D9</f>
        <v>100</v>
      </c>
      <c r="K9" s="3240"/>
      <c r="L9" s="3216"/>
      <c r="M9" s="2762" t="str">
        <f t="shared" si="6"/>
        <v>地上容积率</v>
      </c>
      <c r="N9" s="2760" t="s">
        <v>2831</v>
      </c>
      <c r="O9" s="2761">
        <f t="shared" si="0"/>
        <v>100</v>
      </c>
      <c r="P9" s="2760" t="s">
        <v>2831</v>
      </c>
      <c r="Q9" s="2761">
        <f t="shared" si="1"/>
        <v>100</v>
      </c>
      <c r="R9" s="2760" t="s">
        <v>2831</v>
      </c>
      <c r="S9" s="2761">
        <f t="shared" si="2"/>
        <v>100</v>
      </c>
      <c r="T9" s="3242"/>
      <c r="U9" s="3216"/>
      <c r="V9" s="2762" t="str">
        <f t="shared" si="7"/>
        <v>地上容积率</v>
      </c>
      <c r="W9" s="2759">
        <f t="shared" si="3"/>
        <v>1</v>
      </c>
      <c r="X9" s="2759">
        <f t="shared" si="4"/>
        <v>1</v>
      </c>
      <c r="Y9" s="2759">
        <f t="shared" si="5"/>
        <v>1</v>
      </c>
    </row>
    <row r="10" spans="1:25" hidden="1">
      <c r="A10" s="3246"/>
      <c r="B10" s="2871" t="s">
        <v>2837</v>
      </c>
      <c r="C10" s="2869"/>
      <c r="D10" s="2867">
        <v>100</v>
      </c>
      <c r="E10" s="2870"/>
      <c r="F10" s="2870">
        <f>D10</f>
        <v>100</v>
      </c>
      <c r="G10" s="2870"/>
      <c r="H10" s="2870">
        <f>D10</f>
        <v>100</v>
      </c>
      <c r="I10" s="2870"/>
      <c r="J10" s="2870">
        <f>D10</f>
        <v>100</v>
      </c>
      <c r="K10" s="3240"/>
      <c r="L10" s="3216"/>
      <c r="M10" s="2762" t="str">
        <f t="shared" si="6"/>
        <v>其他权益状况修正</v>
      </c>
      <c r="N10" s="2760" t="s">
        <v>2831</v>
      </c>
      <c r="O10" s="2761">
        <f t="shared" si="0"/>
        <v>100</v>
      </c>
      <c r="P10" s="2760" t="s">
        <v>2831</v>
      </c>
      <c r="Q10" s="2761">
        <f t="shared" si="1"/>
        <v>100</v>
      </c>
      <c r="R10" s="2760" t="s">
        <v>2831</v>
      </c>
      <c r="S10" s="2761">
        <f t="shared" si="2"/>
        <v>100</v>
      </c>
      <c r="T10" s="3242"/>
      <c r="U10" s="3216"/>
      <c r="V10" s="2762" t="str">
        <f t="shared" si="7"/>
        <v>其他权益状况修正</v>
      </c>
      <c r="W10" s="2759">
        <f t="shared" si="3"/>
        <v>1</v>
      </c>
      <c r="X10" s="2759">
        <f t="shared" si="4"/>
        <v>1</v>
      </c>
      <c r="Y10" s="2759">
        <f t="shared" si="5"/>
        <v>1</v>
      </c>
    </row>
    <row r="11" spans="1:25" ht="13.5" customHeight="1">
      <c r="A11" s="3223" t="s">
        <v>2838</v>
      </c>
      <c r="B11" s="2872" t="s">
        <v>2869</v>
      </c>
      <c r="C11" s="2869" t="s">
        <v>2870</v>
      </c>
      <c r="D11" s="2867">
        <v>100</v>
      </c>
      <c r="E11" s="2870" t="s">
        <v>29</v>
      </c>
      <c r="F11" s="2870">
        <v>100</v>
      </c>
      <c r="G11" s="2870" t="s">
        <v>29</v>
      </c>
      <c r="H11" s="2870">
        <v>100</v>
      </c>
      <c r="I11" s="2870" t="s">
        <v>29</v>
      </c>
      <c r="J11" s="2870">
        <v>100</v>
      </c>
      <c r="K11" s="3240"/>
      <c r="L11" s="3226" t="s">
        <v>2838</v>
      </c>
      <c r="M11" s="2762" t="str">
        <f t="shared" si="6"/>
        <v>商业繁华度</v>
      </c>
      <c r="N11" s="2760" t="s">
        <v>2831</v>
      </c>
      <c r="O11" s="2761">
        <f t="shared" si="0"/>
        <v>100</v>
      </c>
      <c r="P11" s="2760" t="s">
        <v>2831</v>
      </c>
      <c r="Q11" s="2761">
        <f t="shared" si="1"/>
        <v>100</v>
      </c>
      <c r="R11" s="2760" t="s">
        <v>2831</v>
      </c>
      <c r="S11" s="2761">
        <f t="shared" si="2"/>
        <v>100</v>
      </c>
      <c r="T11" s="3242"/>
      <c r="U11" s="3226" t="s">
        <v>2838</v>
      </c>
      <c r="V11" s="2762" t="str">
        <f t="shared" si="7"/>
        <v>商业繁华度</v>
      </c>
      <c r="W11" s="2759">
        <f t="shared" si="3"/>
        <v>1</v>
      </c>
      <c r="X11" s="2759">
        <f t="shared" si="4"/>
        <v>1</v>
      </c>
      <c r="Y11" s="2759">
        <f t="shared" si="5"/>
        <v>1</v>
      </c>
    </row>
    <row r="12" spans="1:25">
      <c r="A12" s="3224"/>
      <c r="B12" s="2872" t="s">
        <v>2839</v>
      </c>
      <c r="C12" s="2869" t="s">
        <v>2871</v>
      </c>
      <c r="D12" s="2867">
        <v>100</v>
      </c>
      <c r="E12" s="2870" t="s">
        <v>30</v>
      </c>
      <c r="F12" s="2870">
        <v>100</v>
      </c>
      <c r="G12" s="2870" t="s">
        <v>30</v>
      </c>
      <c r="H12" s="2870">
        <v>100</v>
      </c>
      <c r="I12" s="2870" t="s">
        <v>30</v>
      </c>
      <c r="J12" s="2870">
        <v>100</v>
      </c>
      <c r="K12" s="3240"/>
      <c r="L12" s="3227"/>
      <c r="M12" s="2762" t="str">
        <f t="shared" si="6"/>
        <v>交通便捷度</v>
      </c>
      <c r="N12" s="2760" t="s">
        <v>2831</v>
      </c>
      <c r="O12" s="2761">
        <f t="shared" si="0"/>
        <v>100</v>
      </c>
      <c r="P12" s="2760" t="s">
        <v>2831</v>
      </c>
      <c r="Q12" s="2761">
        <f t="shared" si="1"/>
        <v>100</v>
      </c>
      <c r="R12" s="2760" t="s">
        <v>2831</v>
      </c>
      <c r="S12" s="2761">
        <f t="shared" si="2"/>
        <v>100</v>
      </c>
      <c r="T12" s="3242"/>
      <c r="U12" s="3227"/>
      <c r="V12" s="2762" t="str">
        <f t="shared" si="7"/>
        <v>交通便捷度</v>
      </c>
      <c r="W12" s="2759">
        <f t="shared" si="3"/>
        <v>1</v>
      </c>
      <c r="X12" s="2759">
        <f t="shared" si="4"/>
        <v>1</v>
      </c>
      <c r="Y12" s="2759">
        <f t="shared" si="5"/>
        <v>1</v>
      </c>
    </row>
    <row r="13" spans="1:25">
      <c r="A13" s="3224"/>
      <c r="B13" s="2871" t="s">
        <v>2840</v>
      </c>
      <c r="C13" s="2869" t="s">
        <v>2870</v>
      </c>
      <c r="D13" s="2867">
        <v>100</v>
      </c>
      <c r="E13" s="2870" t="s">
        <v>29</v>
      </c>
      <c r="F13" s="2870">
        <v>100</v>
      </c>
      <c r="G13" s="2870" t="s">
        <v>29</v>
      </c>
      <c r="H13" s="2870">
        <v>100</v>
      </c>
      <c r="I13" s="2870" t="s">
        <v>29</v>
      </c>
      <c r="J13" s="2870">
        <v>100</v>
      </c>
      <c r="K13" s="3240"/>
      <c r="L13" s="3227"/>
      <c r="M13" s="2762" t="str">
        <f t="shared" si="6"/>
        <v>公用服务设施完善度</v>
      </c>
      <c r="N13" s="2760" t="s">
        <v>2831</v>
      </c>
      <c r="O13" s="2761">
        <f t="shared" si="0"/>
        <v>100</v>
      </c>
      <c r="P13" s="2760" t="s">
        <v>2831</v>
      </c>
      <c r="Q13" s="2761">
        <f t="shared" si="1"/>
        <v>100</v>
      </c>
      <c r="R13" s="2760" t="s">
        <v>2831</v>
      </c>
      <c r="S13" s="2761">
        <f t="shared" si="2"/>
        <v>100</v>
      </c>
      <c r="T13" s="3242"/>
      <c r="U13" s="3227"/>
      <c r="V13" s="2762" t="str">
        <f t="shared" si="7"/>
        <v>公用服务设施完善度</v>
      </c>
      <c r="W13" s="2759">
        <f t="shared" si="3"/>
        <v>1</v>
      </c>
      <c r="X13" s="2759">
        <f t="shared" si="4"/>
        <v>1</v>
      </c>
      <c r="Y13" s="2759">
        <f t="shared" si="5"/>
        <v>1</v>
      </c>
    </row>
    <row r="14" spans="1:25">
      <c r="A14" s="3224"/>
      <c r="B14" s="2872" t="s">
        <v>2841</v>
      </c>
      <c r="C14" s="2869" t="s">
        <v>2871</v>
      </c>
      <c r="D14" s="2867">
        <v>100</v>
      </c>
      <c r="E14" s="2870" t="s">
        <v>30</v>
      </c>
      <c r="F14" s="2870">
        <v>100</v>
      </c>
      <c r="G14" s="2870" t="s">
        <v>30</v>
      </c>
      <c r="H14" s="2870">
        <v>100</v>
      </c>
      <c r="I14" s="2870" t="s">
        <v>30</v>
      </c>
      <c r="J14" s="2870">
        <v>100</v>
      </c>
      <c r="K14" s="3240"/>
      <c r="L14" s="3227"/>
      <c r="M14" s="2762" t="str">
        <f t="shared" si="6"/>
        <v>自然及人文环境</v>
      </c>
      <c r="N14" s="2760" t="s">
        <v>2831</v>
      </c>
      <c r="O14" s="2761">
        <f t="shared" si="0"/>
        <v>100</v>
      </c>
      <c r="P14" s="2760" t="s">
        <v>2831</v>
      </c>
      <c r="Q14" s="2761">
        <f t="shared" si="1"/>
        <v>100</v>
      </c>
      <c r="R14" s="2760" t="s">
        <v>2831</v>
      </c>
      <c r="S14" s="2761">
        <f t="shared" si="2"/>
        <v>100</v>
      </c>
      <c r="T14" s="3242"/>
      <c r="U14" s="3227"/>
      <c r="V14" s="2762" t="str">
        <f t="shared" si="7"/>
        <v>自然及人文环境</v>
      </c>
      <c r="W14" s="2759">
        <f t="shared" si="3"/>
        <v>1</v>
      </c>
      <c r="X14" s="2759">
        <f t="shared" si="4"/>
        <v>1</v>
      </c>
      <c r="Y14" s="2759">
        <f t="shared" si="5"/>
        <v>1</v>
      </c>
    </row>
    <row r="15" spans="1:25">
      <c r="A15" s="3224"/>
      <c r="B15" s="2872" t="s">
        <v>2872</v>
      </c>
      <c r="C15" s="2869" t="s">
        <v>3106</v>
      </c>
      <c r="D15" s="2867">
        <v>100</v>
      </c>
      <c r="E15" s="2870" t="s">
        <v>3055</v>
      </c>
      <c r="F15" s="2870">
        <v>100</v>
      </c>
      <c r="G15" s="2870" t="s">
        <v>3055</v>
      </c>
      <c r="H15" s="2870">
        <v>100</v>
      </c>
      <c r="I15" s="2870" t="s">
        <v>3055</v>
      </c>
      <c r="J15" s="2870">
        <v>100</v>
      </c>
      <c r="K15" s="3240"/>
      <c r="L15" s="3227"/>
      <c r="M15" s="2762" t="str">
        <f t="shared" si="6"/>
        <v>临街状况</v>
      </c>
      <c r="N15" s="2760" t="s">
        <v>2831</v>
      </c>
      <c r="O15" s="2761">
        <f t="shared" si="0"/>
        <v>100</v>
      </c>
      <c r="P15" s="2760" t="s">
        <v>2831</v>
      </c>
      <c r="Q15" s="2761">
        <f t="shared" si="1"/>
        <v>100</v>
      </c>
      <c r="R15" s="2760" t="s">
        <v>2831</v>
      </c>
      <c r="S15" s="2761">
        <f t="shared" si="2"/>
        <v>100</v>
      </c>
      <c r="T15" s="3242"/>
      <c r="U15" s="3227"/>
      <c r="V15" s="2762" t="str">
        <f t="shared" si="7"/>
        <v>临街状况</v>
      </c>
      <c r="W15" s="2759">
        <f t="shared" si="3"/>
        <v>1</v>
      </c>
      <c r="X15" s="2759">
        <f t="shared" si="4"/>
        <v>1</v>
      </c>
      <c r="Y15" s="2759">
        <f t="shared" si="5"/>
        <v>1</v>
      </c>
    </row>
    <row r="16" spans="1:25" ht="24" hidden="1">
      <c r="A16" s="3224"/>
      <c r="B16" s="2872" t="s">
        <v>2842</v>
      </c>
      <c r="C16" s="2869" t="s">
        <v>2873</v>
      </c>
      <c r="D16" s="2867">
        <v>100</v>
      </c>
      <c r="E16" s="2870" t="s">
        <v>2874</v>
      </c>
      <c r="F16" s="2870">
        <f t="shared" ref="F16:F20" si="8">D16</f>
        <v>100</v>
      </c>
      <c r="G16" s="2870" t="s">
        <v>2875</v>
      </c>
      <c r="H16" s="2870">
        <v>96</v>
      </c>
      <c r="I16" s="2870" t="s">
        <v>2876</v>
      </c>
      <c r="J16" s="2870">
        <v>98</v>
      </c>
      <c r="K16" s="3240"/>
      <c r="L16" s="3227"/>
      <c r="M16" s="2762" t="str">
        <f t="shared" si="6"/>
        <v>临街道路级别</v>
      </c>
      <c r="N16" s="2760" t="s">
        <v>2831</v>
      </c>
      <c r="O16" s="2761">
        <f t="shared" si="0"/>
        <v>100</v>
      </c>
      <c r="P16" s="2760" t="s">
        <v>2831</v>
      </c>
      <c r="Q16" s="2761">
        <f t="shared" si="1"/>
        <v>96</v>
      </c>
      <c r="R16" s="2760" t="s">
        <v>2831</v>
      </c>
      <c r="S16" s="2761">
        <f t="shared" si="2"/>
        <v>98</v>
      </c>
      <c r="T16" s="3242"/>
      <c r="U16" s="3227"/>
      <c r="V16" s="2762" t="str">
        <f t="shared" si="7"/>
        <v>临街道路级别</v>
      </c>
      <c r="W16" s="2759">
        <f t="shared" si="3"/>
        <v>1</v>
      </c>
      <c r="X16" s="2759">
        <f t="shared" si="4"/>
        <v>1.0416666666666667</v>
      </c>
      <c r="Y16" s="2759">
        <f t="shared" si="5"/>
        <v>1.0204081632653061</v>
      </c>
    </row>
    <row r="17" spans="1:25">
      <c r="A17" s="3224"/>
      <c r="B17" s="2872" t="s">
        <v>3111</v>
      </c>
      <c r="C17" s="2869" t="s">
        <v>3112</v>
      </c>
      <c r="D17" s="2867">
        <v>100</v>
      </c>
      <c r="E17" s="2870" t="s">
        <v>3054</v>
      </c>
      <c r="F17" s="2870">
        <v>100</v>
      </c>
      <c r="G17" s="2870" t="s">
        <v>3054</v>
      </c>
      <c r="H17" s="2870">
        <v>100</v>
      </c>
      <c r="I17" s="2870" t="s">
        <v>3054</v>
      </c>
      <c r="J17" s="2870">
        <v>100</v>
      </c>
      <c r="K17" s="3240"/>
      <c r="L17" s="3227"/>
      <c r="M17" s="2762" t="str">
        <f t="shared" si="6"/>
        <v>基础设施水平</v>
      </c>
      <c r="N17" s="2760" t="s">
        <v>2831</v>
      </c>
      <c r="O17" s="2761">
        <f t="shared" si="0"/>
        <v>100</v>
      </c>
      <c r="P17" s="2760" t="s">
        <v>2831</v>
      </c>
      <c r="Q17" s="2761">
        <f t="shared" si="1"/>
        <v>100</v>
      </c>
      <c r="R17" s="2760" t="s">
        <v>2831</v>
      </c>
      <c r="S17" s="2761">
        <f t="shared" si="2"/>
        <v>100</v>
      </c>
      <c r="T17" s="3242"/>
      <c r="U17" s="3227"/>
      <c r="V17" s="2762" t="str">
        <f t="shared" si="7"/>
        <v>基础设施水平</v>
      </c>
      <c r="W17" s="2759">
        <f t="shared" si="3"/>
        <v>1</v>
      </c>
      <c r="X17" s="2759">
        <f t="shared" si="4"/>
        <v>1</v>
      </c>
      <c r="Y17" s="2759">
        <f t="shared" si="5"/>
        <v>1</v>
      </c>
    </row>
    <row r="18" spans="1:25">
      <c r="A18" s="3224"/>
      <c r="B18" s="2872" t="s">
        <v>2843</v>
      </c>
      <c r="C18" s="2869" t="s">
        <v>2877</v>
      </c>
      <c r="D18" s="2867">
        <v>100</v>
      </c>
      <c r="E18" s="2868" t="str">
        <f>C18</f>
        <v>较密集</v>
      </c>
      <c r="F18" s="2870">
        <f t="shared" si="8"/>
        <v>100</v>
      </c>
      <c r="G18" s="2868" t="str">
        <f>C18</f>
        <v>较密集</v>
      </c>
      <c r="H18" s="2870">
        <f>D18</f>
        <v>100</v>
      </c>
      <c r="I18" s="2868" t="str">
        <f>C18</f>
        <v>较密集</v>
      </c>
      <c r="J18" s="2870">
        <f>D18</f>
        <v>100</v>
      </c>
      <c r="K18" s="3240"/>
      <c r="L18" s="3227"/>
      <c r="M18" s="2762" t="str">
        <f t="shared" si="6"/>
        <v>人流量</v>
      </c>
      <c r="N18" s="2760" t="s">
        <v>2831</v>
      </c>
      <c r="O18" s="2761">
        <f t="shared" si="0"/>
        <v>100</v>
      </c>
      <c r="P18" s="2760" t="s">
        <v>2831</v>
      </c>
      <c r="Q18" s="2761">
        <f t="shared" si="1"/>
        <v>100</v>
      </c>
      <c r="R18" s="2760" t="s">
        <v>2831</v>
      </c>
      <c r="S18" s="2761">
        <f t="shared" si="2"/>
        <v>100</v>
      </c>
      <c r="T18" s="3242"/>
      <c r="U18" s="3227"/>
      <c r="V18" s="2762" t="str">
        <f t="shared" si="7"/>
        <v>人流量</v>
      </c>
      <c r="W18" s="2759">
        <f t="shared" si="3"/>
        <v>1</v>
      </c>
      <c r="X18" s="2759">
        <f t="shared" si="4"/>
        <v>1</v>
      </c>
      <c r="Y18" s="2759">
        <f t="shared" si="5"/>
        <v>1</v>
      </c>
    </row>
    <row r="19" spans="1:25">
      <c r="A19" s="3224"/>
      <c r="B19" s="2872" t="s">
        <v>2844</v>
      </c>
      <c r="C19" s="2869" t="s">
        <v>3110</v>
      </c>
      <c r="D19" s="2867">
        <v>100</v>
      </c>
      <c r="E19" s="2870" t="s">
        <v>3109</v>
      </c>
      <c r="F19" s="2870">
        <v>100</v>
      </c>
      <c r="G19" s="2870" t="s">
        <v>3109</v>
      </c>
      <c r="H19" s="2870">
        <v>100</v>
      </c>
      <c r="I19" s="2870" t="s">
        <v>3109</v>
      </c>
      <c r="J19" s="2870">
        <v>100</v>
      </c>
      <c r="K19" s="3240"/>
      <c r="L19" s="3227"/>
      <c r="M19" s="2762" t="str">
        <f t="shared" si="6"/>
        <v>楼层</v>
      </c>
      <c r="N19" s="2760" t="s">
        <v>2831</v>
      </c>
      <c r="O19" s="2761">
        <f t="shared" si="0"/>
        <v>100</v>
      </c>
      <c r="P19" s="2760" t="s">
        <v>2831</v>
      </c>
      <c r="Q19" s="2761">
        <f t="shared" si="1"/>
        <v>100</v>
      </c>
      <c r="R19" s="2760" t="s">
        <v>2831</v>
      </c>
      <c r="S19" s="2761">
        <f t="shared" si="2"/>
        <v>100</v>
      </c>
      <c r="T19" s="3242"/>
      <c r="U19" s="3227"/>
      <c r="V19" s="2762" t="str">
        <f t="shared" si="7"/>
        <v>楼层</v>
      </c>
      <c r="W19" s="2759">
        <f t="shared" si="3"/>
        <v>1</v>
      </c>
      <c r="X19" s="2759">
        <f t="shared" si="4"/>
        <v>1</v>
      </c>
      <c r="Y19" s="2759">
        <f t="shared" si="5"/>
        <v>1</v>
      </c>
    </row>
    <row r="20" spans="1:25" ht="13.5" hidden="1" customHeight="1">
      <c r="A20" s="3225"/>
      <c r="B20" s="2872" t="s">
        <v>2845</v>
      </c>
      <c r="C20" s="2869"/>
      <c r="D20" s="2867">
        <v>100</v>
      </c>
      <c r="E20" s="2870"/>
      <c r="F20" s="2870">
        <f t="shared" si="8"/>
        <v>100</v>
      </c>
      <c r="G20" s="2870"/>
      <c r="H20" s="2870">
        <f>D20</f>
        <v>100</v>
      </c>
      <c r="I20" s="2870"/>
      <c r="J20" s="2870">
        <f>D20</f>
        <v>100</v>
      </c>
      <c r="K20" s="3240"/>
      <c r="L20" s="3228"/>
      <c r="M20" s="2762" t="str">
        <f t="shared" si="6"/>
        <v>特殊因素（需详细注明）</v>
      </c>
      <c r="N20" s="2760" t="s">
        <v>2831</v>
      </c>
      <c r="O20" s="2761">
        <f t="shared" si="0"/>
        <v>100</v>
      </c>
      <c r="P20" s="2760" t="s">
        <v>2831</v>
      </c>
      <c r="Q20" s="2761">
        <f t="shared" si="1"/>
        <v>100</v>
      </c>
      <c r="R20" s="2760" t="s">
        <v>2831</v>
      </c>
      <c r="S20" s="2761">
        <f t="shared" si="2"/>
        <v>100</v>
      </c>
      <c r="T20" s="3242"/>
      <c r="U20" s="3228"/>
      <c r="V20" s="2762" t="str">
        <f t="shared" si="7"/>
        <v>特殊因素（需详细注明）</v>
      </c>
      <c r="W20" s="2759">
        <f t="shared" si="3"/>
        <v>1</v>
      </c>
      <c r="X20" s="2759">
        <f t="shared" si="4"/>
        <v>1</v>
      </c>
      <c r="Y20" s="2759">
        <f t="shared" si="5"/>
        <v>1</v>
      </c>
    </row>
    <row r="21" spans="1:25">
      <c r="A21" s="3229" t="s">
        <v>2846</v>
      </c>
      <c r="B21" s="2873" t="s">
        <v>2847</v>
      </c>
      <c r="C21" s="2869" t="s">
        <v>3090</v>
      </c>
      <c r="D21" s="2867">
        <v>100</v>
      </c>
      <c r="E21" s="2870" t="s">
        <v>3090</v>
      </c>
      <c r="F21" s="2870">
        <v>100</v>
      </c>
      <c r="G21" s="2870" t="s">
        <v>3090</v>
      </c>
      <c r="H21" s="2870">
        <v>100</v>
      </c>
      <c r="I21" s="2870" t="s">
        <v>3062</v>
      </c>
      <c r="J21" s="2870">
        <v>102</v>
      </c>
      <c r="K21" s="3240"/>
      <c r="L21" s="3230" t="s">
        <v>2846</v>
      </c>
      <c r="M21" s="2762" t="str">
        <f t="shared" si="6"/>
        <v>物业类型</v>
      </c>
      <c r="N21" s="2760" t="s">
        <v>2831</v>
      </c>
      <c r="O21" s="2761">
        <f t="shared" si="0"/>
        <v>100</v>
      </c>
      <c r="P21" s="2760" t="s">
        <v>2831</v>
      </c>
      <c r="Q21" s="2761">
        <f t="shared" si="1"/>
        <v>100</v>
      </c>
      <c r="R21" s="2760" t="s">
        <v>2831</v>
      </c>
      <c r="S21" s="2761">
        <f t="shared" si="2"/>
        <v>102</v>
      </c>
      <c r="T21" s="3242"/>
      <c r="U21" s="3230" t="s">
        <v>2846</v>
      </c>
      <c r="V21" s="2762" t="str">
        <f t="shared" si="7"/>
        <v>物业类型</v>
      </c>
      <c r="W21" s="2759">
        <f t="shared" si="3"/>
        <v>1</v>
      </c>
      <c r="X21" s="2759">
        <f t="shared" si="4"/>
        <v>1</v>
      </c>
      <c r="Y21" s="2759">
        <f t="shared" si="5"/>
        <v>0.98039215686274506</v>
      </c>
    </row>
    <row r="22" spans="1:25" hidden="1">
      <c r="A22" s="3229"/>
      <c r="B22" s="2873" t="s">
        <v>2879</v>
      </c>
      <c r="C22" s="2869"/>
      <c r="D22" s="2867">
        <v>100</v>
      </c>
      <c r="E22" s="2870"/>
      <c r="F22" s="2870">
        <v>100</v>
      </c>
      <c r="G22" s="2870"/>
      <c r="H22" s="2870">
        <v>100</v>
      </c>
      <c r="I22" s="2870"/>
      <c r="J22" s="2870">
        <v>100</v>
      </c>
      <c r="K22" s="3240"/>
      <c r="L22" s="3230"/>
      <c r="M22" s="2762" t="str">
        <f t="shared" si="6"/>
        <v>楼宇经营业态</v>
      </c>
      <c r="N22" s="2760" t="s">
        <v>2831</v>
      </c>
      <c r="O22" s="2761">
        <f t="shared" si="0"/>
        <v>100</v>
      </c>
      <c r="P22" s="2760" t="s">
        <v>2831</v>
      </c>
      <c r="Q22" s="2761">
        <f t="shared" si="1"/>
        <v>100</v>
      </c>
      <c r="R22" s="2760" t="s">
        <v>2831</v>
      </c>
      <c r="S22" s="2761">
        <f t="shared" si="2"/>
        <v>100</v>
      </c>
      <c r="T22" s="3242"/>
      <c r="U22" s="3230"/>
      <c r="V22" s="2762" t="str">
        <f t="shared" si="7"/>
        <v>楼宇经营业态</v>
      </c>
      <c r="W22" s="2759">
        <f t="shared" si="3"/>
        <v>1</v>
      </c>
      <c r="X22" s="2759">
        <f t="shared" si="4"/>
        <v>1</v>
      </c>
      <c r="Y22" s="2759">
        <f t="shared" si="5"/>
        <v>1</v>
      </c>
    </row>
    <row r="23" spans="1:25" hidden="1">
      <c r="A23" s="3229"/>
      <c r="B23" s="2873" t="s">
        <v>2848</v>
      </c>
      <c r="C23" s="2869"/>
      <c r="D23" s="2867">
        <v>100</v>
      </c>
      <c r="E23" s="2870"/>
      <c r="F23" s="2870">
        <v>100</v>
      </c>
      <c r="G23" s="2870"/>
      <c r="H23" s="2870">
        <v>100</v>
      </c>
      <c r="I23" s="2870"/>
      <c r="J23" s="2870">
        <v>100</v>
      </c>
      <c r="K23" s="3240"/>
      <c r="L23" s="3230"/>
      <c r="M23" s="2762" t="str">
        <f t="shared" si="6"/>
        <v>房地产档次</v>
      </c>
      <c r="N23" s="2760" t="s">
        <v>2831</v>
      </c>
      <c r="O23" s="2761">
        <f t="shared" si="0"/>
        <v>100</v>
      </c>
      <c r="P23" s="2760" t="s">
        <v>2831</v>
      </c>
      <c r="Q23" s="2761">
        <f t="shared" si="1"/>
        <v>100</v>
      </c>
      <c r="R23" s="2760" t="s">
        <v>2831</v>
      </c>
      <c r="S23" s="2761">
        <f t="shared" si="2"/>
        <v>100</v>
      </c>
      <c r="T23" s="3242"/>
      <c r="U23" s="3230"/>
      <c r="V23" s="2762" t="str">
        <f t="shared" si="7"/>
        <v>房地产档次</v>
      </c>
      <c r="W23" s="2759">
        <f t="shared" si="3"/>
        <v>1</v>
      </c>
      <c r="X23" s="2759">
        <f t="shared" si="4"/>
        <v>1</v>
      </c>
      <c r="Y23" s="2759">
        <f t="shared" si="5"/>
        <v>1</v>
      </c>
    </row>
    <row r="24" spans="1:25">
      <c r="A24" s="3229"/>
      <c r="B24" s="2873" t="s">
        <v>2849</v>
      </c>
      <c r="C24" s="2869" t="s">
        <v>2880</v>
      </c>
      <c r="D24" s="2867">
        <v>100</v>
      </c>
      <c r="E24" s="2870" t="s">
        <v>2850</v>
      </c>
      <c r="F24" s="2870">
        <v>100</v>
      </c>
      <c r="G24" s="2870" t="s">
        <v>2850</v>
      </c>
      <c r="H24" s="2870">
        <v>100</v>
      </c>
      <c r="I24" s="2870" t="s">
        <v>2850</v>
      </c>
      <c r="J24" s="2870">
        <v>100</v>
      </c>
      <c r="K24" s="3240"/>
      <c r="L24" s="3230"/>
      <c r="M24" s="2762" t="str">
        <f t="shared" si="6"/>
        <v>结构</v>
      </c>
      <c r="N24" s="2760" t="s">
        <v>2831</v>
      </c>
      <c r="O24" s="2761">
        <f t="shared" si="0"/>
        <v>100</v>
      </c>
      <c r="P24" s="2760" t="s">
        <v>2831</v>
      </c>
      <c r="Q24" s="2761">
        <f t="shared" si="1"/>
        <v>100</v>
      </c>
      <c r="R24" s="2760" t="s">
        <v>2831</v>
      </c>
      <c r="S24" s="2761">
        <f t="shared" si="2"/>
        <v>100</v>
      </c>
      <c r="T24" s="3242"/>
      <c r="U24" s="3230"/>
      <c r="V24" s="2762" t="str">
        <f t="shared" si="7"/>
        <v>结构</v>
      </c>
      <c r="W24" s="2759">
        <f t="shared" si="3"/>
        <v>1</v>
      </c>
      <c r="X24" s="2759">
        <f t="shared" si="4"/>
        <v>1</v>
      </c>
      <c r="Y24" s="2759">
        <f t="shared" si="5"/>
        <v>1</v>
      </c>
    </row>
    <row r="25" spans="1:25">
      <c r="A25" s="3229"/>
      <c r="B25" s="2873" t="s">
        <v>999</v>
      </c>
      <c r="C25" s="2869" t="s">
        <v>3108</v>
      </c>
      <c r="D25" s="2867">
        <v>100</v>
      </c>
      <c r="E25" s="2870">
        <v>210</v>
      </c>
      <c r="F25" s="2870">
        <v>100</v>
      </c>
      <c r="G25" s="2870">
        <v>300</v>
      </c>
      <c r="H25" s="2870">
        <v>100</v>
      </c>
      <c r="I25" s="2870">
        <v>285</v>
      </c>
      <c r="J25" s="2870">
        <v>100</v>
      </c>
      <c r="K25" s="3240"/>
      <c r="L25" s="3230"/>
      <c r="M25" s="2762" t="str">
        <f t="shared" si="6"/>
        <v>建筑面积</v>
      </c>
      <c r="N25" s="2760" t="s">
        <v>2831</v>
      </c>
      <c r="O25" s="2761">
        <f t="shared" si="0"/>
        <v>100</v>
      </c>
      <c r="P25" s="2760" t="s">
        <v>2831</v>
      </c>
      <c r="Q25" s="2761">
        <f t="shared" si="1"/>
        <v>100</v>
      </c>
      <c r="R25" s="2760" t="s">
        <v>2831</v>
      </c>
      <c r="S25" s="2761">
        <f t="shared" si="2"/>
        <v>100</v>
      </c>
      <c r="T25" s="3242"/>
      <c r="U25" s="3230"/>
      <c r="V25" s="2762" t="str">
        <f t="shared" si="7"/>
        <v>建筑面积</v>
      </c>
      <c r="W25" s="2759">
        <f t="shared" si="3"/>
        <v>1</v>
      </c>
      <c r="X25" s="2759">
        <f t="shared" si="4"/>
        <v>1</v>
      </c>
      <c r="Y25" s="2759">
        <f t="shared" si="5"/>
        <v>1</v>
      </c>
    </row>
    <row r="26" spans="1:25">
      <c r="A26" s="3229"/>
      <c r="B26" s="2873" t="s">
        <v>3107</v>
      </c>
      <c r="C26" s="2874">
        <v>0.8</v>
      </c>
      <c r="D26" s="2867">
        <v>100</v>
      </c>
      <c r="E26" s="2875">
        <v>0.8</v>
      </c>
      <c r="F26" s="2870">
        <v>100</v>
      </c>
      <c r="G26" s="2875">
        <v>0.7</v>
      </c>
      <c r="H26" s="2870">
        <v>98</v>
      </c>
      <c r="I26" s="2875">
        <v>0.8</v>
      </c>
      <c r="J26" s="2870">
        <v>100</v>
      </c>
      <c r="K26" s="3240"/>
      <c r="L26" s="3230"/>
      <c r="M26" s="2762" t="str">
        <f t="shared" si="6"/>
        <v>成新度</v>
      </c>
      <c r="N26" s="2760" t="s">
        <v>2831</v>
      </c>
      <c r="O26" s="2761">
        <f t="shared" si="0"/>
        <v>100</v>
      </c>
      <c r="P26" s="2760" t="s">
        <v>2831</v>
      </c>
      <c r="Q26" s="2761">
        <f t="shared" si="1"/>
        <v>98</v>
      </c>
      <c r="R26" s="2760" t="s">
        <v>2831</v>
      </c>
      <c r="S26" s="2761">
        <f t="shared" si="2"/>
        <v>100</v>
      </c>
      <c r="T26" s="3242"/>
      <c r="U26" s="3230"/>
      <c r="V26" s="2762" t="str">
        <f t="shared" si="7"/>
        <v>成新度</v>
      </c>
      <c r="W26" s="2759">
        <f t="shared" si="3"/>
        <v>1</v>
      </c>
      <c r="X26" s="2759">
        <f t="shared" si="4"/>
        <v>1.0204081632653061</v>
      </c>
      <c r="Y26" s="2759">
        <f t="shared" si="5"/>
        <v>1</v>
      </c>
    </row>
    <row r="27" spans="1:25">
      <c r="A27" s="3229"/>
      <c r="B27" s="2873" t="s">
        <v>2881</v>
      </c>
      <c r="C27" s="2869" t="s">
        <v>2851</v>
      </c>
      <c r="D27" s="2867">
        <v>100</v>
      </c>
      <c r="E27" s="2870" t="s">
        <v>2882</v>
      </c>
      <c r="F27" s="2870">
        <v>98</v>
      </c>
      <c r="G27" s="2870" t="s">
        <v>2882</v>
      </c>
      <c r="H27" s="2870">
        <v>98</v>
      </c>
      <c r="I27" s="2868" t="s">
        <v>2851</v>
      </c>
      <c r="J27" s="2870">
        <v>100</v>
      </c>
      <c r="K27" s="3240"/>
      <c r="L27" s="3230"/>
      <c r="M27" s="2762" t="str">
        <f t="shared" si="6"/>
        <v>公共部分装修</v>
      </c>
      <c r="N27" s="2760" t="s">
        <v>2831</v>
      </c>
      <c r="O27" s="2761">
        <f t="shared" si="0"/>
        <v>98</v>
      </c>
      <c r="P27" s="2760" t="s">
        <v>2831</v>
      </c>
      <c r="Q27" s="2761">
        <f t="shared" si="1"/>
        <v>98</v>
      </c>
      <c r="R27" s="2760" t="s">
        <v>2831</v>
      </c>
      <c r="S27" s="2761">
        <f t="shared" si="2"/>
        <v>100</v>
      </c>
      <c r="T27" s="3242"/>
      <c r="U27" s="3230"/>
      <c r="V27" s="2762" t="str">
        <f t="shared" si="7"/>
        <v>公共部分装修</v>
      </c>
      <c r="W27" s="2759">
        <f t="shared" si="3"/>
        <v>1.0204081632653061</v>
      </c>
      <c r="X27" s="2759">
        <f t="shared" si="4"/>
        <v>1.0204081632653061</v>
      </c>
      <c r="Y27" s="2759">
        <f t="shared" si="5"/>
        <v>1</v>
      </c>
    </row>
    <row r="28" spans="1:25">
      <c r="A28" s="3229"/>
      <c r="B28" s="2873" t="s">
        <v>2852</v>
      </c>
      <c r="C28" s="2869" t="s">
        <v>2882</v>
      </c>
      <c r="D28" s="2867">
        <v>100</v>
      </c>
      <c r="E28" s="2870" t="s">
        <v>2882</v>
      </c>
      <c r="F28" s="2870">
        <v>100</v>
      </c>
      <c r="G28" s="2870" t="s">
        <v>2882</v>
      </c>
      <c r="H28" s="2870">
        <v>100</v>
      </c>
      <c r="I28" s="2870" t="s">
        <v>2882</v>
      </c>
      <c r="J28" s="2870">
        <v>100</v>
      </c>
      <c r="K28" s="3240"/>
      <c r="L28" s="3230"/>
      <c r="M28" s="2762" t="str">
        <f t="shared" si="6"/>
        <v>室内装修</v>
      </c>
      <c r="N28" s="2760" t="s">
        <v>2831</v>
      </c>
      <c r="O28" s="2761">
        <f t="shared" si="0"/>
        <v>100</v>
      </c>
      <c r="P28" s="2760" t="s">
        <v>2831</v>
      </c>
      <c r="Q28" s="2761">
        <f t="shared" si="1"/>
        <v>100</v>
      </c>
      <c r="R28" s="2760" t="s">
        <v>2831</v>
      </c>
      <c r="S28" s="2761">
        <f t="shared" si="2"/>
        <v>100</v>
      </c>
      <c r="T28" s="3242"/>
      <c r="U28" s="3230"/>
      <c r="V28" s="2762" t="str">
        <f t="shared" si="7"/>
        <v>室内装修</v>
      </c>
      <c r="W28" s="2759">
        <f t="shared" si="3"/>
        <v>1</v>
      </c>
      <c r="X28" s="2759">
        <f t="shared" si="4"/>
        <v>1</v>
      </c>
      <c r="Y28" s="2759">
        <f t="shared" si="5"/>
        <v>1</v>
      </c>
    </row>
    <row r="29" spans="1:25">
      <c r="A29" s="3229"/>
      <c r="B29" s="2872" t="s">
        <v>2883</v>
      </c>
      <c r="C29" s="2869" t="s">
        <v>2871</v>
      </c>
      <c r="D29" s="2867">
        <v>100</v>
      </c>
      <c r="E29" s="2870" t="s">
        <v>30</v>
      </c>
      <c r="F29" s="2870">
        <v>100</v>
      </c>
      <c r="G29" s="2870" t="s">
        <v>30</v>
      </c>
      <c r="H29" s="2870">
        <v>100</v>
      </c>
      <c r="I29" s="2870" t="s">
        <v>30</v>
      </c>
      <c r="J29" s="2870">
        <v>100</v>
      </c>
      <c r="K29" s="3240"/>
      <c r="L29" s="3230"/>
      <c r="M29" s="2762" t="str">
        <f t="shared" si="6"/>
        <v>内部装修维护情况</v>
      </c>
      <c r="N29" s="2760" t="s">
        <v>2831</v>
      </c>
      <c r="O29" s="2761">
        <f t="shared" si="0"/>
        <v>100</v>
      </c>
      <c r="P29" s="2760" t="s">
        <v>2831</v>
      </c>
      <c r="Q29" s="2761">
        <f t="shared" si="1"/>
        <v>100</v>
      </c>
      <c r="R29" s="2760" t="s">
        <v>2831</v>
      </c>
      <c r="S29" s="2761">
        <f t="shared" si="2"/>
        <v>100</v>
      </c>
      <c r="T29" s="3242"/>
      <c r="U29" s="3230"/>
      <c r="V29" s="2762" t="str">
        <f t="shared" si="7"/>
        <v>内部装修维护情况</v>
      </c>
      <c r="W29" s="2759">
        <f t="shared" si="3"/>
        <v>1</v>
      </c>
      <c r="X29" s="2759">
        <f t="shared" si="4"/>
        <v>1</v>
      </c>
      <c r="Y29" s="2759">
        <f t="shared" si="5"/>
        <v>1</v>
      </c>
    </row>
    <row r="30" spans="1:25" hidden="1">
      <c r="A30" s="3229"/>
      <c r="B30" s="2872" t="s">
        <v>2853</v>
      </c>
      <c r="C30" s="2869" t="s">
        <v>2884</v>
      </c>
      <c r="D30" s="2867">
        <v>100</v>
      </c>
      <c r="E30" s="2870"/>
      <c r="F30" s="2870">
        <f>D30</f>
        <v>100</v>
      </c>
      <c r="G30" s="2870"/>
      <c r="H30" s="2870">
        <f>D30</f>
        <v>100</v>
      </c>
      <c r="I30" s="2870"/>
      <c r="J30" s="2870">
        <f>D30</f>
        <v>100</v>
      </c>
      <c r="K30" s="3240"/>
      <c r="L30" s="3230"/>
      <c r="M30" s="2762" t="str">
        <f t="shared" si="6"/>
        <v>临街宽度</v>
      </c>
      <c r="N30" s="2760" t="s">
        <v>2831</v>
      </c>
      <c r="O30" s="2761">
        <f t="shared" si="0"/>
        <v>100</v>
      </c>
      <c r="P30" s="2760" t="s">
        <v>2831</v>
      </c>
      <c r="Q30" s="2761">
        <f t="shared" si="1"/>
        <v>100</v>
      </c>
      <c r="R30" s="2760" t="s">
        <v>2831</v>
      </c>
      <c r="S30" s="2761">
        <f t="shared" si="2"/>
        <v>100</v>
      </c>
      <c r="T30" s="3242"/>
      <c r="U30" s="3230"/>
      <c r="V30" s="2762" t="str">
        <f t="shared" si="7"/>
        <v>临街宽度</v>
      </c>
      <c r="W30" s="2759">
        <f t="shared" si="3"/>
        <v>1</v>
      </c>
      <c r="X30" s="2759">
        <f t="shared" si="4"/>
        <v>1</v>
      </c>
      <c r="Y30" s="2759">
        <f t="shared" si="5"/>
        <v>1</v>
      </c>
    </row>
    <row r="31" spans="1:25">
      <c r="A31" s="3229"/>
      <c r="B31" s="2872" t="s">
        <v>3113</v>
      </c>
      <c r="C31" s="2869" t="s">
        <v>3067</v>
      </c>
      <c r="D31" s="2867">
        <v>100</v>
      </c>
      <c r="E31" s="2870" t="s">
        <v>3094</v>
      </c>
      <c r="F31" s="2870">
        <v>102</v>
      </c>
      <c r="G31" s="2870" t="s">
        <v>3067</v>
      </c>
      <c r="H31" s="2870">
        <v>100</v>
      </c>
      <c r="I31" s="2870" t="s">
        <v>3067</v>
      </c>
      <c r="J31" s="2870">
        <v>100</v>
      </c>
      <c r="K31" s="3240"/>
      <c r="L31" s="3230"/>
      <c r="M31" s="2762" t="str">
        <f t="shared" si="6"/>
        <v>层高</v>
      </c>
      <c r="N31" s="2760" t="s">
        <v>2831</v>
      </c>
      <c r="O31" s="2761">
        <f t="shared" si="0"/>
        <v>102</v>
      </c>
      <c r="P31" s="2760" t="s">
        <v>2831</v>
      </c>
      <c r="Q31" s="2761">
        <f t="shared" si="1"/>
        <v>100</v>
      </c>
      <c r="R31" s="2760" t="s">
        <v>2831</v>
      </c>
      <c r="S31" s="2761">
        <f t="shared" si="2"/>
        <v>100</v>
      </c>
      <c r="T31" s="3242"/>
      <c r="U31" s="3230"/>
      <c r="V31" s="2762" t="str">
        <f t="shared" si="7"/>
        <v>层高</v>
      </c>
      <c r="W31" s="2759">
        <f t="shared" si="3"/>
        <v>0.98039215686274506</v>
      </c>
      <c r="X31" s="2759">
        <f t="shared" si="4"/>
        <v>1</v>
      </c>
      <c r="Y31" s="2759">
        <f t="shared" si="5"/>
        <v>1</v>
      </c>
    </row>
    <row r="32" spans="1:25" hidden="1">
      <c r="A32" s="3229"/>
      <c r="B32" s="2873" t="s">
        <v>2885</v>
      </c>
      <c r="C32" s="2869" t="s">
        <v>2886</v>
      </c>
      <c r="D32" s="2867">
        <v>100</v>
      </c>
      <c r="E32" s="2870" t="s">
        <v>2887</v>
      </c>
      <c r="F32" s="2870">
        <v>101</v>
      </c>
      <c r="G32" s="2870" t="str">
        <f>E32</f>
        <v>七通</v>
      </c>
      <c r="H32" s="2870">
        <f>F32</f>
        <v>101</v>
      </c>
      <c r="I32" s="2870" t="str">
        <f>G32</f>
        <v>七通</v>
      </c>
      <c r="J32" s="2870">
        <f>H32</f>
        <v>101</v>
      </c>
      <c r="K32" s="3240"/>
      <c r="L32" s="3230"/>
      <c r="M32" s="2762" t="str">
        <f t="shared" si="6"/>
        <v>基础设施</v>
      </c>
      <c r="N32" s="2760" t="s">
        <v>2831</v>
      </c>
      <c r="O32" s="2761">
        <f t="shared" si="0"/>
        <v>101</v>
      </c>
      <c r="P32" s="2760" t="s">
        <v>2831</v>
      </c>
      <c r="Q32" s="2761">
        <f t="shared" si="1"/>
        <v>101</v>
      </c>
      <c r="R32" s="2760" t="s">
        <v>2831</v>
      </c>
      <c r="S32" s="2761">
        <f t="shared" si="2"/>
        <v>101</v>
      </c>
      <c r="T32" s="3242"/>
      <c r="U32" s="3230"/>
      <c r="V32" s="2762" t="str">
        <f t="shared" si="7"/>
        <v>基础设施</v>
      </c>
      <c r="W32" s="2759">
        <f t="shared" si="3"/>
        <v>0.99009900990099009</v>
      </c>
      <c r="X32" s="2759">
        <f t="shared" si="4"/>
        <v>0.99009900990099009</v>
      </c>
      <c r="Y32" s="2759">
        <f t="shared" si="5"/>
        <v>0.99009900990099009</v>
      </c>
    </row>
    <row r="33" spans="1:25" hidden="1">
      <c r="A33" s="3229"/>
      <c r="B33" s="2873" t="s">
        <v>2888</v>
      </c>
      <c r="C33" s="2869" t="s">
        <v>2889</v>
      </c>
      <c r="D33" s="2867">
        <v>100</v>
      </c>
      <c r="E33" s="2870" t="s">
        <v>2889</v>
      </c>
      <c r="F33" s="2870">
        <f>D33</f>
        <v>100</v>
      </c>
      <c r="G33" s="2870" t="s">
        <v>2890</v>
      </c>
      <c r="H33" s="2870">
        <f>F33</f>
        <v>100</v>
      </c>
      <c r="I33" s="2870" t="s">
        <v>2890</v>
      </c>
      <c r="J33" s="2870">
        <f>F33</f>
        <v>100</v>
      </c>
      <c r="K33" s="3240"/>
      <c r="L33" s="3230"/>
      <c r="M33" s="2762" t="str">
        <f t="shared" si="6"/>
        <v>物业管理</v>
      </c>
      <c r="N33" s="2760" t="s">
        <v>2891</v>
      </c>
      <c r="O33" s="2761">
        <f t="shared" si="0"/>
        <v>100</v>
      </c>
      <c r="P33" s="2760" t="s">
        <v>2891</v>
      </c>
      <c r="Q33" s="2761">
        <f t="shared" si="1"/>
        <v>100</v>
      </c>
      <c r="R33" s="2760" t="s">
        <v>2891</v>
      </c>
      <c r="S33" s="2761">
        <f t="shared" si="2"/>
        <v>100</v>
      </c>
      <c r="T33" s="3242"/>
      <c r="U33" s="3230"/>
      <c r="V33" s="2762" t="str">
        <f t="shared" si="7"/>
        <v>物业管理</v>
      </c>
      <c r="W33" s="2759">
        <f t="shared" si="3"/>
        <v>1</v>
      </c>
      <c r="X33" s="2759">
        <f t="shared" si="4"/>
        <v>1</v>
      </c>
      <c r="Y33" s="2759">
        <f t="shared" si="5"/>
        <v>1</v>
      </c>
    </row>
    <row r="34" spans="1:25" hidden="1">
      <c r="A34" s="3229"/>
      <c r="B34" s="2873" t="s">
        <v>2892</v>
      </c>
      <c r="C34" s="2869" t="s">
        <v>2893</v>
      </c>
      <c r="D34" s="2867">
        <v>100</v>
      </c>
      <c r="E34" s="2870" t="s">
        <v>2894</v>
      </c>
      <c r="F34" s="2870">
        <v>98</v>
      </c>
      <c r="G34" s="2870" t="str">
        <f>E34</f>
        <v>无</v>
      </c>
      <c r="H34" s="2870">
        <f>F34</f>
        <v>98</v>
      </c>
      <c r="I34" s="2870" t="str">
        <f>E34</f>
        <v>无</v>
      </c>
      <c r="J34" s="2870">
        <f>F34</f>
        <v>98</v>
      </c>
      <c r="K34" s="3240"/>
      <c r="L34" s="3230"/>
      <c r="M34" s="2762" t="str">
        <f t="shared" si="6"/>
        <v>赠送车位</v>
      </c>
      <c r="N34" s="2760" t="s">
        <v>2855</v>
      </c>
      <c r="O34" s="2761">
        <f t="shared" si="0"/>
        <v>98</v>
      </c>
      <c r="P34" s="2760" t="s">
        <v>2855</v>
      </c>
      <c r="Q34" s="2761">
        <f t="shared" si="1"/>
        <v>98</v>
      </c>
      <c r="R34" s="2760" t="s">
        <v>2855</v>
      </c>
      <c r="S34" s="2761">
        <f t="shared" si="2"/>
        <v>98</v>
      </c>
      <c r="T34" s="3242"/>
      <c r="U34" s="3230"/>
      <c r="V34" s="2762" t="str">
        <f t="shared" si="7"/>
        <v>赠送车位</v>
      </c>
      <c r="W34" s="2759">
        <f t="shared" si="3"/>
        <v>1.0204081632653061</v>
      </c>
      <c r="X34" s="2759">
        <f t="shared" si="4"/>
        <v>1.0204081632653061</v>
      </c>
      <c r="Y34" s="2759">
        <f t="shared" si="5"/>
        <v>1.0204081632653061</v>
      </c>
    </row>
    <row r="35" spans="1:25" hidden="1">
      <c r="A35" s="3229"/>
      <c r="B35" s="2871"/>
      <c r="C35" s="2869"/>
      <c r="D35" s="2867">
        <v>100</v>
      </c>
      <c r="E35" s="2868"/>
      <c r="F35" s="2870">
        <f>D35</f>
        <v>100</v>
      </c>
      <c r="G35" s="2868"/>
      <c r="H35" s="2870">
        <f>D35</f>
        <v>100</v>
      </c>
      <c r="I35" s="2868"/>
      <c r="J35" s="2870">
        <f>D35</f>
        <v>100</v>
      </c>
      <c r="K35" s="3240"/>
      <c r="L35" s="3231"/>
      <c r="M35" s="2762">
        <f t="shared" si="6"/>
        <v>0</v>
      </c>
      <c r="N35" s="2760" t="s">
        <v>2856</v>
      </c>
      <c r="O35" s="2761">
        <f t="shared" si="0"/>
        <v>100</v>
      </c>
      <c r="P35" s="2760" t="s">
        <v>2856</v>
      </c>
      <c r="Q35" s="2761">
        <f t="shared" si="1"/>
        <v>100</v>
      </c>
      <c r="R35" s="2760" t="s">
        <v>2856</v>
      </c>
      <c r="S35" s="2761">
        <f t="shared" si="2"/>
        <v>100</v>
      </c>
      <c r="T35" s="3242"/>
      <c r="U35" s="3231"/>
      <c r="V35" s="2762">
        <f t="shared" si="7"/>
        <v>0</v>
      </c>
      <c r="W35" s="2759">
        <f t="shared" si="3"/>
        <v>1</v>
      </c>
      <c r="X35" s="2759">
        <f t="shared" si="4"/>
        <v>1</v>
      </c>
      <c r="Y35" s="2759">
        <f t="shared" si="5"/>
        <v>1</v>
      </c>
    </row>
    <row r="36" spans="1:25">
      <c r="A36" s="3247" t="s">
        <v>2895</v>
      </c>
      <c r="B36" s="3247"/>
      <c r="C36" s="3216" t="s">
        <v>512</v>
      </c>
      <c r="D36" s="3216"/>
      <c r="E36" s="3220">
        <f>ROUND(50667/E37,0)</f>
        <v>63334</v>
      </c>
      <c r="F36" s="3220"/>
      <c r="G36" s="3220">
        <f>ROUND(50000/E37,0)</f>
        <v>62500</v>
      </c>
      <c r="H36" s="3220"/>
      <c r="I36" s="3220">
        <f>ROUND(50000/E37,0)</f>
        <v>62500</v>
      </c>
      <c r="J36" s="3220"/>
      <c r="K36" s="3240"/>
      <c r="L36" s="3221" t="str">
        <f>A36</f>
        <v>成交单价（元/㎡）</v>
      </c>
      <c r="M36" s="3222"/>
      <c r="N36" s="3216">
        <f>E36</f>
        <v>63334</v>
      </c>
      <c r="O36" s="3216"/>
      <c r="P36" s="3216">
        <f>G36</f>
        <v>62500</v>
      </c>
      <c r="Q36" s="3216"/>
      <c r="R36" s="3216">
        <f>I36</f>
        <v>62500</v>
      </c>
      <c r="S36" s="3216"/>
    </row>
    <row r="37" spans="1:25" ht="13.5" customHeight="1">
      <c r="B37" s="2763" t="s">
        <v>2896</v>
      </c>
      <c r="E37" s="2764">
        <v>0.8</v>
      </c>
      <c r="G37" s="2764"/>
      <c r="K37" s="3240"/>
      <c r="L37" s="3217" t="s">
        <v>2897</v>
      </c>
      <c r="M37" s="3218"/>
      <c r="N37" s="3219">
        <f>ROUND(PRODUCT(N36,W5:W35),0)</f>
        <v>65319</v>
      </c>
      <c r="O37" s="3219"/>
      <c r="P37" s="3219">
        <f>ROUND(PRODUCT(P36,X5:X35),0)</f>
        <v>68487</v>
      </c>
      <c r="Q37" s="3219"/>
      <c r="R37" s="3219">
        <f>ROUND(PRODUCT(R36,Y5:Y35),0)</f>
        <v>63169</v>
      </c>
      <c r="S37" s="3219"/>
    </row>
    <row r="38" spans="1:25" ht="13.5" customHeight="1">
      <c r="B38" s="3208" t="s">
        <v>2898</v>
      </c>
      <c r="C38" s="3208"/>
      <c r="G38" s="2764"/>
      <c r="K38" s="3240"/>
      <c r="L38" s="3209" t="s">
        <v>2899</v>
      </c>
      <c r="M38" s="3209"/>
      <c r="N38" s="3210">
        <f>ROUND(AVERAGE(N37:R37),0)</f>
        <v>65658</v>
      </c>
      <c r="O38" s="3210"/>
      <c r="P38" s="3210"/>
      <c r="Q38" s="3210"/>
      <c r="R38" s="3210"/>
      <c r="S38" s="3210"/>
    </row>
    <row r="39" spans="1:25">
      <c r="B39" s="2768"/>
      <c r="G39" s="2764"/>
      <c r="K39" s="3240"/>
      <c r="L39" s="3211" t="s">
        <v>2900</v>
      </c>
      <c r="M39" s="3212"/>
      <c r="N39" s="3213">
        <f>ROUND(N38*C26,0)</f>
        <v>52526</v>
      </c>
      <c r="O39" s="3214"/>
      <c r="P39" s="3214"/>
      <c r="Q39" s="3214"/>
      <c r="R39" s="3214"/>
      <c r="S39" s="3215"/>
    </row>
    <row r="40" spans="1:25">
      <c r="G40" s="2764"/>
      <c r="K40" s="3240"/>
      <c r="L40" s="3206" t="s">
        <v>2901</v>
      </c>
      <c r="M40" s="3206"/>
      <c r="N40" s="3207">
        <f>(N37-N36)/N36</f>
        <v>3.1341775349733161E-2</v>
      </c>
      <c r="O40" s="3207"/>
      <c r="P40" s="3207">
        <f>(P37-P36)/P36</f>
        <v>9.5792000000000002E-2</v>
      </c>
      <c r="Q40" s="3207"/>
      <c r="R40" s="3207">
        <f>(R37-R36)/R36</f>
        <v>1.0704E-2</v>
      </c>
      <c r="S40" s="3207"/>
    </row>
    <row r="41" spans="1:25">
      <c r="B41" s="2765"/>
      <c r="C41" s="2766"/>
      <c r="D41" s="2766"/>
      <c r="E41" s="2766"/>
      <c r="F41" s="2766"/>
      <c r="G41" s="2766"/>
      <c r="H41" s="2766"/>
      <c r="I41" s="2766"/>
      <c r="J41" s="2766"/>
      <c r="L41" s="3206" t="s">
        <v>2902</v>
      </c>
      <c r="M41" s="3206"/>
      <c r="N41" s="3207">
        <f>N37/P37-1</f>
        <v>-4.625695387445794E-2</v>
      </c>
      <c r="O41" s="3207"/>
      <c r="P41" s="3207">
        <f>P37/R37-1</f>
        <v>8.4186863809780021E-2</v>
      </c>
      <c r="Q41" s="3207"/>
      <c r="R41" s="3207">
        <f>R37/N37-1</f>
        <v>-3.2915384497619327E-2</v>
      </c>
      <c r="S41" s="3207"/>
    </row>
    <row r="42" spans="1:25">
      <c r="D42" s="2766" t="s">
        <v>2903</v>
      </c>
      <c r="E42" s="2766"/>
      <c r="F42" s="2766"/>
      <c r="G42" s="2766"/>
      <c r="H42" s="2766"/>
      <c r="I42" s="2766"/>
      <c r="J42" s="2766"/>
      <c r="L42" s="3206" t="s">
        <v>2904</v>
      </c>
      <c r="M42" s="3206"/>
      <c r="N42" s="3207">
        <f>N36/P36-1</f>
        <v>1.3344000000000023E-2</v>
      </c>
      <c r="O42" s="3207"/>
      <c r="P42" s="3207">
        <f>P36/R36-1</f>
        <v>0</v>
      </c>
      <c r="Q42" s="3207"/>
      <c r="R42" s="3207">
        <f>R36/N36-1</f>
        <v>-1.3168282439132262E-2</v>
      </c>
      <c r="S42" s="3207"/>
    </row>
    <row r="81" spans="2:2">
      <c r="B81" s="2768"/>
    </row>
  </sheetData>
  <mergeCells count="63">
    <mergeCell ref="A1:S1"/>
    <mergeCell ref="A2:J2"/>
    <mergeCell ref="K2:K40"/>
    <mergeCell ref="L2:S2"/>
    <mergeCell ref="T2:T35"/>
    <mergeCell ref="A3:B4"/>
    <mergeCell ref="D3:D4"/>
    <mergeCell ref="F3:F4"/>
    <mergeCell ref="H3:H4"/>
    <mergeCell ref="J3:J4"/>
    <mergeCell ref="A6:B6"/>
    <mergeCell ref="L6:M6"/>
    <mergeCell ref="A7:A10"/>
    <mergeCell ref="L7:L10"/>
    <mergeCell ref="A36:B36"/>
    <mergeCell ref="C36:D36"/>
    <mergeCell ref="U6:V6"/>
    <mergeCell ref="L3:M4"/>
    <mergeCell ref="N3:O4"/>
    <mergeCell ref="P3:Q4"/>
    <mergeCell ref="R3:S4"/>
    <mergeCell ref="U3:V4"/>
    <mergeCell ref="X3:X4"/>
    <mergeCell ref="Y3:Y4"/>
    <mergeCell ref="A5:B5"/>
    <mergeCell ref="L5:M5"/>
    <mergeCell ref="U5:V5"/>
    <mergeCell ref="W3:W4"/>
    <mergeCell ref="U7:U10"/>
    <mergeCell ref="A11:A20"/>
    <mergeCell ref="L11:L20"/>
    <mergeCell ref="U11:U20"/>
    <mergeCell ref="A21:A35"/>
    <mergeCell ref="L21:L35"/>
    <mergeCell ref="U21:U35"/>
    <mergeCell ref="E36:F36"/>
    <mergeCell ref="G36:H36"/>
    <mergeCell ref="I36:J36"/>
    <mergeCell ref="L36:M36"/>
    <mergeCell ref="N36:O36"/>
    <mergeCell ref="L40:M40"/>
    <mergeCell ref="N40:O40"/>
    <mergeCell ref="P40:Q40"/>
    <mergeCell ref="R40:S40"/>
    <mergeCell ref="P36:Q36"/>
    <mergeCell ref="R36:S36"/>
    <mergeCell ref="L37:M37"/>
    <mergeCell ref="N37:O37"/>
    <mergeCell ref="P37:Q37"/>
    <mergeCell ref="R37:S37"/>
    <mergeCell ref="B38:C38"/>
    <mergeCell ref="L38:M38"/>
    <mergeCell ref="N38:S38"/>
    <mergeCell ref="L39:M39"/>
    <mergeCell ref="N39:S39"/>
    <mergeCell ref="L41:M41"/>
    <mergeCell ref="N41:O41"/>
    <mergeCell ref="P41:Q41"/>
    <mergeCell ref="R41:S41"/>
    <mergeCell ref="L42:M42"/>
    <mergeCell ref="N42:O42"/>
    <mergeCell ref="P42:Q42"/>
    <mergeCell ref="R42:S42"/>
  </mergeCells>
  <phoneticPr fontId="146"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topLeftCell="A88" workbookViewId="0">
      <selection activeCell="P165" sqref="P165"/>
    </sheetView>
  </sheetViews>
  <sheetFormatPr defaultRowHeight="13.5"/>
  <sheetData>
    <row r="1" spans="1:1">
      <c r="A1" s="1904" t="s">
        <v>3121</v>
      </c>
    </row>
    <row r="48" spans="1:1">
      <c r="A48" s="1904" t="s">
        <v>3158</v>
      </c>
    </row>
    <row r="52" spans="1:1">
      <c r="A52" s="1904"/>
    </row>
    <row r="97" spans="1:1">
      <c r="A97" s="1904" t="s">
        <v>3159</v>
      </c>
    </row>
    <row r="102" spans="1:1">
      <c r="A102" s="1904"/>
    </row>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I99" sqref="I99"/>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3039</v>
      </c>
      <c r="D1" s="2448"/>
      <c r="E1" s="2377" t="s">
        <v>3138</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1296</v>
      </c>
      <c r="B2" s="1721">
        <f>IF(D2="——",IF(C2="元",ROUND(C49*D3,0),ROUND(C49*D3/10000,0)),IF(C2="元",ROUND(C49*D3,0),ROUND(C49*D3/10000,0))-E2)</f>
        <v>11628146</v>
      </c>
      <c r="C2" s="163" t="str">
        <f>'数据-取费表'!B3</f>
        <v>元</v>
      </c>
      <c r="D2" s="2379" t="s">
        <v>1247</v>
      </c>
      <c r="E2" s="2449" t="e">
        <f ca="1">SUMIF(INDIRECT("'"&amp;G2&amp;"'"&amp;"!A:A"),"承租人权益价值",INDIRECT("'"&amp;G2&amp;"'"&amp;"!c:c"))</f>
        <v>#REF!</v>
      </c>
      <c r="F2" s="2380" t="str">
        <f>C2</f>
        <v>元</v>
      </c>
      <c r="G2" s="2381" t="s">
        <v>3139</v>
      </c>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1297</v>
      </c>
      <c r="B3" s="593">
        <f>ROUND(IF(D2="——",C49,IF(C2="万元",B2*10000/D3,B2/D3)),0)</f>
        <v>29647</v>
      </c>
      <c r="C3" s="379" t="s">
        <v>2331</v>
      </c>
      <c r="D3" s="378">
        <f>IF(C1="仅计算典型户型",'数据-取费表'!E5,'数据-取费表'!B5)</f>
        <v>392.22</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77" t="s">
        <v>2333</v>
      </c>
      <c r="D4" s="3178"/>
      <c r="E4" s="3179" t="s">
        <v>2334</v>
      </c>
      <c r="F4" s="3180"/>
      <c r="G4" s="3177" t="s">
        <v>2335</v>
      </c>
      <c r="H4" s="3178"/>
      <c r="I4" s="3177" t="s">
        <v>2336</v>
      </c>
      <c r="J4" s="3178"/>
      <c r="K4" s="594" t="s">
        <v>2337</v>
      </c>
      <c r="L4" s="1239"/>
      <c r="M4" s="1240"/>
      <c r="N4" s="1240"/>
      <c r="O4" s="1240"/>
      <c r="P4" s="3181" t="s">
        <v>2338</v>
      </c>
      <c r="Q4" s="3182"/>
      <c r="R4" s="3166" t="s">
        <v>2334</v>
      </c>
      <c r="S4" s="3167"/>
      <c r="T4" s="3166" t="s">
        <v>2335</v>
      </c>
      <c r="U4" s="3167"/>
      <c r="V4" s="3187" t="s">
        <v>2336</v>
      </c>
      <c r="W4" s="3187"/>
      <c r="X4" s="2753"/>
      <c r="Y4" s="3166" t="s">
        <v>2338</v>
      </c>
      <c r="Z4" s="3167"/>
      <c r="AA4" s="3174" t="s">
        <v>2334</v>
      </c>
      <c r="AB4" s="3187" t="s">
        <v>2335</v>
      </c>
      <c r="AC4" s="3174" t="s">
        <v>2336</v>
      </c>
    </row>
    <row r="5" spans="1:29" ht="15.75" thickBot="1">
      <c r="A5" s="383"/>
      <c r="B5" s="384"/>
      <c r="C5" s="3193" t="s">
        <v>3122</v>
      </c>
      <c r="D5" s="3163"/>
      <c r="E5" s="3192" t="s">
        <v>3142</v>
      </c>
      <c r="F5" s="3189"/>
      <c r="G5" s="3193" t="s">
        <v>3122</v>
      </c>
      <c r="H5" s="3163"/>
      <c r="I5" s="3193" t="s">
        <v>3143</v>
      </c>
      <c r="J5" s="3163"/>
      <c r="K5" s="594"/>
      <c r="L5" s="1239"/>
      <c r="M5" s="1240"/>
      <c r="N5" s="1240"/>
      <c r="O5" s="1240"/>
      <c r="P5" s="3183"/>
      <c r="Q5" s="3184"/>
      <c r="R5" s="3168"/>
      <c r="S5" s="3169"/>
      <c r="T5" s="3168"/>
      <c r="U5" s="3169"/>
      <c r="V5" s="3187"/>
      <c r="W5" s="3187"/>
      <c r="X5" s="2753"/>
      <c r="Y5" s="3168"/>
      <c r="Z5" s="3169"/>
      <c r="AA5" s="3175"/>
      <c r="AB5" s="3187"/>
      <c r="AC5" s="3175"/>
    </row>
    <row r="6" spans="1:29" ht="15.75" hidden="1" thickBot="1">
      <c r="A6" s="385"/>
      <c r="B6" s="386"/>
      <c r="C6" s="3160" t="s">
        <v>2343</v>
      </c>
      <c r="D6" s="3161"/>
      <c r="E6" s="3190" t="s">
        <v>2343</v>
      </c>
      <c r="F6" s="3191"/>
      <c r="G6" s="3248" t="s">
        <v>3092</v>
      </c>
      <c r="H6" s="3161"/>
      <c r="I6" s="3160" t="s">
        <v>2343</v>
      </c>
      <c r="J6" s="3161"/>
      <c r="K6" s="594" t="s">
        <v>2344</v>
      </c>
      <c r="L6" s="1239"/>
      <c r="M6" s="1240"/>
      <c r="N6" s="1240"/>
      <c r="O6" s="1240"/>
      <c r="P6" s="3185"/>
      <c r="Q6" s="3186"/>
      <c r="R6" s="3168"/>
      <c r="S6" s="3169"/>
      <c r="T6" s="3170"/>
      <c r="U6" s="3171"/>
      <c r="V6" s="3187"/>
      <c r="W6" s="3187"/>
      <c r="X6" s="2753"/>
      <c r="Y6" s="3170"/>
      <c r="Z6" s="3171"/>
      <c r="AA6" s="3176"/>
      <c r="AB6" s="3187"/>
      <c r="AC6" s="3176"/>
    </row>
    <row r="7" spans="1:29" s="35" customFormat="1" ht="15.75" thickBot="1">
      <c r="A7" s="387" t="s">
        <v>2345</v>
      </c>
      <c r="B7" s="388"/>
      <c r="C7" s="389">
        <f>'数据-取费表'!B2</f>
        <v>44134</v>
      </c>
      <c r="D7" s="390">
        <v>100</v>
      </c>
      <c r="E7" s="391">
        <v>44082</v>
      </c>
      <c r="F7" s="392">
        <f>SUMIF(58:58,YEAR(E7)&amp;"-"&amp;MONTH(E7),59:59)</f>
        <v>100</v>
      </c>
      <c r="G7" s="391">
        <v>44072</v>
      </c>
      <c r="H7" s="390">
        <f>SUMIF(58:58,YEAR(G7)&amp;"-"&amp;MONTH(G7),59:59)</f>
        <v>100</v>
      </c>
      <c r="I7" s="391">
        <v>44082</v>
      </c>
      <c r="J7" s="390">
        <f>SUMIF(58:58,YEAR(I7)&amp;"-"&amp;MONTH(I7),59:59)</f>
        <v>100</v>
      </c>
      <c r="K7" s="595"/>
      <c r="L7" s="1241"/>
      <c r="M7" s="1242"/>
      <c r="N7" s="1242"/>
      <c r="O7" s="1242"/>
      <c r="P7" s="3164" t="s">
        <v>2346</v>
      </c>
      <c r="Q7" s="3172"/>
      <c r="R7" s="749" t="s">
        <v>25</v>
      </c>
      <c r="S7" s="750">
        <f t="shared" ref="S7:S15" si="0">F7</f>
        <v>100</v>
      </c>
      <c r="T7" s="749" t="s">
        <v>25</v>
      </c>
      <c r="U7" s="750">
        <f t="shared" ref="U7:U15" si="1">H7</f>
        <v>100</v>
      </c>
      <c r="V7" s="749" t="s">
        <v>25</v>
      </c>
      <c r="W7" s="750">
        <f t="shared" ref="W7:W15" si="2">J7</f>
        <v>100</v>
      </c>
      <c r="X7" s="751"/>
      <c r="Y7" s="3164" t="s">
        <v>2346</v>
      </c>
      <c r="Z7" s="3165"/>
      <c r="AA7" s="752">
        <f>D7/F7</f>
        <v>1</v>
      </c>
      <c r="AB7" s="752">
        <f>D7/H7</f>
        <v>1</v>
      </c>
      <c r="AC7" s="752">
        <f>D7/J7</f>
        <v>1</v>
      </c>
    </row>
    <row r="8" spans="1:29" s="35" customFormat="1" ht="15.75" thickBot="1">
      <c r="A8" s="387" t="s">
        <v>2347</v>
      </c>
      <c r="B8" s="388"/>
      <c r="C8" s="394" t="s">
        <v>2348</v>
      </c>
      <c r="D8" s="390">
        <v>100</v>
      </c>
      <c r="E8" s="394" t="s">
        <v>3085</v>
      </c>
      <c r="F8" s="392">
        <f>SUMIF(61:61,E8,62:62)-SUMIF(61:61,C8,62:62)+100</f>
        <v>100</v>
      </c>
      <c r="G8" s="394" t="s">
        <v>3085</v>
      </c>
      <c r="H8" s="390">
        <f>SUMIF(61:61,G8,62:62)-SUMIF(61:61,C8,62:62)+100</f>
        <v>100</v>
      </c>
      <c r="I8" s="394" t="s">
        <v>3085</v>
      </c>
      <c r="J8" s="390">
        <f>SUMIF(61:61,I8,62:62)-SUMIF(61:61,C8,62:62)+100</f>
        <v>100</v>
      </c>
      <c r="K8" s="595"/>
      <c r="L8" s="1241"/>
      <c r="M8" s="1242"/>
      <c r="N8" s="1242"/>
      <c r="O8" s="1242"/>
      <c r="P8" s="3164" t="s">
        <v>2349</v>
      </c>
      <c r="Q8" s="3165"/>
      <c r="R8" s="749" t="s">
        <v>25</v>
      </c>
      <c r="S8" s="750">
        <f t="shared" si="0"/>
        <v>100</v>
      </c>
      <c r="T8" s="749" t="s">
        <v>25</v>
      </c>
      <c r="U8" s="750">
        <f t="shared" si="1"/>
        <v>100</v>
      </c>
      <c r="V8" s="749" t="s">
        <v>25</v>
      </c>
      <c r="W8" s="750">
        <f t="shared" si="2"/>
        <v>100</v>
      </c>
      <c r="X8" s="751"/>
      <c r="Y8" s="3164" t="s">
        <v>2349</v>
      </c>
      <c r="Z8" s="3165"/>
      <c r="AA8" s="752">
        <f t="shared" ref="AA8:AA46" si="3">D8/F8</f>
        <v>1</v>
      </c>
      <c r="AB8" s="752">
        <f t="shared" ref="AB8:AB46" si="4">D8/H8</f>
        <v>1</v>
      </c>
      <c r="AC8" s="752">
        <f t="shared" ref="AC8:AC46" si="5">D8/J8</f>
        <v>1</v>
      </c>
    </row>
    <row r="9" spans="1:29" s="35" customFormat="1" ht="15" thickBot="1">
      <c r="A9" s="395" t="s">
        <v>2350</v>
      </c>
      <c r="B9" s="28" t="s">
        <v>2351</v>
      </c>
      <c r="C9" s="2841" t="s">
        <v>3051</v>
      </c>
      <c r="D9" s="51">
        <v>100</v>
      </c>
      <c r="E9" s="397" t="s">
        <v>3048</v>
      </c>
      <c r="F9" s="398">
        <f>SUMIF(63:63,E9,64:64)-SUMIF(63:63,C9,64:64)+100</f>
        <v>100</v>
      </c>
      <c r="G9" s="397" t="s">
        <v>3048</v>
      </c>
      <c r="H9" s="51">
        <f>SUMIF(63:63,G9,64:64)-SUMIF(63:63,C9,64:64)+100</f>
        <v>100</v>
      </c>
      <c r="I9" s="397" t="s">
        <v>3048</v>
      </c>
      <c r="J9" s="51">
        <f>SUMIF(63:63,I9,64:64)-SUMIF(63:63,C9,64:64)+100</f>
        <v>100</v>
      </c>
      <c r="K9" s="595"/>
      <c r="L9" s="1241"/>
      <c r="M9" s="1242"/>
      <c r="N9" s="1242"/>
      <c r="O9" s="1242"/>
      <c r="P9" s="3173" t="s">
        <v>2352</v>
      </c>
      <c r="Q9" s="2748" t="str">
        <f t="shared" ref="Q9:Q15" si="6">B9</f>
        <v>用途</v>
      </c>
      <c r="R9" s="749" t="s">
        <v>25</v>
      </c>
      <c r="S9" s="750">
        <f t="shared" si="0"/>
        <v>100</v>
      </c>
      <c r="T9" s="749" t="s">
        <v>25</v>
      </c>
      <c r="U9" s="750">
        <f t="shared" si="1"/>
        <v>100</v>
      </c>
      <c r="V9" s="749" t="s">
        <v>25</v>
      </c>
      <c r="W9" s="750">
        <f t="shared" si="2"/>
        <v>100</v>
      </c>
      <c r="X9" s="751"/>
      <c r="Y9" s="2979" t="s">
        <v>2353</v>
      </c>
      <c r="Z9" s="23" t="str">
        <f t="shared" ref="Z9:Z15" si="7">Q9</f>
        <v>用途</v>
      </c>
      <c r="AA9" s="752">
        <f t="shared" si="3"/>
        <v>1</v>
      </c>
      <c r="AB9" s="752">
        <f t="shared" si="4"/>
        <v>1</v>
      </c>
      <c r="AC9" s="752">
        <f t="shared" si="5"/>
        <v>1</v>
      </c>
    </row>
    <row r="10" spans="1:29" s="407" customFormat="1" ht="27" hidden="1">
      <c r="A10" s="401"/>
      <c r="B10" s="2749" t="s">
        <v>2354</v>
      </c>
      <c r="C10" s="403" t="s">
        <v>3052</v>
      </c>
      <c r="D10" s="52">
        <v>100</v>
      </c>
      <c r="E10" s="404" t="s">
        <v>3052</v>
      </c>
      <c r="F10" s="405">
        <f>SUMIF(65:65,E10,66:66)-SUMIF(65:65,C10,66:66)+100</f>
        <v>100</v>
      </c>
      <c r="G10" s="403" t="s">
        <v>3093</v>
      </c>
      <c r="H10" s="52">
        <f>SUMIF(65:65,G10,66:66)-SUMIF(65:65,C10,66:66)+100</f>
        <v>100</v>
      </c>
      <c r="I10" s="403" t="s">
        <v>3052</v>
      </c>
      <c r="J10" s="52">
        <f>SUMIF(65:65,I10,66:66)-SUMIF(65:65,C10,66:66)+100</f>
        <v>100</v>
      </c>
      <c r="K10" s="596"/>
      <c r="L10" s="1244"/>
      <c r="M10" s="1245"/>
      <c r="N10" s="1245"/>
      <c r="O10" s="1245"/>
      <c r="P10" s="3173"/>
      <c r="Q10" s="2748" t="str">
        <f t="shared" si="6"/>
        <v>土地使用年限（年）</v>
      </c>
      <c r="R10" s="749" t="s">
        <v>25</v>
      </c>
      <c r="S10" s="750">
        <f t="shared" si="0"/>
        <v>100</v>
      </c>
      <c r="T10" s="749" t="s">
        <v>25</v>
      </c>
      <c r="U10" s="750">
        <f t="shared" si="1"/>
        <v>100</v>
      </c>
      <c r="V10" s="749" t="s">
        <v>25</v>
      </c>
      <c r="W10" s="750">
        <f t="shared" si="2"/>
        <v>100</v>
      </c>
      <c r="X10" s="751"/>
      <c r="Y10" s="2979"/>
      <c r="Z10" s="23" t="str">
        <f t="shared" si="7"/>
        <v>土地使用年限（年）</v>
      </c>
      <c r="AA10" s="752">
        <f t="shared" si="3"/>
        <v>1</v>
      </c>
      <c r="AB10" s="752">
        <f t="shared" si="4"/>
        <v>1</v>
      </c>
      <c r="AC10" s="752">
        <f t="shared" si="5"/>
        <v>1</v>
      </c>
    </row>
    <row r="11" spans="1:29" ht="15.75" hidden="1" thickBot="1">
      <c r="A11" s="408"/>
      <c r="B11" s="2749" t="s">
        <v>2355</v>
      </c>
      <c r="C11" s="409">
        <v>4.8</v>
      </c>
      <c r="D11" s="52">
        <v>100</v>
      </c>
      <c r="E11" s="410">
        <v>4.8</v>
      </c>
      <c r="F11" s="405">
        <f>LOOKUP(E11,68:68,69:69)-LOOKUP(C11,68:68,69:69)+100</f>
        <v>100</v>
      </c>
      <c r="G11" s="409">
        <v>3</v>
      </c>
      <c r="H11" s="52">
        <f>LOOKUP(G11,68:68,69:69)-LOOKUP(C11,68:68,69:69)+100</f>
        <v>100</v>
      </c>
      <c r="I11" s="409">
        <v>3.5</v>
      </c>
      <c r="J11" s="52">
        <f>LOOKUP(I11,68:68,69:69)-LOOKUP(C11,68:68,69:69)+100</f>
        <v>100</v>
      </c>
      <c r="K11" s="596"/>
      <c r="L11" s="1247"/>
      <c r="M11" s="1240"/>
      <c r="N11" s="1240"/>
      <c r="O11" s="1240"/>
      <c r="P11" s="3173"/>
      <c r="Q11" s="2748" t="str">
        <f t="shared" si="6"/>
        <v>容积率</v>
      </c>
      <c r="R11" s="749" t="s">
        <v>25</v>
      </c>
      <c r="S11" s="750">
        <f t="shared" si="0"/>
        <v>100</v>
      </c>
      <c r="T11" s="749" t="s">
        <v>25</v>
      </c>
      <c r="U11" s="750">
        <f t="shared" si="1"/>
        <v>100</v>
      </c>
      <c r="V11" s="749" t="s">
        <v>25</v>
      </c>
      <c r="W11" s="750">
        <f t="shared" si="2"/>
        <v>100</v>
      </c>
      <c r="X11" s="751"/>
      <c r="Y11" s="2979"/>
      <c r="Z11" s="23" t="str">
        <f t="shared" si="7"/>
        <v>容积率</v>
      </c>
      <c r="AA11" s="752">
        <f t="shared" si="3"/>
        <v>1</v>
      </c>
      <c r="AB11" s="752">
        <f t="shared" si="4"/>
        <v>1</v>
      </c>
      <c r="AC11" s="752">
        <f t="shared" si="5"/>
        <v>1</v>
      </c>
    </row>
    <row r="12" spans="1:29" s="35" customFormat="1" ht="15.75" hidden="1" thickBot="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73"/>
      <c r="Q12" s="2748">
        <f t="shared" si="6"/>
        <v>111</v>
      </c>
      <c r="R12" s="749" t="s">
        <v>25</v>
      </c>
      <c r="S12" s="750">
        <f t="shared" si="0"/>
        <v>100</v>
      </c>
      <c r="T12" s="749" t="s">
        <v>25</v>
      </c>
      <c r="U12" s="750">
        <f t="shared" si="1"/>
        <v>100</v>
      </c>
      <c r="V12" s="749" t="s">
        <v>25</v>
      </c>
      <c r="W12" s="750">
        <f t="shared" si="2"/>
        <v>100</v>
      </c>
      <c r="X12" s="751"/>
      <c r="Y12" s="2979"/>
      <c r="Z12" s="23">
        <f t="shared" si="7"/>
        <v>111</v>
      </c>
      <c r="AA12" s="752">
        <f>D12/F12</f>
        <v>1</v>
      </c>
      <c r="AB12" s="752">
        <f>D12/H12</f>
        <v>1</v>
      </c>
      <c r="AC12" s="752">
        <f>D12/J12</f>
        <v>1</v>
      </c>
    </row>
    <row r="13" spans="1:29" ht="15.75" hidden="1" thickBot="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73"/>
      <c r="Q13" s="2748">
        <f t="shared" si="6"/>
        <v>111</v>
      </c>
      <c r="R13" s="749" t="s">
        <v>25</v>
      </c>
      <c r="S13" s="750">
        <f t="shared" si="0"/>
        <v>100</v>
      </c>
      <c r="T13" s="749" t="s">
        <v>25</v>
      </c>
      <c r="U13" s="750">
        <f t="shared" si="1"/>
        <v>100</v>
      </c>
      <c r="V13" s="749" t="s">
        <v>25</v>
      </c>
      <c r="W13" s="750">
        <f t="shared" si="2"/>
        <v>100</v>
      </c>
      <c r="X13" s="751"/>
      <c r="Y13" s="2979"/>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73"/>
      <c r="Q14" s="2748">
        <f t="shared" si="6"/>
        <v>111</v>
      </c>
      <c r="R14" s="749" t="s">
        <v>25</v>
      </c>
      <c r="S14" s="750">
        <f t="shared" si="0"/>
        <v>100</v>
      </c>
      <c r="T14" s="749" t="s">
        <v>25</v>
      </c>
      <c r="U14" s="750">
        <f t="shared" si="1"/>
        <v>100</v>
      </c>
      <c r="V14" s="749" t="s">
        <v>25</v>
      </c>
      <c r="W14" s="750">
        <f t="shared" si="2"/>
        <v>100</v>
      </c>
      <c r="X14" s="751"/>
      <c r="Y14" s="2979"/>
      <c r="Z14" s="23">
        <f t="shared" si="7"/>
        <v>111</v>
      </c>
      <c r="AA14" s="752">
        <f t="shared" si="3"/>
        <v>1</v>
      </c>
      <c r="AB14" s="752">
        <f t="shared" si="4"/>
        <v>1</v>
      </c>
      <c r="AC14" s="752">
        <f t="shared" si="5"/>
        <v>1</v>
      </c>
    </row>
    <row r="15" spans="1:29" ht="71.25">
      <c r="A15" s="419" t="s">
        <v>2356</v>
      </c>
      <c r="B15" s="26" t="s">
        <v>2442</v>
      </c>
      <c r="C15" s="2398" t="str">
        <f>估价对象房地状况!C4</f>
        <v>估价对象位于定福庄商圈，周边商业氛围成熟，人流量大，商业繁华度好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51" t="s">
        <v>2357</v>
      </c>
      <c r="Q15" s="2752" t="str">
        <f t="shared" si="6"/>
        <v>商业繁华度</v>
      </c>
      <c r="R15" s="753" t="s">
        <v>25</v>
      </c>
      <c r="S15" s="754">
        <f t="shared" si="0"/>
        <v>100</v>
      </c>
      <c r="T15" s="753" t="s">
        <v>25</v>
      </c>
      <c r="U15" s="754">
        <f t="shared" si="1"/>
        <v>100</v>
      </c>
      <c r="V15" s="753" t="s">
        <v>25</v>
      </c>
      <c r="W15" s="754">
        <f t="shared" si="2"/>
        <v>100</v>
      </c>
      <c r="X15" s="2753"/>
      <c r="Y15" s="3153" t="s">
        <v>2357</v>
      </c>
      <c r="Z15" s="2754" t="str">
        <f t="shared" si="7"/>
        <v>商业繁华度</v>
      </c>
      <c r="AA15" s="2750">
        <f t="shared" si="3"/>
        <v>1</v>
      </c>
      <c r="AB15" s="2750">
        <f t="shared" si="4"/>
        <v>1</v>
      </c>
      <c r="AC15" s="2750">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52"/>
      <c r="Q16" s="2752"/>
      <c r="R16" s="753"/>
      <c r="S16" s="754"/>
      <c r="T16" s="753"/>
      <c r="U16" s="754"/>
      <c r="V16" s="753"/>
      <c r="W16" s="754"/>
      <c r="X16" s="2753"/>
      <c r="Y16" s="3154"/>
      <c r="Z16" s="2754"/>
      <c r="AA16" s="2750">
        <v>1</v>
      </c>
      <c r="AB16" s="2750">
        <v>1</v>
      </c>
      <c r="AC16" s="2750">
        <v>1</v>
      </c>
    </row>
    <row r="17" spans="1:29" ht="128.25">
      <c r="A17" s="408"/>
      <c r="B17" s="431" t="s">
        <v>1743</v>
      </c>
      <c r="C17" s="2401" t="str">
        <f>估价对象房地状况!C6</f>
        <v>估价对象周边公共交通包括：488路、499路、517路等公交线路，1公里以内有地铁6号线常营地铁站。综合评价交通便捷度好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152"/>
      <c r="Q17" s="2752" t="str">
        <f>B17</f>
        <v>交通便捷度</v>
      </c>
      <c r="R17" s="753" t="s">
        <v>25</v>
      </c>
      <c r="S17" s="754">
        <f>F17</f>
        <v>100</v>
      </c>
      <c r="T17" s="753" t="s">
        <v>25</v>
      </c>
      <c r="U17" s="754">
        <f>H17</f>
        <v>100</v>
      </c>
      <c r="V17" s="753" t="s">
        <v>25</v>
      </c>
      <c r="W17" s="754">
        <f>J17</f>
        <v>100</v>
      </c>
      <c r="X17" s="2753"/>
      <c r="Y17" s="3154"/>
      <c r="Z17" s="2754" t="str">
        <f>Q17</f>
        <v>交通便捷度</v>
      </c>
      <c r="AA17" s="2750">
        <f t="shared" si="3"/>
        <v>1</v>
      </c>
      <c r="AB17" s="2750">
        <f t="shared" si="4"/>
        <v>1</v>
      </c>
      <c r="AC17" s="2750">
        <f t="shared" si="5"/>
        <v>1</v>
      </c>
    </row>
    <row r="18" spans="1:29" ht="15">
      <c r="A18" s="408"/>
      <c r="B18" s="436"/>
      <c r="C18" s="437" t="s">
        <v>29</v>
      </c>
      <c r="D18" s="430"/>
      <c r="E18" s="1464" t="s">
        <v>29</v>
      </c>
      <c r="F18" s="433"/>
      <c r="G18" s="2402" t="s">
        <v>29</v>
      </c>
      <c r="H18" s="427"/>
      <c r="I18" s="1464" t="s">
        <v>29</v>
      </c>
      <c r="J18" s="427"/>
      <c r="K18" s="599"/>
      <c r="L18" s="1249"/>
      <c r="M18" s="1240"/>
      <c r="N18" s="1240"/>
      <c r="O18" s="1240"/>
      <c r="P18" s="3152"/>
      <c r="Q18" s="2752"/>
      <c r="R18" s="753"/>
      <c r="S18" s="754"/>
      <c r="T18" s="753"/>
      <c r="U18" s="754"/>
      <c r="V18" s="753"/>
      <c r="W18" s="754"/>
      <c r="X18" s="2753"/>
      <c r="Y18" s="3154"/>
      <c r="Z18" s="2754"/>
      <c r="AA18" s="2750">
        <v>1</v>
      </c>
      <c r="AB18" s="2750">
        <v>1</v>
      </c>
      <c r="AC18" s="2750">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52"/>
      <c r="Q19" s="2752" t="str">
        <f>B19</f>
        <v>公共配套设施</v>
      </c>
      <c r="R19" s="753" t="s">
        <v>25</v>
      </c>
      <c r="S19" s="754">
        <f>F19</f>
        <v>100</v>
      </c>
      <c r="T19" s="753" t="s">
        <v>25</v>
      </c>
      <c r="U19" s="754">
        <f>H19</f>
        <v>100</v>
      </c>
      <c r="V19" s="753" t="s">
        <v>25</v>
      </c>
      <c r="W19" s="754">
        <f>J19</f>
        <v>100</v>
      </c>
      <c r="X19" s="2753"/>
      <c r="Y19" s="3154"/>
      <c r="Z19" s="2754" t="str">
        <f>Q19</f>
        <v>公共配套设施</v>
      </c>
      <c r="AA19" s="2750">
        <f t="shared" si="3"/>
        <v>1</v>
      </c>
      <c r="AB19" s="2750">
        <f t="shared" si="4"/>
        <v>1</v>
      </c>
      <c r="AC19" s="2750">
        <f t="shared" si="5"/>
        <v>1</v>
      </c>
    </row>
    <row r="20" spans="1:29" ht="15">
      <c r="A20" s="408"/>
      <c r="B20" s="436"/>
      <c r="C20" s="426" t="s">
        <v>29</v>
      </c>
      <c r="D20" s="427"/>
      <c r="E20" s="428" t="s">
        <v>29</v>
      </c>
      <c r="F20" s="429"/>
      <c r="G20" s="2399" t="s">
        <v>29</v>
      </c>
      <c r="H20" s="427"/>
      <c r="I20" s="428" t="s">
        <v>29</v>
      </c>
      <c r="J20" s="427"/>
      <c r="K20" s="599"/>
      <c r="L20" s="1249"/>
      <c r="M20" s="1240"/>
      <c r="N20" s="1240"/>
      <c r="O20" s="1240"/>
      <c r="P20" s="3152"/>
      <c r="Q20" s="2752"/>
      <c r="R20" s="753"/>
      <c r="S20" s="754"/>
      <c r="T20" s="753"/>
      <c r="U20" s="754"/>
      <c r="V20" s="753"/>
      <c r="W20" s="754"/>
      <c r="X20" s="2753"/>
      <c r="Y20" s="3154"/>
      <c r="Z20" s="2754"/>
      <c r="AA20" s="2750">
        <v>1</v>
      </c>
      <c r="AB20" s="2750">
        <v>1</v>
      </c>
      <c r="AC20" s="2750">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52"/>
      <c r="Q21" s="2752" t="str">
        <f>B21</f>
        <v>基础设施水平</v>
      </c>
      <c r="R21" s="753" t="s">
        <v>25</v>
      </c>
      <c r="S21" s="754">
        <f>F21</f>
        <v>100</v>
      </c>
      <c r="T21" s="753" t="s">
        <v>25</v>
      </c>
      <c r="U21" s="754">
        <f>H21</f>
        <v>100</v>
      </c>
      <c r="V21" s="753" t="s">
        <v>25</v>
      </c>
      <c r="W21" s="754">
        <f>J21</f>
        <v>100</v>
      </c>
      <c r="X21" s="2753"/>
      <c r="Y21" s="3154"/>
      <c r="Z21" s="2754" t="str">
        <f>Q21</f>
        <v>基础设施水平</v>
      </c>
      <c r="AA21" s="2750">
        <f t="shared" ref="AA21" si="8">D21/F21</f>
        <v>1</v>
      </c>
      <c r="AB21" s="2750">
        <f t="shared" ref="AB21" si="9">D21/H21</f>
        <v>1</v>
      </c>
      <c r="AC21" s="2750">
        <f t="shared" ref="AC21" si="10">D21/J21</f>
        <v>1</v>
      </c>
    </row>
    <row r="22" spans="1:29" ht="15">
      <c r="A22" s="408"/>
      <c r="B22" s="2403"/>
      <c r="C22" s="437" t="s">
        <v>3054</v>
      </c>
      <c r="D22" s="427"/>
      <c r="E22" s="426" t="s">
        <v>3054</v>
      </c>
      <c r="F22" s="429"/>
      <c r="G22" s="426" t="s">
        <v>3054</v>
      </c>
      <c r="H22" s="427"/>
      <c r="I22" s="426" t="s">
        <v>3054</v>
      </c>
      <c r="J22" s="427"/>
      <c r="K22" s="1465"/>
      <c r="L22" s="1249"/>
      <c r="M22" s="1240"/>
      <c r="N22" s="1240"/>
      <c r="O22" s="1240"/>
      <c r="P22" s="3152"/>
      <c r="Q22" s="2752"/>
      <c r="R22" s="753"/>
      <c r="S22" s="754"/>
      <c r="T22" s="753"/>
      <c r="U22" s="754"/>
      <c r="V22" s="753"/>
      <c r="W22" s="754"/>
      <c r="X22" s="2753"/>
      <c r="Y22" s="3154"/>
      <c r="Z22" s="2754"/>
      <c r="AA22" s="2750">
        <v>1</v>
      </c>
      <c r="AB22" s="2750">
        <v>1</v>
      </c>
      <c r="AC22" s="2750">
        <v>1</v>
      </c>
    </row>
    <row r="23" spans="1:29" ht="114">
      <c r="A23" s="408"/>
      <c r="B23" s="431" t="s">
        <v>1748</v>
      </c>
      <c r="C23" s="2452" t="str">
        <f>估价对象房地状况!C9</f>
        <v>区域自然环境：常营公园、五里桥公园；人文环境：北京科技大学（管庄校区）、北京政法职业学院；综合评价环境状况好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52"/>
      <c r="Q23" s="2752" t="str">
        <f>B23</f>
        <v>自然及人文环境</v>
      </c>
      <c r="R23" s="753" t="s">
        <v>25</v>
      </c>
      <c r="S23" s="754">
        <f>F23</f>
        <v>100</v>
      </c>
      <c r="T23" s="753" t="s">
        <v>25</v>
      </c>
      <c r="U23" s="754">
        <f>H23</f>
        <v>100</v>
      </c>
      <c r="V23" s="753" t="s">
        <v>25</v>
      </c>
      <c r="W23" s="754">
        <f>J23</f>
        <v>100</v>
      </c>
      <c r="X23" s="2753"/>
      <c r="Y23" s="3154"/>
      <c r="Z23" s="2754" t="str">
        <f>Q23</f>
        <v>自然及人文环境</v>
      </c>
      <c r="AA23" s="2750">
        <f t="shared" si="3"/>
        <v>1</v>
      </c>
      <c r="AB23" s="2750">
        <f t="shared" si="4"/>
        <v>1</v>
      </c>
      <c r="AC23" s="2750">
        <f t="shared" si="5"/>
        <v>1</v>
      </c>
    </row>
    <row r="24" spans="1:29" ht="15">
      <c r="A24" s="408"/>
      <c r="B24" s="436"/>
      <c r="C24" s="426" t="s">
        <v>30</v>
      </c>
      <c r="D24" s="427"/>
      <c r="E24" s="428" t="s">
        <v>30</v>
      </c>
      <c r="F24" s="429"/>
      <c r="G24" s="2399" t="s">
        <v>30</v>
      </c>
      <c r="H24" s="427"/>
      <c r="I24" s="428" t="s">
        <v>30</v>
      </c>
      <c r="J24" s="427"/>
      <c r="K24" s="599"/>
      <c r="L24" s="1249"/>
      <c r="M24" s="1240"/>
      <c r="N24" s="1240"/>
      <c r="O24" s="1240"/>
      <c r="P24" s="3152"/>
      <c r="Q24" s="2752"/>
      <c r="R24" s="753"/>
      <c r="S24" s="754"/>
      <c r="T24" s="753"/>
      <c r="U24" s="754"/>
      <c r="V24" s="753"/>
      <c r="W24" s="754"/>
      <c r="X24" s="2753"/>
      <c r="Y24" s="3154"/>
      <c r="Z24" s="2754"/>
      <c r="AA24" s="2750">
        <v>1</v>
      </c>
      <c r="AB24" s="2750">
        <v>1</v>
      </c>
      <c r="AC24" s="2750">
        <v>1</v>
      </c>
    </row>
    <row r="25" spans="1:29" ht="15.75" thickBot="1">
      <c r="A25" s="408"/>
      <c r="B25" s="2749" t="s">
        <v>2445</v>
      </c>
      <c r="C25" s="600" t="s">
        <v>3163</v>
      </c>
      <c r="D25" s="415">
        <v>100</v>
      </c>
      <c r="E25" s="600" t="s">
        <v>3055</v>
      </c>
      <c r="F25" s="442">
        <f>SUMIF(86:86,E25,87:87)-SUMIF(86:86,C25,87:87)+100</f>
        <v>95</v>
      </c>
      <c r="G25" s="600" t="s">
        <v>3055</v>
      </c>
      <c r="H25" s="415">
        <f>SUMIF(86:86,G25,87:87)-SUMIF(86:86,C25,87:87)+100</f>
        <v>95</v>
      </c>
      <c r="I25" s="600" t="s">
        <v>3055</v>
      </c>
      <c r="J25" s="415">
        <f>SUMIF(86:86,I25,87:87)-SUMIF(86:86,C25,87:87)+100</f>
        <v>95</v>
      </c>
      <c r="K25" s="596">
        <v>5</v>
      </c>
      <c r="L25" s="1249"/>
      <c r="M25" s="1240"/>
      <c r="N25" s="1240"/>
      <c r="O25" s="1240"/>
      <c r="P25" s="3152"/>
      <c r="Q25" s="2752" t="str">
        <f t="shared" ref="Q25:Q46" si="11">B25</f>
        <v>临街状况</v>
      </c>
      <c r="R25" s="753" t="s">
        <v>25</v>
      </c>
      <c r="S25" s="754">
        <f>F25</f>
        <v>95</v>
      </c>
      <c r="T25" s="753" t="s">
        <v>25</v>
      </c>
      <c r="U25" s="754">
        <f>H25</f>
        <v>95</v>
      </c>
      <c r="V25" s="753" t="s">
        <v>25</v>
      </c>
      <c r="W25" s="754">
        <f>J25</f>
        <v>95</v>
      </c>
      <c r="X25" s="2753"/>
      <c r="Y25" s="3154"/>
      <c r="Z25" s="2754" t="str">
        <f>Q25</f>
        <v>临街状况</v>
      </c>
      <c r="AA25" s="2750">
        <f t="shared" si="3"/>
        <v>1.0526315789473684</v>
      </c>
      <c r="AB25" s="2750">
        <f t="shared" si="4"/>
        <v>1.0526315789473684</v>
      </c>
      <c r="AC25" s="2750">
        <f t="shared" si="5"/>
        <v>1.0526315789473684</v>
      </c>
    </row>
    <row r="26" spans="1:29" ht="27.75" thickTop="1">
      <c r="A26" s="408"/>
      <c r="B26" s="2846" t="s">
        <v>3123</v>
      </c>
      <c r="C26" s="2844" t="s">
        <v>3120</v>
      </c>
      <c r="D26" s="415">
        <v>100</v>
      </c>
      <c r="E26" s="2844" t="s">
        <v>3144</v>
      </c>
      <c r="F26" s="442">
        <f>SUMIF(88:88,E26,89:89)-SUMIF(88:88,C26,89:89)+100</f>
        <v>100</v>
      </c>
      <c r="G26" s="2844" t="s">
        <v>3120</v>
      </c>
      <c r="H26" s="415">
        <f>SUMIF(88:88,G26,89:89)-SUMIF(88:88,C26,89:89)+100</f>
        <v>100</v>
      </c>
      <c r="I26" s="2844" t="s">
        <v>3145</v>
      </c>
      <c r="J26" s="415">
        <f>SUMIF(88:88,I26,89:89)-SUMIF(88:88,C26,89:89)+100</f>
        <v>100</v>
      </c>
      <c r="K26" s="597"/>
      <c r="L26" s="1249"/>
      <c r="M26" s="1240"/>
      <c r="N26" s="1240"/>
      <c r="O26" s="1240"/>
      <c r="P26" s="3152"/>
      <c r="Q26" s="2752" t="str">
        <f t="shared" si="11"/>
        <v>道路级别</v>
      </c>
      <c r="R26" s="753" t="s">
        <v>25</v>
      </c>
      <c r="S26" s="754">
        <f>F26</f>
        <v>100</v>
      </c>
      <c r="T26" s="753" t="s">
        <v>25</v>
      </c>
      <c r="U26" s="754">
        <f>H26</f>
        <v>100</v>
      </c>
      <c r="V26" s="753" t="s">
        <v>25</v>
      </c>
      <c r="W26" s="754">
        <f>J26</f>
        <v>100</v>
      </c>
      <c r="X26" s="2753"/>
      <c r="Y26" s="3154"/>
      <c r="Z26" s="2754" t="str">
        <f>Q26</f>
        <v>道路级别</v>
      </c>
      <c r="AA26" s="2750">
        <f t="shared" si="3"/>
        <v>1</v>
      </c>
      <c r="AB26" s="2750">
        <f t="shared" si="4"/>
        <v>1</v>
      </c>
      <c r="AC26" s="2750">
        <f t="shared" si="5"/>
        <v>1</v>
      </c>
    </row>
    <row r="27" spans="1:29" s="35" customFormat="1" ht="15">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52"/>
      <c r="Q27" s="2748" t="str">
        <f t="shared" si="11"/>
        <v>人流量</v>
      </c>
      <c r="R27" s="749" t="s">
        <v>25</v>
      </c>
      <c r="S27" s="750">
        <f>F27</f>
        <v>100</v>
      </c>
      <c r="T27" s="749" t="s">
        <v>25</v>
      </c>
      <c r="U27" s="750">
        <f>H27</f>
        <v>100</v>
      </c>
      <c r="V27" s="749" t="s">
        <v>25</v>
      </c>
      <c r="W27" s="750">
        <f>J27</f>
        <v>100</v>
      </c>
      <c r="X27" s="751"/>
      <c r="Y27" s="3154"/>
      <c r="Z27" s="23" t="str">
        <f>Q27</f>
        <v>人流量</v>
      </c>
      <c r="AA27" s="2750">
        <f>D27/F27</f>
        <v>1</v>
      </c>
      <c r="AB27" s="2750">
        <f>D27/H27</f>
        <v>1</v>
      </c>
      <c r="AC27" s="2750">
        <f>D27/J27</f>
        <v>1</v>
      </c>
    </row>
    <row r="28" spans="1:29" ht="15" hidden="1">
      <c r="A28" s="408"/>
      <c r="B28" s="2749" t="s">
        <v>2447</v>
      </c>
      <c r="C28" s="600" t="s">
        <v>3068</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52"/>
      <c r="Q28" s="2752" t="str">
        <f t="shared" si="11"/>
        <v>楼层</v>
      </c>
      <c r="R28" s="753" t="s">
        <v>25</v>
      </c>
      <c r="S28" s="754">
        <f t="shared" ref="S28:S46" si="12">F28</f>
        <v>100</v>
      </c>
      <c r="T28" s="753" t="s">
        <v>25</v>
      </c>
      <c r="U28" s="754">
        <f t="shared" ref="U28:U46" si="13">H28</f>
        <v>100</v>
      </c>
      <c r="V28" s="753" t="s">
        <v>25</v>
      </c>
      <c r="W28" s="754">
        <f t="shared" ref="W28:W46" si="14">J28</f>
        <v>100</v>
      </c>
      <c r="X28" s="2753"/>
      <c r="Y28" s="3154"/>
      <c r="Z28" s="2754" t="str">
        <f t="shared" ref="Z28:Z46" si="15">Q28</f>
        <v>楼层</v>
      </c>
      <c r="AA28" s="2750">
        <f t="shared" si="3"/>
        <v>1</v>
      </c>
      <c r="AB28" s="2750">
        <f t="shared" si="4"/>
        <v>1</v>
      </c>
      <c r="AC28" s="2750">
        <f t="shared" si="5"/>
        <v>1</v>
      </c>
    </row>
    <row r="29" spans="1:29" ht="15.75" thickBot="1">
      <c r="A29" s="408"/>
      <c r="B29" s="2846" t="s">
        <v>3069</v>
      </c>
      <c r="C29" s="414" t="s">
        <v>3146</v>
      </c>
      <c r="D29" s="415">
        <v>100</v>
      </c>
      <c r="E29" s="414" t="s">
        <v>3089</v>
      </c>
      <c r="F29" s="442">
        <f>SUMIF(94:94,E29,95:95)-SUMIF(94:94,C29,95:95)+100</f>
        <v>110</v>
      </c>
      <c r="G29" s="414" t="s">
        <v>3089</v>
      </c>
      <c r="H29" s="415">
        <f>SUMIF(94:94,G29,95:95)-SUMIF(94:94,C29,95:95)+100</f>
        <v>110</v>
      </c>
      <c r="I29" s="414" t="s">
        <v>3089</v>
      </c>
      <c r="J29" s="415">
        <f>SUMIF(94:94,I29,95:95)-SUMIF(94:94,C29,95:95)+100</f>
        <v>110</v>
      </c>
      <c r="K29" s="597"/>
      <c r="L29" s="1249"/>
      <c r="M29" s="1240"/>
      <c r="N29" s="1240"/>
      <c r="O29" s="1240"/>
      <c r="P29" s="3152"/>
      <c r="Q29" s="2752" t="str">
        <f t="shared" si="11"/>
        <v>所在楼层</v>
      </c>
      <c r="R29" s="753" t="s">
        <v>25</v>
      </c>
      <c r="S29" s="754">
        <f t="shared" si="12"/>
        <v>110</v>
      </c>
      <c r="T29" s="753" t="s">
        <v>25</v>
      </c>
      <c r="U29" s="754">
        <f t="shared" si="13"/>
        <v>110</v>
      </c>
      <c r="V29" s="753" t="s">
        <v>25</v>
      </c>
      <c r="W29" s="754">
        <f t="shared" si="14"/>
        <v>110</v>
      </c>
      <c r="X29" s="2753"/>
      <c r="Y29" s="3154"/>
      <c r="Z29" s="2754" t="str">
        <f t="shared" si="15"/>
        <v>所在楼层</v>
      </c>
      <c r="AA29" s="2750">
        <f t="shared" si="3"/>
        <v>0.90909090909090906</v>
      </c>
      <c r="AB29" s="2750">
        <f t="shared" si="4"/>
        <v>0.90909090909090906</v>
      </c>
      <c r="AC29" s="2750">
        <f t="shared" si="5"/>
        <v>0.90909090909090906</v>
      </c>
    </row>
    <row r="30" spans="1:29" ht="15.75" hidden="1" thickBot="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52"/>
      <c r="Q30" s="2752">
        <f t="shared" si="11"/>
        <v>111</v>
      </c>
      <c r="R30" s="753" t="s">
        <v>25</v>
      </c>
      <c r="S30" s="754">
        <f t="shared" si="12"/>
        <v>100</v>
      </c>
      <c r="T30" s="753" t="s">
        <v>25</v>
      </c>
      <c r="U30" s="754">
        <f t="shared" si="13"/>
        <v>100</v>
      </c>
      <c r="V30" s="753" t="s">
        <v>25</v>
      </c>
      <c r="W30" s="754">
        <f t="shared" si="14"/>
        <v>100</v>
      </c>
      <c r="X30" s="2753"/>
      <c r="Y30" s="3154"/>
      <c r="Z30" s="2754">
        <f t="shared" si="15"/>
        <v>111</v>
      </c>
      <c r="AA30" s="2750">
        <f t="shared" si="3"/>
        <v>1</v>
      </c>
      <c r="AB30" s="2750">
        <f t="shared" si="4"/>
        <v>1</v>
      </c>
      <c r="AC30" s="2750">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52"/>
      <c r="Q31" s="2752">
        <f t="shared" si="11"/>
        <v>111</v>
      </c>
      <c r="R31" s="753" t="s">
        <v>25</v>
      </c>
      <c r="S31" s="754">
        <f t="shared" si="12"/>
        <v>100</v>
      </c>
      <c r="T31" s="753" t="s">
        <v>25</v>
      </c>
      <c r="U31" s="754">
        <f t="shared" si="13"/>
        <v>100</v>
      </c>
      <c r="V31" s="753" t="s">
        <v>25</v>
      </c>
      <c r="W31" s="754">
        <f t="shared" si="14"/>
        <v>100</v>
      </c>
      <c r="X31" s="2753"/>
      <c r="Y31" s="3154"/>
      <c r="Z31" s="2754">
        <f t="shared" si="15"/>
        <v>111</v>
      </c>
      <c r="AA31" s="2750">
        <f t="shared" si="3"/>
        <v>1</v>
      </c>
      <c r="AB31" s="2750">
        <f t="shared" si="4"/>
        <v>1</v>
      </c>
      <c r="AC31" s="2750">
        <f t="shared" si="5"/>
        <v>1</v>
      </c>
    </row>
    <row r="32" spans="1:29" ht="15">
      <c r="A32" s="419" t="s">
        <v>2361</v>
      </c>
      <c r="B32" s="28" t="s">
        <v>2448</v>
      </c>
      <c r="C32" s="2408" t="s">
        <v>3166</v>
      </c>
      <c r="D32" s="448">
        <v>100</v>
      </c>
      <c r="E32" s="2408" t="s">
        <v>3062</v>
      </c>
      <c r="F32" s="442">
        <f>SUMIF(100:100,E32,101:101)-SUMIF(100:100,C32,101:101)+100</f>
        <v>103</v>
      </c>
      <c r="G32" s="2408" t="s">
        <v>3166</v>
      </c>
      <c r="H32" s="415">
        <f>SUMIF(100:100,G32,101:101)-SUMIF(100:100,C32,101:101)+100</f>
        <v>100</v>
      </c>
      <c r="I32" s="2408" t="s">
        <v>3128</v>
      </c>
      <c r="J32" s="448">
        <f>SUMIF(100:100,I32,101:101)-SUMIF(100:100,C32,101:101)+100</f>
        <v>97</v>
      </c>
      <c r="K32" s="596">
        <v>3</v>
      </c>
      <c r="L32" s="1249"/>
      <c r="M32" s="1240"/>
      <c r="N32" s="1240"/>
      <c r="O32" s="1240"/>
      <c r="P32" s="3155" t="s">
        <v>2363</v>
      </c>
      <c r="Q32" s="2752" t="str">
        <f t="shared" si="11"/>
        <v>商业类型</v>
      </c>
      <c r="R32" s="753" t="s">
        <v>25</v>
      </c>
      <c r="S32" s="754">
        <f t="shared" si="12"/>
        <v>103</v>
      </c>
      <c r="T32" s="753" t="s">
        <v>25</v>
      </c>
      <c r="U32" s="754">
        <f t="shared" si="13"/>
        <v>100</v>
      </c>
      <c r="V32" s="753" t="s">
        <v>25</v>
      </c>
      <c r="W32" s="754">
        <f t="shared" si="14"/>
        <v>97</v>
      </c>
      <c r="X32" s="2753"/>
      <c r="Y32" s="3158" t="s">
        <v>2363</v>
      </c>
      <c r="Z32" s="2754" t="str">
        <f t="shared" si="15"/>
        <v>商业类型</v>
      </c>
      <c r="AA32" s="2750">
        <f t="shared" si="3"/>
        <v>0.970873786407767</v>
      </c>
      <c r="AB32" s="2750">
        <f t="shared" si="4"/>
        <v>1</v>
      </c>
      <c r="AC32" s="2750">
        <f t="shared" si="5"/>
        <v>1.0309278350515463</v>
      </c>
    </row>
    <row r="33" spans="1:29" s="452" customFormat="1" ht="15">
      <c r="A33" s="449"/>
      <c r="B33" s="2749" t="s">
        <v>2364</v>
      </c>
      <c r="C33" s="450">
        <f>项目基本情况!C12</f>
        <v>392.22</v>
      </c>
      <c r="D33" s="52">
        <v>100</v>
      </c>
      <c r="E33" s="410">
        <v>178</v>
      </c>
      <c r="F33" s="405">
        <f>LOOKUP(E33,103:103,104:104)-LOOKUP(C33,103:103,104:104)+100</f>
        <v>102</v>
      </c>
      <c r="G33" s="409">
        <v>91.22</v>
      </c>
      <c r="H33" s="52">
        <f>LOOKUP(G33,103:103,104:104)-LOOKUP(C33,103:103,104:104)+100</f>
        <v>102</v>
      </c>
      <c r="I33" s="409">
        <v>149.9</v>
      </c>
      <c r="J33" s="52">
        <f>LOOKUP(I33,103:103,104:104)-LOOKUP(C33,103:103,104:104)+100</f>
        <v>102</v>
      </c>
      <c r="K33" s="597"/>
      <c r="L33" s="1247"/>
      <c r="M33" s="1250"/>
      <c r="N33" s="1250"/>
      <c r="O33" s="1250"/>
      <c r="P33" s="3156"/>
      <c r="Q33" s="755" t="str">
        <f t="shared" si="11"/>
        <v>项目建筑规模</v>
      </c>
      <c r="R33" s="756" t="s">
        <v>25</v>
      </c>
      <c r="S33" s="757">
        <f t="shared" si="12"/>
        <v>102</v>
      </c>
      <c r="T33" s="756" t="s">
        <v>25</v>
      </c>
      <c r="U33" s="757">
        <f t="shared" si="13"/>
        <v>102</v>
      </c>
      <c r="V33" s="756" t="s">
        <v>25</v>
      </c>
      <c r="W33" s="757">
        <f t="shared" si="14"/>
        <v>102</v>
      </c>
      <c r="X33" s="758"/>
      <c r="Y33" s="3158"/>
      <c r="Z33" s="759" t="str">
        <f t="shared" si="15"/>
        <v>项目建筑规模</v>
      </c>
      <c r="AA33" s="2750">
        <f t="shared" si="3"/>
        <v>0.98039215686274506</v>
      </c>
      <c r="AB33" s="2750">
        <f t="shared" si="4"/>
        <v>0.98039215686274506</v>
      </c>
      <c r="AC33" s="2750">
        <f t="shared" si="5"/>
        <v>0.98039215686274506</v>
      </c>
    </row>
    <row r="34" spans="1:29" ht="15">
      <c r="A34" s="453"/>
      <c r="B34" s="2749"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56"/>
      <c r="Q34" s="2752" t="str">
        <f t="shared" si="11"/>
        <v>建筑结构</v>
      </c>
      <c r="R34" s="753" t="s">
        <v>25</v>
      </c>
      <c r="S34" s="754">
        <f t="shared" si="12"/>
        <v>100</v>
      </c>
      <c r="T34" s="753" t="s">
        <v>25</v>
      </c>
      <c r="U34" s="754">
        <f t="shared" si="13"/>
        <v>100</v>
      </c>
      <c r="V34" s="753" t="s">
        <v>25</v>
      </c>
      <c r="W34" s="754">
        <f t="shared" si="14"/>
        <v>100</v>
      </c>
      <c r="X34" s="2753"/>
      <c r="Y34" s="3158"/>
      <c r="Z34" s="2754" t="str">
        <f t="shared" si="15"/>
        <v>建筑结构</v>
      </c>
      <c r="AA34" s="2750">
        <f t="shared" si="3"/>
        <v>1</v>
      </c>
      <c r="AB34" s="2750">
        <f t="shared" si="4"/>
        <v>1</v>
      </c>
      <c r="AC34" s="2750">
        <f t="shared" si="5"/>
        <v>1</v>
      </c>
    </row>
    <row r="35" spans="1:29" ht="15">
      <c r="A35" s="453"/>
      <c r="B35" s="2749"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56"/>
      <c r="Q35" s="2752" t="str">
        <f t="shared" si="11"/>
        <v>公共部分装修</v>
      </c>
      <c r="R35" s="753" t="s">
        <v>25</v>
      </c>
      <c r="S35" s="754">
        <f t="shared" si="12"/>
        <v>100</v>
      </c>
      <c r="T35" s="753" t="s">
        <v>25</v>
      </c>
      <c r="U35" s="754">
        <f t="shared" si="13"/>
        <v>100</v>
      </c>
      <c r="V35" s="753" t="s">
        <v>25</v>
      </c>
      <c r="W35" s="754">
        <f t="shared" si="14"/>
        <v>100</v>
      </c>
      <c r="X35" s="2753"/>
      <c r="Y35" s="3158"/>
      <c r="Z35" s="2754" t="str">
        <f t="shared" si="15"/>
        <v>公共部分装修</v>
      </c>
      <c r="AA35" s="2750">
        <f t="shared" si="3"/>
        <v>1</v>
      </c>
      <c r="AB35" s="2750">
        <f t="shared" si="4"/>
        <v>1</v>
      </c>
      <c r="AC35" s="2750">
        <f t="shared" si="5"/>
        <v>1</v>
      </c>
    </row>
    <row r="36" spans="1:29" ht="15" hidden="1">
      <c r="A36" s="453"/>
      <c r="B36" s="2749" t="s">
        <v>2450</v>
      </c>
      <c r="C36" s="455">
        <f>'数据-取费表'!E20</f>
        <v>0.85</v>
      </c>
      <c r="D36" s="415">
        <v>100</v>
      </c>
      <c r="E36" s="455">
        <v>0.8</v>
      </c>
      <c r="F36" s="442">
        <f>LOOKUP(E36,110:110,111:111)-LOOKUP(C36,110:110,111:111)+100</f>
        <v>100</v>
      </c>
      <c r="G36" s="455">
        <v>0.85</v>
      </c>
      <c r="H36" s="442">
        <f>LOOKUP(G36,110:110,111:111)-LOOKUP(C36,110:110,111:111)+100</f>
        <v>100</v>
      </c>
      <c r="I36" s="455">
        <v>0.8</v>
      </c>
      <c r="J36" s="415">
        <f>LOOKUP(I36,110:110,111:111)-LOOKUP(C36,110:110,111:111)+100</f>
        <v>100</v>
      </c>
      <c r="K36" s="596"/>
      <c r="L36" s="1249"/>
      <c r="M36" s="1240"/>
      <c r="N36" s="1240"/>
      <c r="O36" s="1240"/>
      <c r="P36" s="3156"/>
      <c r="Q36" s="2752" t="str">
        <f t="shared" si="11"/>
        <v>成新度</v>
      </c>
      <c r="R36" s="753" t="s">
        <v>25</v>
      </c>
      <c r="S36" s="754">
        <f t="shared" si="12"/>
        <v>100</v>
      </c>
      <c r="T36" s="753" t="s">
        <v>25</v>
      </c>
      <c r="U36" s="754">
        <f t="shared" si="13"/>
        <v>100</v>
      </c>
      <c r="V36" s="753" t="s">
        <v>25</v>
      </c>
      <c r="W36" s="754">
        <f t="shared" si="14"/>
        <v>100</v>
      </c>
      <c r="X36" s="2753"/>
      <c r="Y36" s="3158"/>
      <c r="Z36" s="2754" t="str">
        <f t="shared" si="15"/>
        <v>成新度</v>
      </c>
      <c r="AA36" s="2750">
        <f t="shared" si="3"/>
        <v>1</v>
      </c>
      <c r="AB36" s="2750">
        <f t="shared" si="4"/>
        <v>1</v>
      </c>
      <c r="AC36" s="2750">
        <f t="shared" si="5"/>
        <v>1</v>
      </c>
    </row>
    <row r="37" spans="1:29" s="35" customFormat="1" ht="15">
      <c r="A37" s="454"/>
      <c r="B37" s="2749" t="s">
        <v>2451</v>
      </c>
      <c r="C37" s="2406" t="s">
        <v>3129</v>
      </c>
      <c r="D37" s="52">
        <v>100</v>
      </c>
      <c r="E37" s="2406" t="s">
        <v>3129</v>
      </c>
      <c r="F37" s="442">
        <f>SUMIF(112:112,E37,113:113)-SUMIF(112:112,C37,113:113)+100</f>
        <v>100</v>
      </c>
      <c r="G37" s="2406" t="s">
        <v>3129</v>
      </c>
      <c r="H37" s="415">
        <f>SUMIF(112:112,G37,113:113)-SUMIF(112:112,C37,113:113)+100</f>
        <v>100</v>
      </c>
      <c r="I37" s="2406" t="s">
        <v>3129</v>
      </c>
      <c r="J37" s="415">
        <f>SUMIF(112:112,I37,113:113)-SUMIF(112:112,C37,113:113)+100</f>
        <v>100</v>
      </c>
      <c r="K37" s="596"/>
      <c r="L37" s="1241"/>
      <c r="M37" s="1242"/>
      <c r="N37" s="1242"/>
      <c r="O37" s="1242"/>
      <c r="P37" s="3156"/>
      <c r="Q37" s="2748" t="str">
        <f t="shared" si="11"/>
        <v>市政基础设施</v>
      </c>
      <c r="R37" s="749" t="s">
        <v>25</v>
      </c>
      <c r="S37" s="750">
        <f t="shared" si="12"/>
        <v>100</v>
      </c>
      <c r="T37" s="749" t="s">
        <v>25</v>
      </c>
      <c r="U37" s="750">
        <f t="shared" si="13"/>
        <v>100</v>
      </c>
      <c r="V37" s="749" t="s">
        <v>25</v>
      </c>
      <c r="W37" s="750">
        <f t="shared" si="14"/>
        <v>100</v>
      </c>
      <c r="X37" s="751"/>
      <c r="Y37" s="3158"/>
      <c r="Z37" s="23" t="str">
        <f t="shared" si="15"/>
        <v>市政基础设施</v>
      </c>
      <c r="AA37" s="752">
        <f t="shared" si="3"/>
        <v>1</v>
      </c>
      <c r="AB37" s="752">
        <f t="shared" si="4"/>
        <v>1</v>
      </c>
      <c r="AC37" s="752">
        <f t="shared" si="5"/>
        <v>1</v>
      </c>
    </row>
    <row r="38" spans="1:29" ht="15" hidden="1">
      <c r="A38" s="453"/>
      <c r="B38" s="2749"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56" t="s">
        <v>2363</v>
      </c>
      <c r="Q38" s="2752" t="str">
        <f t="shared" si="11"/>
        <v>业态</v>
      </c>
      <c r="R38" s="753" t="s">
        <v>25</v>
      </c>
      <c r="S38" s="754">
        <f t="shared" si="12"/>
        <v>100</v>
      </c>
      <c r="T38" s="753" t="s">
        <v>25</v>
      </c>
      <c r="U38" s="754">
        <f t="shared" si="13"/>
        <v>100</v>
      </c>
      <c r="V38" s="753" t="s">
        <v>25</v>
      </c>
      <c r="W38" s="754">
        <f t="shared" si="14"/>
        <v>100</v>
      </c>
      <c r="X38" s="2753"/>
      <c r="Y38" s="3158" t="s">
        <v>2363</v>
      </c>
      <c r="Z38" s="2754" t="str">
        <f t="shared" si="15"/>
        <v>业态</v>
      </c>
      <c r="AA38" s="2750">
        <f t="shared" si="3"/>
        <v>1</v>
      </c>
      <c r="AB38" s="2750">
        <f t="shared" si="4"/>
        <v>1</v>
      </c>
      <c r="AC38" s="2750">
        <f t="shared" si="5"/>
        <v>1</v>
      </c>
    </row>
    <row r="39" spans="1:29" ht="15">
      <c r="A39" s="453"/>
      <c r="B39" s="2749" t="s">
        <v>2453</v>
      </c>
      <c r="C39" s="2406" t="s">
        <v>3067</v>
      </c>
      <c r="D39" s="415">
        <v>100</v>
      </c>
      <c r="E39" s="2406" t="s">
        <v>3067</v>
      </c>
      <c r="F39" s="442">
        <f>SUMIF(116:116,E39,117:117)-SUMIF(116:116,C39,117:117)+100</f>
        <v>100</v>
      </c>
      <c r="G39" s="2406" t="s">
        <v>3067</v>
      </c>
      <c r="H39" s="415">
        <f>SUMIF(116:116,G39,117:117)-SUMIF(116:116,C39,117:117)+100</f>
        <v>100</v>
      </c>
      <c r="I39" s="2406" t="s">
        <v>3067</v>
      </c>
      <c r="J39" s="415">
        <f>SUMIF(116:116,I39,117:117)-SUMIF(116:116,C39,117:117)+100</f>
        <v>100</v>
      </c>
      <c r="K39" s="596"/>
      <c r="L39" s="1249"/>
      <c r="M39" s="1240"/>
      <c r="N39" s="1240"/>
      <c r="O39" s="1240"/>
      <c r="P39" s="3156"/>
      <c r="Q39" s="2752" t="str">
        <f t="shared" si="11"/>
        <v>层高</v>
      </c>
      <c r="R39" s="753" t="s">
        <v>25</v>
      </c>
      <c r="S39" s="754">
        <f t="shared" si="12"/>
        <v>100</v>
      </c>
      <c r="T39" s="753" t="s">
        <v>25</v>
      </c>
      <c r="U39" s="754">
        <f t="shared" si="13"/>
        <v>100</v>
      </c>
      <c r="V39" s="753" t="s">
        <v>25</v>
      </c>
      <c r="W39" s="754">
        <f t="shared" si="14"/>
        <v>100</v>
      </c>
      <c r="X39" s="2753"/>
      <c r="Y39" s="3158"/>
      <c r="Z39" s="2754" t="str">
        <f t="shared" si="15"/>
        <v>层高</v>
      </c>
      <c r="AA39" s="2750">
        <f t="shared" si="3"/>
        <v>1</v>
      </c>
      <c r="AB39" s="2750">
        <f t="shared" si="4"/>
        <v>1</v>
      </c>
      <c r="AC39" s="2750">
        <f t="shared" si="5"/>
        <v>1</v>
      </c>
    </row>
    <row r="40" spans="1:29" ht="15" hidden="1">
      <c r="A40" s="453"/>
      <c r="B40" s="2749"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56"/>
      <c r="Q40" s="2752" t="str">
        <f t="shared" si="11"/>
        <v>单套建筑面积</v>
      </c>
      <c r="R40" s="753" t="s">
        <v>25</v>
      </c>
      <c r="S40" s="754">
        <f t="shared" si="12"/>
        <v>100</v>
      </c>
      <c r="T40" s="753" t="s">
        <v>25</v>
      </c>
      <c r="U40" s="754">
        <f t="shared" si="13"/>
        <v>100</v>
      </c>
      <c r="V40" s="753" t="s">
        <v>25</v>
      </c>
      <c r="W40" s="754">
        <f t="shared" si="14"/>
        <v>100</v>
      </c>
      <c r="X40" s="2753"/>
      <c r="Y40" s="3158"/>
      <c r="Z40" s="2754" t="str">
        <f t="shared" si="15"/>
        <v>单套建筑面积</v>
      </c>
      <c r="AA40" s="2750">
        <f t="shared" si="3"/>
        <v>1</v>
      </c>
      <c r="AB40" s="2750">
        <f t="shared" si="4"/>
        <v>1</v>
      </c>
      <c r="AC40" s="2750">
        <f t="shared" si="5"/>
        <v>1</v>
      </c>
    </row>
    <row r="41" spans="1:29" s="452" customFormat="1" ht="15" hidden="1">
      <c r="A41" s="449"/>
      <c r="B41" s="2751"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56"/>
      <c r="Q41" s="755" t="str">
        <f t="shared" si="11"/>
        <v>进深比</v>
      </c>
      <c r="R41" s="756" t="s">
        <v>25</v>
      </c>
      <c r="S41" s="757">
        <f t="shared" si="12"/>
        <v>100</v>
      </c>
      <c r="T41" s="756" t="s">
        <v>25</v>
      </c>
      <c r="U41" s="757">
        <f t="shared" si="13"/>
        <v>100</v>
      </c>
      <c r="V41" s="756" t="s">
        <v>25</v>
      </c>
      <c r="W41" s="757">
        <f t="shared" si="14"/>
        <v>100</v>
      </c>
      <c r="X41" s="758"/>
      <c r="Y41" s="3158"/>
      <c r="Z41" s="759" t="str">
        <f t="shared" si="15"/>
        <v>进深比</v>
      </c>
      <c r="AA41" s="2750">
        <f t="shared" si="3"/>
        <v>1</v>
      </c>
      <c r="AB41" s="2750">
        <f t="shared" si="4"/>
        <v>1</v>
      </c>
      <c r="AC41" s="2750">
        <f t="shared" si="5"/>
        <v>1</v>
      </c>
    </row>
    <row r="42" spans="1:29" ht="15">
      <c r="A42" s="453"/>
      <c r="B42" s="2749" t="s">
        <v>2456</v>
      </c>
      <c r="C42" s="2406" t="s">
        <v>2851</v>
      </c>
      <c r="D42" s="415">
        <v>100</v>
      </c>
      <c r="E42" s="2406" t="s">
        <v>2882</v>
      </c>
      <c r="F42" s="442">
        <f>SUMIF(122:122,E42,123:123)-SUMIF(122:122,C42,123:123)+100</f>
        <v>95</v>
      </c>
      <c r="G42" s="2406" t="s">
        <v>2882</v>
      </c>
      <c r="H42" s="415">
        <f>SUMIF(122:122,G42,123:123)-SUMIF(122:122,C42,123:123)+100</f>
        <v>95</v>
      </c>
      <c r="I42" s="2406" t="s">
        <v>2851</v>
      </c>
      <c r="J42" s="415">
        <f>SUMIF(122:122,I42,123:123)-SUMIF(122:122,C42,123:123)+100</f>
        <v>100</v>
      </c>
      <c r="K42" s="596">
        <v>5</v>
      </c>
      <c r="L42" s="1249"/>
      <c r="M42" s="1240"/>
      <c r="N42" s="1240"/>
      <c r="O42" s="1240"/>
      <c r="P42" s="3156"/>
      <c r="Q42" s="2752" t="str">
        <f t="shared" si="11"/>
        <v>内部装修</v>
      </c>
      <c r="R42" s="753" t="s">
        <v>25</v>
      </c>
      <c r="S42" s="754">
        <f t="shared" si="12"/>
        <v>95</v>
      </c>
      <c r="T42" s="753" t="s">
        <v>25</v>
      </c>
      <c r="U42" s="754">
        <f t="shared" si="13"/>
        <v>95</v>
      </c>
      <c r="V42" s="753" t="s">
        <v>25</v>
      </c>
      <c r="W42" s="754">
        <f t="shared" si="14"/>
        <v>100</v>
      </c>
      <c r="X42" s="2753"/>
      <c r="Y42" s="3158"/>
      <c r="Z42" s="2754" t="str">
        <f t="shared" si="15"/>
        <v>内部装修</v>
      </c>
      <c r="AA42" s="2750">
        <f t="shared" si="3"/>
        <v>1.0526315789473684</v>
      </c>
      <c r="AB42" s="2750">
        <f t="shared" si="4"/>
        <v>1.0526315789473684</v>
      </c>
      <c r="AC42" s="2750">
        <f t="shared" si="5"/>
        <v>1</v>
      </c>
    </row>
    <row r="43" spans="1:29" ht="15">
      <c r="A43" s="453"/>
      <c r="B43" s="2749"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56"/>
      <c r="Q43" s="2752" t="str">
        <f t="shared" si="11"/>
        <v>内部装修维护情况</v>
      </c>
      <c r="R43" s="753" t="s">
        <v>25</v>
      </c>
      <c r="S43" s="754">
        <f t="shared" si="12"/>
        <v>100</v>
      </c>
      <c r="T43" s="753" t="s">
        <v>25</v>
      </c>
      <c r="U43" s="754">
        <f t="shared" si="13"/>
        <v>100</v>
      </c>
      <c r="V43" s="753" t="s">
        <v>25</v>
      </c>
      <c r="W43" s="754">
        <f t="shared" si="14"/>
        <v>100</v>
      </c>
      <c r="X43" s="2753"/>
      <c r="Y43" s="3158"/>
      <c r="Z43" s="2754" t="str">
        <f t="shared" si="15"/>
        <v>内部装修维护情况</v>
      </c>
      <c r="AA43" s="2750">
        <f t="shared" si="3"/>
        <v>1</v>
      </c>
      <c r="AB43" s="2750">
        <f t="shared" si="4"/>
        <v>1</v>
      </c>
      <c r="AC43" s="2750">
        <f t="shared" si="5"/>
        <v>1</v>
      </c>
    </row>
    <row r="44" spans="1:29" s="35" customFormat="1" ht="15">
      <c r="A44" s="454"/>
      <c r="B44" s="2846" t="s">
        <v>3070</v>
      </c>
      <c r="C44" s="2847" t="s">
        <v>3153</v>
      </c>
      <c r="D44" s="52">
        <v>100</v>
      </c>
      <c r="E44" s="2878" t="s">
        <v>3152</v>
      </c>
      <c r="F44" s="405">
        <f>SUMIF(126:126,E44,127:127)-SUMIF(126:126,C44,127:127)+100</f>
        <v>100.5</v>
      </c>
      <c r="G44" s="2878" t="s">
        <v>3152</v>
      </c>
      <c r="H44" s="52">
        <f>SUMIF(126:126,G44,127:127)-SUMIF(126:126,C44,127:127)+100</f>
        <v>100.5</v>
      </c>
      <c r="I44" s="2878" t="s">
        <v>3152</v>
      </c>
      <c r="J44" s="52">
        <f>SUMIF(126:126,I44,127:127)-SUMIF(126:126,C44,127:127)+100</f>
        <v>100.5</v>
      </c>
      <c r="K44" s="597"/>
      <c r="L44" s="1241"/>
      <c r="M44" s="1242"/>
      <c r="N44" s="1242"/>
      <c r="O44" s="1242"/>
      <c r="P44" s="3156"/>
      <c r="Q44" s="2748" t="str">
        <f t="shared" si="11"/>
        <v>是否可做餐饮</v>
      </c>
      <c r="R44" s="749" t="s">
        <v>25</v>
      </c>
      <c r="S44" s="750">
        <f t="shared" si="12"/>
        <v>100.5</v>
      </c>
      <c r="T44" s="749" t="s">
        <v>25</v>
      </c>
      <c r="U44" s="750">
        <f t="shared" si="13"/>
        <v>100.5</v>
      </c>
      <c r="V44" s="749" t="s">
        <v>25</v>
      </c>
      <c r="W44" s="750">
        <f t="shared" si="14"/>
        <v>100.5</v>
      </c>
      <c r="X44" s="751"/>
      <c r="Y44" s="3158"/>
      <c r="Z44" s="23" t="str">
        <f t="shared" si="15"/>
        <v>是否可做餐饮</v>
      </c>
      <c r="AA44" s="752">
        <f t="shared" si="3"/>
        <v>0.99502487562189057</v>
      </c>
      <c r="AB44" s="752">
        <f t="shared" si="4"/>
        <v>0.99502487562189057</v>
      </c>
      <c r="AC44" s="752">
        <f t="shared" si="5"/>
        <v>0.99502487562189057</v>
      </c>
    </row>
    <row r="45" spans="1:29" ht="15.75" thickBot="1">
      <c r="A45" s="453"/>
      <c r="B45" s="2846" t="s">
        <v>3154</v>
      </c>
      <c r="C45" s="2881">
        <v>0.9</v>
      </c>
      <c r="D45" s="415">
        <v>100</v>
      </c>
      <c r="E45" s="2881">
        <v>0.9</v>
      </c>
      <c r="F45" s="442">
        <f>SUMIF(128:128,E45,129:129)-SUMIF(128:128,C45,129:129)+100</f>
        <v>100</v>
      </c>
      <c r="G45" s="2881">
        <v>0.9</v>
      </c>
      <c r="H45" s="415">
        <f>SUMIF(128:128,G45,129:129)-SUMIF(128:128,C45,129:129)+100</f>
        <v>100</v>
      </c>
      <c r="I45" s="2881">
        <v>0.8</v>
      </c>
      <c r="J45" s="415">
        <f>SUMIF(128:128,I45,129:129)-SUMIF(128:128,C45,129:129)+100</f>
        <v>97</v>
      </c>
      <c r="K45" s="597"/>
      <c r="L45" s="1249"/>
      <c r="M45" s="1240"/>
      <c r="N45" s="1240"/>
      <c r="O45" s="1240"/>
      <c r="P45" s="3156"/>
      <c r="Q45" s="2752" t="str">
        <f t="shared" si="11"/>
        <v>建成年代</v>
      </c>
      <c r="R45" s="753" t="s">
        <v>25</v>
      </c>
      <c r="S45" s="754">
        <f t="shared" si="12"/>
        <v>100</v>
      </c>
      <c r="T45" s="753" t="s">
        <v>25</v>
      </c>
      <c r="U45" s="754">
        <f t="shared" si="13"/>
        <v>100</v>
      </c>
      <c r="V45" s="753" t="s">
        <v>25</v>
      </c>
      <c r="W45" s="754">
        <f t="shared" si="14"/>
        <v>97</v>
      </c>
      <c r="X45" s="2753"/>
      <c r="Y45" s="3158"/>
      <c r="Z45" s="2754" t="str">
        <f t="shared" si="15"/>
        <v>建成年代</v>
      </c>
      <c r="AA45" s="2750">
        <f t="shared" si="3"/>
        <v>1</v>
      </c>
      <c r="AB45" s="2750">
        <f t="shared" si="4"/>
        <v>1</v>
      </c>
      <c r="AC45" s="2750">
        <f t="shared" si="5"/>
        <v>1.0309278350515463</v>
      </c>
    </row>
    <row r="46" spans="1:29" ht="16.5" thickTop="1" thickBot="1">
      <c r="A46" s="459"/>
      <c r="B46" s="2879" t="s">
        <v>3135</v>
      </c>
      <c r="C46" s="2844" t="s">
        <v>3136</v>
      </c>
      <c r="D46" s="417">
        <v>100</v>
      </c>
      <c r="E46" s="2844" t="s">
        <v>3136</v>
      </c>
      <c r="F46" s="418">
        <f>SUMIF(130:130,E46,131:131)-SUMIF(130:130,C46,131:131)+100</f>
        <v>100</v>
      </c>
      <c r="G46" s="2844" t="s">
        <v>3136</v>
      </c>
      <c r="H46" s="417">
        <f>SUMIF(130:130,G46,131:131)-SUMIF(130:130,C46,131:131)+100</f>
        <v>100</v>
      </c>
      <c r="I46" s="2844" t="s">
        <v>3136</v>
      </c>
      <c r="J46" s="417">
        <f>SUMIF(130:130,I46,131:131)-SUMIF(130:130,C46,131:131)+100</f>
        <v>100</v>
      </c>
      <c r="K46" s="597"/>
      <c r="L46" s="1249"/>
      <c r="M46" s="1240"/>
      <c r="N46" s="1240"/>
      <c r="O46" s="1240"/>
      <c r="P46" s="3157"/>
      <c r="Q46" s="2752" t="str">
        <f t="shared" si="11"/>
        <v>展示面宽</v>
      </c>
      <c r="R46" s="753" t="s">
        <v>25</v>
      </c>
      <c r="S46" s="754">
        <f t="shared" si="12"/>
        <v>100</v>
      </c>
      <c r="T46" s="753" t="s">
        <v>25</v>
      </c>
      <c r="U46" s="754">
        <f t="shared" si="13"/>
        <v>100</v>
      </c>
      <c r="V46" s="753" t="s">
        <v>25</v>
      </c>
      <c r="W46" s="754">
        <f t="shared" si="14"/>
        <v>100</v>
      </c>
      <c r="X46" s="2753"/>
      <c r="Y46" s="3159"/>
      <c r="Z46" s="2754" t="str">
        <f t="shared" si="15"/>
        <v>展示面宽</v>
      </c>
      <c r="AA46" s="2750">
        <f t="shared" si="3"/>
        <v>1</v>
      </c>
      <c r="AB46" s="2750">
        <f t="shared" si="4"/>
        <v>1</v>
      </c>
      <c r="AC46" s="2750">
        <f t="shared" si="5"/>
        <v>1</v>
      </c>
    </row>
    <row r="47" spans="1:29" ht="15">
      <c r="A47" s="460" t="s">
        <v>2375</v>
      </c>
      <c r="B47" s="461"/>
      <c r="C47" s="1498" t="s">
        <v>1</v>
      </c>
      <c r="D47" s="1499"/>
      <c r="E47" s="1500">
        <v>30200</v>
      </c>
      <c r="F47" s="1501"/>
      <c r="G47" s="1502">
        <v>30700</v>
      </c>
      <c r="H47" s="1503"/>
      <c r="I47" s="1500">
        <v>30200</v>
      </c>
      <c r="J47" s="1503"/>
      <c r="K47" s="762"/>
      <c r="L47" s="1252"/>
      <c r="M47" s="1253"/>
      <c r="N47" s="1240"/>
      <c r="O47" s="1253"/>
      <c r="P47" s="3150" t="str">
        <f>A47</f>
        <v>成交单价（元/平方米）</v>
      </c>
      <c r="Q47" s="3150"/>
      <c r="R47" s="3146">
        <f>E47</f>
        <v>30200</v>
      </c>
      <c r="S47" s="3146"/>
      <c r="T47" s="3146">
        <f>G47</f>
        <v>30700</v>
      </c>
      <c r="U47" s="3146"/>
      <c r="V47" s="3146">
        <f>I47</f>
        <v>30200</v>
      </c>
      <c r="W47" s="3146"/>
      <c r="X47" s="738"/>
      <c r="Y47" s="760"/>
      <c r="Z47" s="738"/>
      <c r="AA47" s="738"/>
      <c r="AB47" s="738"/>
      <c r="AC47" s="738"/>
    </row>
    <row r="48" spans="1:29" ht="15.75" thickBot="1">
      <c r="A48" s="467" t="s">
        <v>2376</v>
      </c>
      <c r="B48" s="468"/>
      <c r="C48" s="1504">
        <f>R49</f>
        <v>29647</v>
      </c>
      <c r="D48" s="1505"/>
      <c r="E48" s="1506">
        <f>R48</f>
        <v>28811</v>
      </c>
      <c r="F48" s="1506"/>
      <c r="G48" s="1504">
        <f>T48</f>
        <v>30167</v>
      </c>
      <c r="H48" s="1505"/>
      <c r="I48" s="1506">
        <f>V48</f>
        <v>29963</v>
      </c>
      <c r="J48" s="1505"/>
      <c r="K48" s="763"/>
      <c r="L48" s="1252"/>
      <c r="M48" s="1253"/>
      <c r="N48" s="1240"/>
      <c r="O48" s="1253"/>
      <c r="P48" s="3150" t="str">
        <f>A48</f>
        <v>比较价值（元/平方米）</v>
      </c>
      <c r="Q48" s="3150"/>
      <c r="R48" s="3146">
        <f>IF(E1="售价",ROUND(PRODUCT(R47,AA7:AA46),0),ROUND(PRODUCT(R47,AA7:AA46),1))</f>
        <v>28811</v>
      </c>
      <c r="S48" s="3146"/>
      <c r="T48" s="3146">
        <f>IF(E1="售价",ROUND(PRODUCT(T47,AB7:AB46),0),ROUND(PRODUCT(T47,AB7:AB46),1))</f>
        <v>30167</v>
      </c>
      <c r="U48" s="3146"/>
      <c r="V48" s="3146">
        <f>IF(E1="售价",ROUND(PRODUCT(V47,AC7:AC46),0),ROUND(PRODUCT(V47,AC7:AC46),1))</f>
        <v>29963</v>
      </c>
      <c r="W48" s="3146"/>
      <c r="X48" s="738"/>
      <c r="Y48" s="738"/>
      <c r="Z48" s="738"/>
      <c r="AA48" s="738"/>
      <c r="AB48" s="738"/>
      <c r="AC48" s="738"/>
    </row>
    <row r="49" spans="1:29" ht="15.75" thickBot="1">
      <c r="A49" s="473" t="s">
        <v>3095</v>
      </c>
      <c r="B49" s="474"/>
      <c r="C49" s="1508">
        <f>R49</f>
        <v>29647</v>
      </c>
      <c r="D49" s="1508"/>
      <c r="E49" s="1508"/>
      <c r="F49" s="1508"/>
      <c r="G49" s="1508"/>
      <c r="H49" s="1508"/>
      <c r="I49" s="1508"/>
      <c r="J49" s="1508"/>
      <c r="K49" s="764"/>
      <c r="L49" s="1252"/>
      <c r="M49" s="1253"/>
      <c r="N49" s="1240"/>
      <c r="O49" s="1253"/>
      <c r="P49" s="3147" t="str">
        <f>A49</f>
        <v>估价对象商业用房的比较价值（楼面单价，元/平方米）</v>
      </c>
      <c r="Q49" s="3148"/>
      <c r="R49" s="3149">
        <f>IF(E1="售价",ROUND(AVERAGE(R48:V48),0),ROUND(AVERAGE(R48:V48),1))</f>
        <v>29647</v>
      </c>
      <c r="S49" s="3149"/>
      <c r="T49" s="3149"/>
      <c r="U49" s="3149"/>
      <c r="V49" s="3149"/>
      <c r="W49" s="3149"/>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2378</v>
      </c>
      <c r="D52" s="479"/>
      <c r="E52" s="480">
        <f>IF(E47&lt;E48,E48/E47-1,E47/E48-1)</f>
        <v>4.8210752837458015E-2</v>
      </c>
      <c r="F52" s="481" t="str">
        <f>IF(OR(E52&gt;=0.3,E52&lt;=-0.3),"超过30%","")</f>
        <v/>
      </c>
      <c r="G52" s="480">
        <f>IF(G47&lt;G48,G48/G47-1,G47/G48-1)</f>
        <v>1.7668313057314311E-2</v>
      </c>
      <c r="H52" s="481" t="str">
        <f>IF(OR(G52&gt;=0.3,G52&lt;=-0.3),"超过30%","")</f>
        <v/>
      </c>
      <c r="I52" s="480">
        <f>IF(I47&lt;I48,I48/I47-1,I47/I48-1)</f>
        <v>7.9097553649500885E-3</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2379</v>
      </c>
      <c r="D53" s="482"/>
      <c r="E53" s="480">
        <f>IF(E48&lt;G48,G48/E48-1,E48/G48-1)</f>
        <v>4.7065356981708328E-2</v>
      </c>
      <c r="F53" s="481" t="str">
        <f>IF(OR(E53&gt;=0.2,E53&lt;=-0.2),"超过20%","")</f>
        <v/>
      </c>
      <c r="G53" s="480">
        <f>IF(G48&lt;I48,I48/G48-1,G48/I48-1)</f>
        <v>6.8083970229950719E-3</v>
      </c>
      <c r="H53" s="481" t="str">
        <f>IF(OR(G53&gt;=0.2,G53&lt;=-0.2),"超过20%","")</f>
        <v/>
      </c>
      <c r="I53" s="480">
        <f>IF(I48&lt;E48,E48/I48-1,I48/E48-1)</f>
        <v>3.9984728055256769E-2</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2380</v>
      </c>
      <c r="D54" s="482"/>
      <c r="E54" s="480">
        <f>IF(E47&lt;G47,G47/E47-1,E47/G47-1)</f>
        <v>1.655629139072845E-2</v>
      </c>
      <c r="F54" s="481" t="str">
        <f>IF(OR(E54&gt;=0.3,E54&lt;=-0.3),"超过30%","")</f>
        <v/>
      </c>
      <c r="G54" s="480">
        <f>IF(G47&lt;I47,I47/G47-1,G47/I47-1)</f>
        <v>1.655629139072845E-2</v>
      </c>
      <c r="H54" s="481" t="str">
        <f>IF(OR(G54&gt;=0.3,G54&lt;=-0.3),"超过30%","")</f>
        <v/>
      </c>
      <c r="I54" s="480">
        <f>IF(I47&lt;E47,E47/I47-1,I47/E47-1)</f>
        <v>0</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2381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2020-10</v>
      </c>
      <c r="D58" s="1675">
        <f>EDATE(C58,-1)</f>
        <v>44075</v>
      </c>
      <c r="E58" s="1675">
        <f t="shared" ref="E58:O58" si="16">EDATE(D58,-1)</f>
        <v>44044</v>
      </c>
      <c r="F58" s="1675">
        <f t="shared" si="16"/>
        <v>44013</v>
      </c>
      <c r="G58" s="1675">
        <f t="shared" si="16"/>
        <v>43983</v>
      </c>
      <c r="H58" s="1675">
        <f t="shared" si="16"/>
        <v>43952</v>
      </c>
      <c r="I58" s="1675">
        <f t="shared" si="16"/>
        <v>43922</v>
      </c>
      <c r="J58" s="1675">
        <f t="shared" si="16"/>
        <v>43891</v>
      </c>
      <c r="K58" s="1675">
        <f t="shared" si="16"/>
        <v>43862</v>
      </c>
      <c r="L58" s="1675">
        <f t="shared" si="16"/>
        <v>43831</v>
      </c>
      <c r="M58" s="1675">
        <f t="shared" si="16"/>
        <v>43800</v>
      </c>
      <c r="N58" s="1675">
        <f t="shared" si="16"/>
        <v>43770</v>
      </c>
      <c r="O58" s="1675">
        <f t="shared" si="16"/>
        <v>43739</v>
      </c>
      <c r="P58" s="2418"/>
    </row>
    <row r="59" spans="1:29" s="35" customFormat="1" ht="15">
      <c r="A59" s="490"/>
      <c r="B59" s="491"/>
      <c r="C59" s="623">
        <v>100</v>
      </c>
      <c r="D59" s="493">
        <v>100</v>
      </c>
      <c r="E59" s="493">
        <v>100</v>
      </c>
      <c r="F59" s="493">
        <v>100</v>
      </c>
      <c r="G59" s="493">
        <v>100</v>
      </c>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4" t="s">
        <v>3087</v>
      </c>
      <c r="D86" s="2844" t="s">
        <v>3088</v>
      </c>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95</v>
      </c>
      <c r="E87" s="527">
        <f t="shared" si="19"/>
        <v>90</v>
      </c>
      <c r="F87" s="527">
        <f t="shared" si="19"/>
        <v>85</v>
      </c>
      <c r="G87" s="527">
        <f t="shared" si="19"/>
        <v>80</v>
      </c>
      <c r="H87" s="527">
        <f t="shared" si="19"/>
        <v>75</v>
      </c>
      <c r="I87" s="527">
        <f t="shared" si="19"/>
        <v>70</v>
      </c>
      <c r="J87" s="527">
        <f t="shared" si="19"/>
        <v>65</v>
      </c>
      <c r="K87" s="527">
        <f t="shared" si="19"/>
        <v>60</v>
      </c>
      <c r="L87" s="527">
        <f t="shared" si="19"/>
        <v>55</v>
      </c>
      <c r="M87" s="527">
        <f t="shared" si="19"/>
        <v>50</v>
      </c>
      <c r="N87" s="1264"/>
      <c r="O87" s="1264"/>
      <c r="P87" s="2421"/>
      <c r="Q87" s="485"/>
    </row>
    <row r="88" spans="1:17" s="35" customFormat="1" ht="27.75" thickTop="1">
      <c r="A88" s="563"/>
      <c r="B88" s="521" t="str">
        <f>B26</f>
        <v>道路级别</v>
      </c>
      <c r="C88" s="2844" t="s">
        <v>3120</v>
      </c>
      <c r="D88" s="2844" t="s">
        <v>3144</v>
      </c>
      <c r="E88" s="2844" t="s">
        <v>3145</v>
      </c>
      <c r="F88" s="2426"/>
      <c r="G88" s="537"/>
      <c r="H88" s="537"/>
      <c r="I88" s="537"/>
      <c r="J88" s="537"/>
      <c r="K88" s="537"/>
      <c r="L88" s="537"/>
      <c r="M88" s="565"/>
      <c r="N88" s="1262"/>
      <c r="O88" s="1262"/>
      <c r="P88" s="2421"/>
      <c r="Q88" s="485"/>
    </row>
    <row r="89" spans="1:17" s="35" customFormat="1" ht="15.75" thickBot="1">
      <c r="A89" s="563"/>
      <c r="B89" s="526"/>
      <c r="C89" s="544">
        <v>100</v>
      </c>
      <c r="D89" s="518">
        <v>100</v>
      </c>
      <c r="E89" s="518">
        <v>100</v>
      </c>
      <c r="F89" s="518"/>
      <c r="G89" s="518"/>
      <c r="H89" s="518"/>
      <c r="I89" s="518"/>
      <c r="J89" s="518"/>
      <c r="K89" s="518"/>
      <c r="L89" s="518"/>
      <c r="M89" s="518"/>
      <c r="N89" s="1264"/>
      <c r="O89" s="1264"/>
      <c r="P89" s="2421"/>
      <c r="Q89" s="485"/>
    </row>
    <row r="90" spans="1:17" s="452" customFormat="1" ht="15.75" thickTop="1">
      <c r="A90" s="536"/>
      <c r="B90" s="521" t="str">
        <f>B27</f>
        <v>人流量</v>
      </c>
      <c r="C90" s="2844" t="s">
        <v>3059</v>
      </c>
      <c r="D90" s="2844" t="s">
        <v>3058</v>
      </c>
      <c r="E90" s="2844" t="s">
        <v>3060</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3061</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3147</v>
      </c>
      <c r="D94" s="537" t="s">
        <v>3148</v>
      </c>
      <c r="E94" s="537"/>
      <c r="F94" s="537"/>
      <c r="G94" s="567"/>
      <c r="H94" s="567"/>
      <c r="I94" s="567"/>
      <c r="J94" s="567"/>
      <c r="K94" s="568"/>
      <c r="L94" s="569"/>
      <c r="M94" s="570"/>
      <c r="N94" s="1263"/>
      <c r="O94" s="1263"/>
      <c r="P94" s="2421"/>
      <c r="Q94" s="485"/>
    </row>
    <row r="95" spans="1:17" ht="15.75" thickBot="1">
      <c r="A95" s="516"/>
      <c r="B95" s="526"/>
      <c r="C95" s="544">
        <v>100</v>
      </c>
      <c r="D95" s="518">
        <v>110</v>
      </c>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ht="27">
      <c r="A100" s="508" t="s">
        <v>2361</v>
      </c>
      <c r="B100" s="509" t="s">
        <v>2463</v>
      </c>
      <c r="C100" s="2845" t="s">
        <v>3063</v>
      </c>
      <c r="D100" s="2845" t="s">
        <v>3168</v>
      </c>
      <c r="E100" s="2845" t="s">
        <v>3169</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97</v>
      </c>
      <c r="E101" s="527">
        <f t="shared" si="21"/>
        <v>94</v>
      </c>
      <c r="F101" s="527">
        <f t="shared" si="21"/>
        <v>91</v>
      </c>
      <c r="G101" s="527">
        <f t="shared" si="21"/>
        <v>88</v>
      </c>
      <c r="H101" s="527">
        <f t="shared" si="21"/>
        <v>85</v>
      </c>
      <c r="I101" s="527">
        <f t="shared" si="21"/>
        <v>82</v>
      </c>
      <c r="J101" s="527">
        <f t="shared" si="21"/>
        <v>79</v>
      </c>
      <c r="K101" s="527">
        <f t="shared" si="21"/>
        <v>76</v>
      </c>
      <c r="L101" s="527">
        <f t="shared" si="21"/>
        <v>73</v>
      </c>
      <c r="M101" s="528">
        <f t="shared" si="21"/>
        <v>70</v>
      </c>
      <c r="N101" s="1264"/>
      <c r="O101" s="1264"/>
      <c r="P101" s="2421"/>
      <c r="Q101" s="485"/>
    </row>
    <row r="102" spans="1:17" ht="15.75" thickTop="1">
      <c r="A102" s="516"/>
      <c r="B102" s="521" t="s">
        <v>2411</v>
      </c>
      <c r="C102" s="562" t="str">
        <f>C103&amp;"(含)"&amp;"-"&amp;D103</f>
        <v>0(含)-300</v>
      </c>
      <c r="D102" s="562" t="str">
        <f t="shared" ref="D102:L102" si="22">D103&amp;"(含)"&amp;"-"&amp;E103</f>
        <v>300(含)-500</v>
      </c>
      <c r="E102" s="562" t="str">
        <f t="shared" si="22"/>
        <v>500(含)-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500</v>
      </c>
      <c r="F103" s="579"/>
      <c r="G103" s="579"/>
      <c r="H103" s="579"/>
      <c r="I103" s="579"/>
      <c r="J103" s="580"/>
      <c r="K103" s="580"/>
      <c r="L103" s="581"/>
      <c r="M103" s="582"/>
      <c r="N103" s="1265"/>
      <c r="O103" s="1265"/>
      <c r="P103" s="2422"/>
      <c r="Q103" s="543"/>
    </row>
    <row r="104" spans="1:17" s="452" customFormat="1" ht="15.75" thickBot="1">
      <c r="A104" s="536"/>
      <c r="B104" s="526"/>
      <c r="C104" s="544">
        <v>100</v>
      </c>
      <c r="D104" s="518">
        <v>98</v>
      </c>
      <c r="E104" s="518">
        <v>96</v>
      </c>
      <c r="F104" s="518"/>
      <c r="G104" s="518"/>
      <c r="H104" s="518"/>
      <c r="I104" s="518"/>
      <c r="J104" s="518"/>
      <c r="K104" s="518"/>
      <c r="L104" s="518"/>
      <c r="M104" s="519"/>
      <c r="N104" s="1264"/>
      <c r="O104" s="1264"/>
      <c r="P104" s="2422"/>
      <c r="Q104" s="543"/>
    </row>
    <row r="105" spans="1:17" ht="15" thickTop="1">
      <c r="A105" s="583"/>
      <c r="B105" s="521" t="s">
        <v>2412</v>
      </c>
      <c r="C105" s="2844" t="s">
        <v>3064</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4" t="s">
        <v>3065</v>
      </c>
      <c r="D107" s="2844" t="s">
        <v>3066</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4" t="s">
        <v>3149</v>
      </c>
      <c r="D112" s="2844" t="s">
        <v>3150</v>
      </c>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28.5" thickTop="1">
      <c r="A116" s="583"/>
      <c r="B116" s="521" t="s">
        <v>2465</v>
      </c>
      <c r="C116" s="2844"/>
      <c r="D116" s="537" t="s">
        <v>3091</v>
      </c>
      <c r="E116" s="2844" t="s">
        <v>3151</v>
      </c>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4" t="s">
        <v>3065</v>
      </c>
      <c r="D122" s="2844" t="s">
        <v>3170</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8">
        <f t="shared" si="29"/>
        <v>50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4" t="s">
        <v>3152</v>
      </c>
      <c r="D126" s="2844" t="s">
        <v>3153</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99.5</v>
      </c>
      <c r="E127" s="518"/>
      <c r="F127" s="518"/>
      <c r="G127" s="544"/>
      <c r="H127" s="546"/>
      <c r="I127" s="546"/>
      <c r="J127" s="546"/>
      <c r="K127" s="546"/>
      <c r="L127" s="546"/>
      <c r="M127" s="547"/>
      <c r="N127" s="1265"/>
      <c r="O127" s="1265"/>
      <c r="P127" s="2422"/>
      <c r="Q127" s="543"/>
    </row>
    <row r="128" spans="1:17" ht="15" thickTop="1">
      <c r="A128" s="583"/>
      <c r="B128" s="521" t="str">
        <f>B45</f>
        <v>建成年代</v>
      </c>
      <c r="C128" s="2880">
        <v>0.9</v>
      </c>
      <c r="D128" s="2880">
        <v>0.8</v>
      </c>
      <c r="E128" s="537"/>
      <c r="F128" s="537"/>
      <c r="G128" s="567"/>
      <c r="H128" s="567"/>
      <c r="I128" s="567"/>
      <c r="J128" s="567"/>
      <c r="K128" s="568"/>
      <c r="L128" s="569"/>
      <c r="M128" s="570"/>
      <c r="N128" s="1263"/>
      <c r="O128" s="1263"/>
      <c r="P128" s="2421"/>
      <c r="Q128" s="485"/>
    </row>
    <row r="129" spans="1:17" ht="15.75" thickBot="1">
      <c r="A129" s="516"/>
      <c r="B129" s="526"/>
      <c r="C129" s="544">
        <v>100</v>
      </c>
      <c r="D129" s="518">
        <v>97</v>
      </c>
      <c r="E129" s="518"/>
      <c r="F129" s="518"/>
      <c r="G129" s="518"/>
      <c r="H129" s="518"/>
      <c r="I129" s="518"/>
      <c r="J129" s="518"/>
      <c r="K129" s="518"/>
      <c r="L129" s="518"/>
      <c r="M129" s="519"/>
      <c r="N129" s="1264"/>
      <c r="O129" s="1264"/>
      <c r="P129" s="2421"/>
      <c r="Q129" s="485"/>
    </row>
    <row r="130" spans="1:17" ht="15" thickTop="1">
      <c r="A130" s="583"/>
      <c r="B130" s="529" t="str">
        <f>B46</f>
        <v>展示面宽</v>
      </c>
      <c r="C130" s="2844" t="s">
        <v>3136</v>
      </c>
      <c r="D130" s="2844" t="s">
        <v>3155</v>
      </c>
      <c r="E130" s="537"/>
      <c r="F130" s="537"/>
      <c r="G130" s="571"/>
      <c r="H130" s="571"/>
      <c r="I130" s="571"/>
      <c r="J130" s="571"/>
      <c r="K130" s="504"/>
      <c r="L130" s="505"/>
      <c r="M130" s="574"/>
      <c r="N130" s="1263"/>
      <c r="O130" s="1263"/>
      <c r="P130" s="2421"/>
      <c r="Q130" s="485"/>
    </row>
    <row r="131" spans="1:17" ht="15.75" thickBot="1">
      <c r="A131" s="2427"/>
      <c r="B131" s="553"/>
      <c r="C131" s="554">
        <v>100</v>
      </c>
      <c r="D131" s="554">
        <v>98</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6" type="noConversion"/>
  <conditionalFormatting sqref="F52 H52">
    <cfRule type="containsText" dxfId="23" priority="16" stopIfTrue="1" operator="containsText" text="超过">
      <formula>NOT(ISERROR(SEARCH("超过",F52)))</formula>
    </cfRule>
  </conditionalFormatting>
  <conditionalFormatting sqref="H54">
    <cfRule type="containsText" dxfId="22" priority="15" stopIfTrue="1" operator="containsText" text="超过">
      <formula>NOT(ISERROR(SEARCH("超过",H54)))</formula>
    </cfRule>
  </conditionalFormatting>
  <conditionalFormatting sqref="F54">
    <cfRule type="containsText" dxfId="21" priority="14" stopIfTrue="1" operator="containsText" text="超过">
      <formula>NOT(ISERROR(SEARCH("超过",F54)))</formula>
    </cfRule>
  </conditionalFormatting>
  <conditionalFormatting sqref="F53 H53">
    <cfRule type="containsText" dxfId="20" priority="13" stopIfTrue="1" operator="containsText" text="超过">
      <formula>NOT(ISERROR(SEARCH("超过",F53)))</formula>
    </cfRule>
  </conditionalFormatting>
  <conditionalFormatting sqref="E52">
    <cfRule type="expression" dxfId="19" priority="12" stopIfTrue="1">
      <formula>$F$52="超过30%"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G54">
    <cfRule type="expression" dxfId="16" priority="9" stopIfTrue="1">
      <formula>$H$54="超过30%"</formula>
    </cfRule>
  </conditionalFormatting>
  <conditionalFormatting sqref="G52">
    <cfRule type="expression" dxfId="15" priority="8" stopIfTrue="1">
      <formula>$H$52="超过30%"</formula>
    </cfRule>
  </conditionalFormatting>
  <conditionalFormatting sqref="G53">
    <cfRule type="expression" dxfId="14" priority="7" stopIfTrue="1">
      <formula>$H$53="超过20%"</formula>
    </cfRule>
  </conditionalFormatting>
  <conditionalFormatting sqref="J52">
    <cfRule type="containsText" dxfId="13" priority="6" stopIfTrue="1" operator="containsText" text="超过">
      <formula>NOT(ISERROR(SEARCH("超过",J52)))</formula>
    </cfRule>
  </conditionalFormatting>
  <conditionalFormatting sqref="J54">
    <cfRule type="containsText" dxfId="12" priority="5" stopIfTrue="1" operator="containsText" text="超过">
      <formula>NOT(ISERROR(SEARCH("超过",J54)))</formula>
    </cfRule>
  </conditionalFormatting>
  <conditionalFormatting sqref="J53">
    <cfRule type="containsText" dxfId="11" priority="4" stopIfTrue="1" operator="containsText" text="超过">
      <formula>NOT(ISERROR(SEARCH("超过",J53)))</formula>
    </cfRule>
  </conditionalFormatting>
  <conditionalFormatting sqref="I52">
    <cfRule type="expression" dxfId="10" priority="3" stopIfTrue="1">
      <formula>$J$52="超过30%"</formula>
    </cfRule>
  </conditionalFormatting>
  <conditionalFormatting sqref="I53">
    <cfRule type="expression" dxfId="9" priority="2" stopIfTrue="1">
      <formula>$J$53="超过20%"</formula>
    </cfRule>
  </conditionalFormatting>
  <conditionalFormatting sqref="I54">
    <cfRule type="expression" dxfId="8" priority="1" stopIfTrue="1">
      <formula>$J$54="超过30%"</formula>
    </cfRule>
  </conditionalFormatting>
  <dataValidations count="25">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election activeCell="R159" sqref="R159"/>
    </sheetView>
  </sheetViews>
  <sheetFormatPr defaultRowHeight="13.5"/>
  <sheetData>
    <row r="1" spans="1:1">
      <c r="A1" s="1904" t="s">
        <v>3121</v>
      </c>
    </row>
    <row r="50" spans="1:1">
      <c r="A50" s="1904" t="s">
        <v>3140</v>
      </c>
    </row>
    <row r="100" spans="1:1">
      <c r="A100" s="1904" t="s">
        <v>3141</v>
      </c>
    </row>
  </sheetData>
  <phoneticPr fontId="146"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8" sqref="C8"/>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1999</v>
      </c>
      <c r="B1" s="1317" t="s">
        <v>3039</v>
      </c>
      <c r="C1" s="162"/>
      <c r="D1" s="162"/>
      <c r="E1" s="162"/>
      <c r="F1" s="162"/>
      <c r="G1" s="163"/>
    </row>
    <row r="2" spans="1:7" s="164" customFormat="1" ht="18" customHeight="1">
      <c r="A2" s="165" t="s">
        <v>2000</v>
      </c>
      <c r="B2" s="166" t="e">
        <f ca="1">IF(D2="——",IF(C2="元",C52,ROUND(C52/10000,0)),IF(C2="元",C52,ROUND(C52/10000,0))-E2)</f>
        <v>#DIV/0!</v>
      </c>
      <c r="C2" s="163" t="str">
        <f>'数据-取费表'!B3</f>
        <v>元</v>
      </c>
      <c r="D2" s="2328" t="s">
        <v>1247</v>
      </c>
      <c r="E2" s="1542" t="e">
        <f ca="1">SUMIF(INDIRECT("'"&amp;G2&amp;"'"&amp;"!A:A"),"承租人权益价值",INDIRECT("'"&amp;G2&amp;"'"&amp;"!c:c"))</f>
        <v>#REF!</v>
      </c>
      <c r="F2" s="2329" t="str">
        <f>C2</f>
        <v>元</v>
      </c>
      <c r="G2" s="1901"/>
    </row>
    <row r="3" spans="1:7" s="164" customFormat="1" ht="18" customHeight="1" thickBot="1">
      <c r="A3" s="167" t="s">
        <v>2001</v>
      </c>
      <c r="B3" s="168" t="e">
        <f ca="1">ROUND(C52/IF(B1="仅计算典型户型",'数据-取费表'!E5,'数据-取费表'!B5),0)</f>
        <v>#DIV/0!</v>
      </c>
      <c r="C3" s="163" t="s">
        <v>2002</v>
      </c>
      <c r="D3" s="163"/>
      <c r="E3" s="163"/>
      <c r="F3" s="163"/>
      <c r="G3" s="163"/>
    </row>
    <row r="4" spans="1:7" s="172" customFormat="1" ht="15.75">
      <c r="A4" s="169" t="s">
        <v>2003</v>
      </c>
      <c r="B4" s="170"/>
      <c r="C4" s="170"/>
      <c r="D4" s="170"/>
      <c r="E4" s="170"/>
      <c r="F4" s="170"/>
      <c r="G4" s="171"/>
    </row>
    <row r="5" spans="1:7" s="175" customFormat="1" ht="13.5" customHeight="1">
      <c r="A5" s="204" t="s">
        <v>2004</v>
      </c>
      <c r="B5" s="173" t="s">
        <v>2005</v>
      </c>
      <c r="C5" s="195" t="e">
        <f ca="1">C6+C7+C8</f>
        <v>#DIV/0!</v>
      </c>
      <c r="D5" s="195" t="s">
        <v>2006</v>
      </c>
      <c r="E5" s="1528" t="s">
        <v>2007</v>
      </c>
      <c r="F5" s="1528" t="s">
        <v>2008</v>
      </c>
      <c r="G5" s="174"/>
    </row>
    <row r="6" spans="1:7" s="175" customFormat="1" ht="13.5" customHeight="1">
      <c r="A6" s="176" t="s">
        <v>2009</v>
      </c>
      <c r="B6" s="177" t="s">
        <v>2010</v>
      </c>
      <c r="C6" s="1527" t="e">
        <f ca="1">基准地价修正!E29</f>
        <v>#DIV/0!</v>
      </c>
      <c r="D6" s="1529"/>
      <c r="E6" s="1530"/>
      <c r="F6" s="1530"/>
      <c r="G6" s="179"/>
    </row>
    <row r="7" spans="1:7" s="175" customFormat="1" ht="13.5" customHeight="1">
      <c r="A7" s="176" t="s">
        <v>2011</v>
      </c>
      <c r="B7" s="177" t="s">
        <v>2012</v>
      </c>
      <c r="C7" s="199" t="e">
        <f ca="1">ROUND(C6*F7,0)</f>
        <v>#DIV/0!</v>
      </c>
      <c r="D7" s="199"/>
      <c r="E7" s="1530"/>
      <c r="F7" s="1531">
        <f>'数据-取费表'!E36+'数据-取费表'!E37</f>
        <v>3.0499999999999999E-2</v>
      </c>
      <c r="G7" s="179"/>
    </row>
    <row r="8" spans="1:7" s="180" customFormat="1">
      <c r="A8" s="176" t="s">
        <v>2013</v>
      </c>
      <c r="B8" s="177" t="s">
        <v>2014</v>
      </c>
      <c r="C8" s="199">
        <f>IF(G8="已包含在土地购买价格中","0",'数据-取费表'!E13)</f>
        <v>78444</v>
      </c>
      <c r="D8" s="1532"/>
      <c r="E8" s="199"/>
      <c r="F8" s="1531"/>
      <c r="G8" s="2330" t="s">
        <v>3097</v>
      </c>
    </row>
    <row r="9" spans="1:7" s="175" customFormat="1" ht="13.5" customHeight="1">
      <c r="A9" s="1300" t="s">
        <v>949</v>
      </c>
      <c r="B9" s="181" t="s">
        <v>2015</v>
      </c>
      <c r="C9" s="1533">
        <f>ROUND(D9*E9,0)</f>
        <v>0</v>
      </c>
      <c r="D9" s="1534">
        <f>IF('数据-取费表'!B10="住宅",IF(B1="仅计算典型户型",'数据-取费表'!E5,'数据-取费表'!B5),0)</f>
        <v>0</v>
      </c>
      <c r="E9" s="1533">
        <f>'数据-取费表'!E11</f>
        <v>0</v>
      </c>
      <c r="F9" s="1531"/>
      <c r="G9" s="182"/>
    </row>
    <row r="10" spans="1:7" s="175" customFormat="1" ht="13.5" customHeight="1">
      <c r="A10" s="1300" t="s">
        <v>950</v>
      </c>
      <c r="B10" s="181" t="s">
        <v>2016</v>
      </c>
      <c r="C10" s="1533">
        <f>ROUND(D10*E10,0)</f>
        <v>78444</v>
      </c>
      <c r="D10" s="1534">
        <f>IF('数据-取费表'!B10&lt;&gt;"住宅",IF(B1="仅计算典型户型",'数据-取费表'!E5,'数据-取费表'!B5),0)</f>
        <v>392.22</v>
      </c>
      <c r="E10" s="1533">
        <f>'数据-取费表'!E12</f>
        <v>200</v>
      </c>
      <c r="F10" s="1531"/>
      <c r="G10" s="182"/>
    </row>
    <row r="11" spans="1:7" s="175" customFormat="1" ht="13.5" hidden="1" customHeight="1">
      <c r="A11" s="176" t="s">
        <v>4</v>
      </c>
      <c r="B11" s="177" t="s">
        <v>2017</v>
      </c>
      <c r="C11" s="195"/>
      <c r="D11" s="199"/>
      <c r="E11" s="1530"/>
      <c r="F11" s="1530"/>
      <c r="G11" s="179"/>
    </row>
    <row r="12" spans="1:7" s="175" customFormat="1" ht="13.5" hidden="1" customHeight="1">
      <c r="A12" s="176" t="s">
        <v>5</v>
      </c>
      <c r="B12" s="177" t="s">
        <v>2018</v>
      </c>
      <c r="C12" s="195">
        <v>0</v>
      </c>
      <c r="D12" s="199"/>
      <c r="E12" s="1535"/>
      <c r="F12" s="1531">
        <v>3.0499999999999999E-2</v>
      </c>
      <c r="G12" s="179"/>
    </row>
    <row r="13" spans="1:7" s="175" customFormat="1" ht="13.5" hidden="1" customHeight="1">
      <c r="A13" s="176" t="s">
        <v>6</v>
      </c>
      <c r="B13" s="177" t="s">
        <v>2019</v>
      </c>
      <c r="C13" s="195"/>
      <c r="D13" s="199"/>
      <c r="E13" s="1530"/>
      <c r="F13" s="1530"/>
      <c r="G13" s="179"/>
    </row>
    <row r="14" spans="1:7" s="175" customFormat="1" ht="13.5" hidden="1" customHeight="1">
      <c r="A14" s="176" t="s">
        <v>7</v>
      </c>
      <c r="B14" s="177" t="s">
        <v>2014</v>
      </c>
      <c r="C14" s="195"/>
      <c r="D14" s="199"/>
      <c r="E14" s="1530"/>
      <c r="F14" s="1530"/>
      <c r="G14" s="179" t="s">
        <v>2020</v>
      </c>
    </row>
    <row r="15" spans="1:7" s="175" customFormat="1" ht="13.5" hidden="1" customHeight="1">
      <c r="A15" s="176" t="s">
        <v>8</v>
      </c>
      <c r="B15" s="177" t="s">
        <v>2021</v>
      </c>
      <c r="C15" s="199"/>
      <c r="D15" s="199"/>
      <c r="E15" s="1530"/>
      <c r="F15" s="1530"/>
      <c r="G15" s="179" t="s">
        <v>2022</v>
      </c>
    </row>
    <row r="16" spans="1:7" s="175" customFormat="1" ht="13.5" hidden="1" customHeight="1">
      <c r="A16" s="176" t="s">
        <v>9</v>
      </c>
      <c r="B16" s="177" t="s">
        <v>2014</v>
      </c>
      <c r="C16" s="199"/>
      <c r="D16" s="199"/>
      <c r="E16" s="1530"/>
      <c r="F16" s="1530"/>
      <c r="G16" s="179"/>
    </row>
    <row r="17" spans="1:7" s="175" customFormat="1" ht="13.5" hidden="1" customHeight="1">
      <c r="A17" s="176" t="s">
        <v>10</v>
      </c>
      <c r="B17" s="177" t="s">
        <v>2023</v>
      </c>
      <c r="C17" s="1536"/>
      <c r="D17" s="1536"/>
      <c r="E17" s="1536"/>
      <c r="F17" s="1536"/>
      <c r="G17" s="179" t="s">
        <v>2022</v>
      </c>
    </row>
    <row r="18" spans="1:7" s="175" customFormat="1" ht="13.5" hidden="1" customHeight="1">
      <c r="A18" s="176" t="s">
        <v>11</v>
      </c>
      <c r="B18" s="177" t="s">
        <v>2024</v>
      </c>
      <c r="C18" s="199">
        <v>0</v>
      </c>
      <c r="D18" s="199"/>
      <c r="E18" s="1530"/>
      <c r="F18" s="1531">
        <v>3.0499999999999999E-2</v>
      </c>
      <c r="G18" s="179" t="s">
        <v>2025</v>
      </c>
    </row>
    <row r="19" spans="1:7" s="180" customFormat="1" ht="13.5" customHeight="1">
      <c r="A19" s="204" t="s">
        <v>2026</v>
      </c>
      <c r="B19" s="173" t="s">
        <v>2027</v>
      </c>
      <c r="C19" s="195" t="str">
        <f>IF(G19="已包含在土地取得成本中","0",ROUND(D19*E19,0))</f>
        <v>0</v>
      </c>
      <c r="D19" s="1537">
        <f>IF(B1="仅计算典型户型",'数据-取费表'!E5,'数据-取费表'!B5)</f>
        <v>392.22</v>
      </c>
      <c r="E19" s="195">
        <f>'数据-取费表'!E15</f>
        <v>200</v>
      </c>
      <c r="F19" s="196"/>
      <c r="G19" s="2330" t="s">
        <v>3098</v>
      </c>
    </row>
    <row r="20" spans="1:7" s="175" customFormat="1" ht="13.5" customHeight="1">
      <c r="A20" s="204" t="s">
        <v>2028</v>
      </c>
      <c r="B20" s="173" t="s">
        <v>2029</v>
      </c>
      <c r="C20" s="183" t="e">
        <f ca="1">ROUND((C5+C19)*F20,0)</f>
        <v>#DIV/0!</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t="e">
        <f ca="1">ROUND(SUM(C23:C25),0)</f>
        <v>#DIV/0!</v>
      </c>
      <c r="D22" s="185">
        <f ca="1">C26</f>
        <v>1E-3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51" t="e">
        <f ca="1">ROUND(IF('数据-取费表'!B23&lt;=1,C5*F22*'数据-取费表'!B24,C5*(POWER((1+F22),'数据-取费表'!B24)-1)),0)</f>
        <v>#DIV/0!</v>
      </c>
      <c r="D23" s="188"/>
      <c r="E23" s="188"/>
      <c r="F23" s="189"/>
      <c r="G23" s="190" t="s">
        <v>2039</v>
      </c>
    </row>
    <row r="24" spans="1:7" s="175" customFormat="1" ht="13.5" customHeight="1">
      <c r="A24" s="176" t="s">
        <v>2011</v>
      </c>
      <c r="B24" s="177" t="s">
        <v>2040</v>
      </c>
      <c r="C24" s="1451">
        <f ca="1">ROUND(IF('数据-取费表'!B23&lt;=1,C19*F22*('数据-取费表'!B20/2+'数据-取费表'!B22),C19*(POWER((1+F22),('数据-取费表'!B20/2+'数据-取费表'!B22))-1)),0)</f>
        <v>0</v>
      </c>
      <c r="D24" s="188"/>
      <c r="E24" s="188"/>
      <c r="F24" s="189"/>
      <c r="G24" s="190" t="s">
        <v>2041</v>
      </c>
    </row>
    <row r="25" spans="1:7" s="175" customFormat="1" ht="24">
      <c r="A25" s="176" t="s">
        <v>2013</v>
      </c>
      <c r="B25" s="177" t="s">
        <v>2042</v>
      </c>
      <c r="C25" s="1451" t="e">
        <f ca="1">ROUND(IF('数据-取费表'!B23&lt;=1,C20*F22*'数据-取费表'!B24/2,C20*(POWER((1+F22),'数据-取费表'!B24/2)-1)),0)</f>
        <v>#DIV/0!</v>
      </c>
      <c r="D25" s="188"/>
      <c r="E25" s="191"/>
      <c r="F25" s="189"/>
      <c r="G25" s="192" t="s">
        <v>2043</v>
      </c>
    </row>
    <row r="26" spans="1:7" s="175" customFormat="1">
      <c r="A26" s="176" t="s">
        <v>2044</v>
      </c>
      <c r="B26" s="177" t="s">
        <v>2045</v>
      </c>
      <c r="C26" s="188">
        <f ca="1">ROUND(IF('数据-取费表'!B23&lt;=1,F21*F22*'数据-取费表'!B24/2,F21*(POWER((1+F22),'数据-取费表'!B24/2)-1)),4)</f>
        <v>1E-3</v>
      </c>
      <c r="D26" s="188"/>
      <c r="E26" s="191"/>
      <c r="F26" s="189"/>
      <c r="G26" s="193"/>
    </row>
    <row r="27" spans="1:7" s="175" customFormat="1" ht="25.5">
      <c r="A27" s="1301" t="s">
        <v>2046</v>
      </c>
      <c r="B27" s="194" t="s">
        <v>2047</v>
      </c>
      <c r="C27" s="195" t="e">
        <f ca="1">C28</f>
        <v>#DIV/0!</v>
      </c>
      <c r="D27" s="185">
        <f>C29</f>
        <v>4.0000000000000001E-3</v>
      </c>
      <c r="E27" s="186" t="s">
        <v>2033</v>
      </c>
      <c r="F27" s="196">
        <f>'数据-取费表'!E28</f>
        <v>0.2</v>
      </c>
      <c r="G27" s="197" t="s">
        <v>2048</v>
      </c>
    </row>
    <row r="28" spans="1:7" s="175" customFormat="1" ht="13.5" customHeight="1">
      <c r="A28" s="176" t="s">
        <v>2037</v>
      </c>
      <c r="B28" s="198" t="s">
        <v>2049</v>
      </c>
      <c r="C28" s="199" t="e">
        <f ca="1">ROUND((C5+C19+C20)*F27*'数据-取费表'!B22/'数据-取费表'!B21,0)</f>
        <v>#DIV/0!</v>
      </c>
      <c r="D28" s="185"/>
      <c r="E28" s="186"/>
      <c r="F28" s="196"/>
      <c r="G28" s="197"/>
    </row>
    <row r="29" spans="1:7" s="175" customFormat="1" ht="13.5" customHeight="1">
      <c r="A29" s="176" t="s">
        <v>2011</v>
      </c>
      <c r="B29" s="198" t="s">
        <v>2050</v>
      </c>
      <c r="C29" s="188">
        <f>ROUND(C21*F27*'数据-取费表'!B22/'数据-取费表'!B21,4)</f>
        <v>4.0000000000000001E-3</v>
      </c>
      <c r="D29" s="185"/>
      <c r="E29" s="186"/>
      <c r="F29" s="196"/>
      <c r="G29" s="197"/>
    </row>
    <row r="30" spans="1:7" s="175" customFormat="1" ht="13.5" customHeight="1">
      <c r="A30" s="1301"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t="e">
        <f ca="1">ROUND((C5+C19+C20+C22+C27)/(1-C21-D22-D27-C30),0)</f>
        <v>#DIV/0!</v>
      </c>
      <c r="D31" s="1537"/>
      <c r="E31" s="195"/>
      <c r="F31" s="1538"/>
      <c r="G31" s="184" t="s">
        <v>2055</v>
      </c>
    </row>
    <row r="32" spans="1:7" s="172" customFormat="1" ht="15.75">
      <c r="A32" s="201" t="s">
        <v>2056</v>
      </c>
      <c r="B32" s="202"/>
      <c r="C32" s="1539"/>
      <c r="D32" s="1539"/>
      <c r="E32" s="1539"/>
      <c r="F32" s="1539"/>
      <c r="G32" s="203"/>
    </row>
    <row r="33" spans="1:7" s="175" customFormat="1" ht="13.5" customHeight="1">
      <c r="A33" s="204" t="s">
        <v>2057</v>
      </c>
      <c r="B33" s="173" t="s">
        <v>2058</v>
      </c>
      <c r="C33" s="205">
        <f>SUM(C34:C38)</f>
        <v>1749301</v>
      </c>
      <c r="D33" s="183"/>
      <c r="E33" s="1528"/>
      <c r="F33" s="191"/>
      <c r="G33" s="184"/>
    </row>
    <row r="34" spans="1:7" s="206" customFormat="1" ht="13.5" customHeight="1">
      <c r="A34" s="176" t="s">
        <v>2037</v>
      </c>
      <c r="B34" s="177" t="s">
        <v>2059</v>
      </c>
      <c r="C34" s="199">
        <f>IF(B1="仅计算典型户型",'数据-取费表'!F18,'数据-取费表'!E18)</f>
        <v>1568880</v>
      </c>
      <c r="D34" s="1529"/>
      <c r="E34" s="199"/>
      <c r="F34" s="1540" t="str">
        <f>IF('数据-取费表'!B25=0,"",'数据-取费表'!E20)</f>
        <v/>
      </c>
      <c r="G34" s="179"/>
    </row>
    <row r="35" spans="1:7" ht="13.5" customHeight="1">
      <c r="A35" s="176" t="s">
        <v>2011</v>
      </c>
      <c r="B35" s="177" t="s">
        <v>2060</v>
      </c>
      <c r="C35" s="199">
        <f>ROUND(C34*F35,0)</f>
        <v>78444</v>
      </c>
      <c r="D35" s="199"/>
      <c r="E35" s="199"/>
      <c r="F35" s="1541">
        <f>'数据-取费表'!E21</f>
        <v>0.05</v>
      </c>
      <c r="G35" s="179" t="s">
        <v>2061</v>
      </c>
    </row>
    <row r="36" spans="1:7" ht="24">
      <c r="A36" s="176" t="s">
        <v>2013</v>
      </c>
      <c r="B36" s="177" t="s">
        <v>2062</v>
      </c>
      <c r="C36" s="199">
        <f>ROUND(IF('数据-取费表'!B10="住宅",C34*F36,0),0)</f>
        <v>0</v>
      </c>
      <c r="D36" s="199"/>
      <c r="E36" s="199"/>
      <c r="F36" s="1541">
        <f>'数据-取费表'!E22</f>
        <v>0</v>
      </c>
      <c r="G36" s="207" t="s">
        <v>2063</v>
      </c>
    </row>
    <row r="37" spans="1:7" s="206" customFormat="1" ht="13.5" customHeight="1">
      <c r="A37" s="176" t="s">
        <v>2044</v>
      </c>
      <c r="B37" s="177" t="s">
        <v>2064</v>
      </c>
      <c r="C37" s="199">
        <f>ROUND(E37*D37,0)</f>
        <v>78444</v>
      </c>
      <c r="D37" s="1529">
        <f>IF(B1="仅计算典型户型",'数据-取费表'!E5,'数据-取费表'!B5)</f>
        <v>392.22</v>
      </c>
      <c r="E37" s="199">
        <f>'数据-取费表'!E23</f>
        <v>200</v>
      </c>
      <c r="F37" s="1541"/>
      <c r="G37" s="208" t="s">
        <v>2065</v>
      </c>
    </row>
    <row r="38" spans="1:7" ht="13.5" customHeight="1">
      <c r="A38" s="176" t="s">
        <v>2066</v>
      </c>
      <c r="B38" s="177" t="s">
        <v>2067</v>
      </c>
      <c r="C38" s="199">
        <f>ROUND(C34*F38,0)</f>
        <v>23533</v>
      </c>
      <c r="D38" s="199"/>
      <c r="E38" s="199"/>
      <c r="F38" s="1541">
        <f>'数据-取费表'!E24</f>
        <v>1.4999999999999999E-2</v>
      </c>
      <c r="G38" s="179" t="s">
        <v>2061</v>
      </c>
    </row>
    <row r="39" spans="1:7" s="175" customFormat="1" ht="13.5" customHeight="1">
      <c r="A39" s="204" t="s">
        <v>2026</v>
      </c>
      <c r="B39" s="173" t="s">
        <v>2029</v>
      </c>
      <c r="C39" s="183">
        <f>ROUND(C33*F20,0)</f>
        <v>34986</v>
      </c>
      <c r="D39" s="183"/>
      <c r="E39" s="183"/>
      <c r="F39" s="187"/>
      <c r="G39" s="184" t="s">
        <v>2068</v>
      </c>
    </row>
    <row r="40" spans="1:7" s="175" customFormat="1" ht="13.5" customHeight="1">
      <c r="A40" s="204" t="s">
        <v>2028</v>
      </c>
      <c r="B40" s="173" t="s">
        <v>2032</v>
      </c>
      <c r="C40" s="1815">
        <f>F21</f>
        <v>0.02</v>
      </c>
      <c r="D40" s="186" t="s">
        <v>2069</v>
      </c>
      <c r="E40" s="183"/>
      <c r="F40" s="187"/>
      <c r="G40" s="184" t="s">
        <v>2070</v>
      </c>
    </row>
    <row r="41" spans="1:7" s="175" customFormat="1" ht="13.5" customHeight="1">
      <c r="A41" s="204" t="s">
        <v>2031</v>
      </c>
      <c r="B41" s="173" t="s">
        <v>2036</v>
      </c>
      <c r="C41" s="183">
        <f ca="1">ROUND(SUM(C42:C43),0)</f>
        <v>84754</v>
      </c>
      <c r="D41" s="185">
        <f ca="1">C44</f>
        <v>1E-3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83092</v>
      </c>
      <c r="D42" s="188"/>
      <c r="E42" s="188"/>
      <c r="F42" s="189"/>
      <c r="G42" s="3249" t="s">
        <v>2071</v>
      </c>
    </row>
    <row r="43" spans="1:7" ht="13.5" customHeight="1">
      <c r="A43" s="176" t="s">
        <v>2011</v>
      </c>
      <c r="B43" s="177" t="s">
        <v>2040</v>
      </c>
      <c r="C43" s="188">
        <f ca="1">ROUND(IF('数据-取费表'!B23&lt;=1,C39*F22*'数据-取费表'!B22/2,C39*(POWER((1+F22),'数据-取费表'!B22/2)-1)),0)</f>
        <v>1662</v>
      </c>
      <c r="D43" s="188"/>
      <c r="E43" s="188"/>
      <c r="F43" s="189"/>
      <c r="G43" s="3250"/>
    </row>
    <row r="44" spans="1:7" ht="13.5" customHeight="1">
      <c r="A44" s="176" t="s">
        <v>2013</v>
      </c>
      <c r="B44" s="177" t="s">
        <v>2042</v>
      </c>
      <c r="C44" s="188">
        <f ca="1">ROUND(IF('数据-取费表'!B23&lt;=1,C40*F22*'数据-取费表'!B22/2,C40*(POWER((1+F22),'数据-取费表'!B22/2)-1)),4)</f>
        <v>1E-3</v>
      </c>
      <c r="D44" s="188"/>
      <c r="E44" s="188"/>
      <c r="F44" s="189"/>
      <c r="G44" s="3251"/>
    </row>
    <row r="45" spans="1:7" s="175" customFormat="1" ht="13.5" customHeight="1">
      <c r="A45" s="204" t="s">
        <v>2035</v>
      </c>
      <c r="B45" s="194" t="s">
        <v>2047</v>
      </c>
      <c r="C45" s="195">
        <f>C46</f>
        <v>356857</v>
      </c>
      <c r="D45" s="185">
        <f>C47</f>
        <v>4.0000000000000001E-3</v>
      </c>
      <c r="E45" s="186" t="s">
        <v>2069</v>
      </c>
      <c r="F45" s="196"/>
      <c r="G45" s="197" t="s">
        <v>2072</v>
      </c>
    </row>
    <row r="46" spans="1:7" s="175" customFormat="1" ht="13.5" customHeight="1">
      <c r="A46" s="176" t="s">
        <v>2037</v>
      </c>
      <c r="B46" s="198" t="s">
        <v>2073</v>
      </c>
      <c r="C46" s="199">
        <f>ROUND((C33+C39)*F27,0)</f>
        <v>356857</v>
      </c>
      <c r="D46" s="209"/>
      <c r="E46" s="186"/>
      <c r="F46" s="196"/>
      <c r="G46" s="197"/>
    </row>
    <row r="47" spans="1:7" s="175" customFormat="1" ht="13.5" customHeight="1">
      <c r="A47" s="176" t="s">
        <v>2011</v>
      </c>
      <c r="B47" s="198" t="s">
        <v>2074</v>
      </c>
      <c r="C47" s="188">
        <f>ROUND(C40*F27,4)</f>
        <v>4.0000000000000001E-3</v>
      </c>
      <c r="D47" s="209"/>
      <c r="E47" s="186"/>
      <c r="F47" s="196"/>
      <c r="G47" s="197"/>
    </row>
    <row r="48" spans="1:7" s="175" customFormat="1" ht="13.5" customHeight="1">
      <c r="A48" s="1301" t="s">
        <v>2046</v>
      </c>
      <c r="B48" s="173" t="s">
        <v>2075</v>
      </c>
      <c r="C48" s="1815">
        <f>ROUND(F30/(1+'数据-取费表'!F30),4)</f>
        <v>5.33E-2</v>
      </c>
      <c r="D48" s="186" t="s">
        <v>2069</v>
      </c>
      <c r="E48" s="183"/>
      <c r="F48" s="187"/>
      <c r="G48" s="184" t="s">
        <v>2076</v>
      </c>
    </row>
    <row r="49" spans="1:7" ht="16.5" customHeight="1">
      <c r="A49" s="1301" t="s">
        <v>2077</v>
      </c>
      <c r="B49" s="173" t="s">
        <v>2078</v>
      </c>
      <c r="C49" s="183">
        <f ca="1">ROUND((C33+C39+C41+C45)/(1-C40-D41-D45-C48),0)</f>
        <v>2414992</v>
      </c>
      <c r="D49" s="183"/>
      <c r="E49" s="183"/>
      <c r="F49" s="210"/>
      <c r="G49" s="184" t="s">
        <v>2079</v>
      </c>
    </row>
    <row r="50" spans="1:7" s="206" customFormat="1" ht="24">
      <c r="A50" s="1301" t="s">
        <v>2080</v>
      </c>
      <c r="B50" s="173" t="s">
        <v>2081</v>
      </c>
      <c r="C50" s="183"/>
      <c r="D50" s="183"/>
      <c r="E50" s="183"/>
      <c r="F50" s="210">
        <f>IF('数据-取费表'!B25=0,'数据-取费表'!E20,1)</f>
        <v>0.85</v>
      </c>
      <c r="G50" s="197" t="s">
        <v>2082</v>
      </c>
    </row>
    <row r="51" spans="1:7" ht="16.5" customHeight="1">
      <c r="A51" s="1301" t="s">
        <v>2083</v>
      </c>
      <c r="B51" s="173" t="s">
        <v>2084</v>
      </c>
      <c r="C51" s="183">
        <f ca="1">ROUND(C49*F50,0)</f>
        <v>2052743</v>
      </c>
      <c r="D51" s="183"/>
      <c r="E51" s="183"/>
      <c r="F51" s="210"/>
      <c r="G51" s="184" t="s">
        <v>2085</v>
      </c>
    </row>
    <row r="52" spans="1:7" s="172" customFormat="1" ht="16.5" thickBot="1">
      <c r="A52" s="211" t="s">
        <v>2086</v>
      </c>
      <c r="B52" s="212"/>
      <c r="C52" s="213" t="e">
        <f ca="1">C31+C51</f>
        <v>#DIV/0!</v>
      </c>
      <c r="D52" s="212"/>
      <c r="E52" s="212"/>
      <c r="F52" s="212"/>
      <c r="G52" s="214"/>
    </row>
    <row r="55" spans="1:7" ht="15">
      <c r="B55" s="216" t="s">
        <v>2087</v>
      </c>
      <c r="C55" s="217"/>
    </row>
    <row r="56" spans="1:7">
      <c r="B56" s="219" t="s">
        <v>2088</v>
      </c>
      <c r="C56" s="220" t="e">
        <f ca="1">ROUND(C51/C52,3)</f>
        <v>#DIV/0!</v>
      </c>
    </row>
    <row r="57" spans="1:7">
      <c r="B57" s="219" t="s">
        <v>2089</v>
      </c>
      <c r="C57" s="221" t="e">
        <f ca="1">1-C56</f>
        <v>#DIV/0!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3" zoomScale="80" zoomScaleNormal="90" zoomScaleSheetLayoutView="80" workbookViewId="0">
      <selection activeCell="C8" sqref="C8"/>
    </sheetView>
  </sheetViews>
  <sheetFormatPr defaultColWidth="9" defaultRowHeight="12.75"/>
  <cols>
    <col min="1" max="1" width="9.75" style="2569" customWidth="1"/>
    <col min="2" max="2" width="19.25" style="268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69" customWidth="1"/>
    <col min="27" max="32" width="9.375" style="2645" customWidth="1"/>
    <col min="33" max="36" width="9.375" style="2569" customWidth="1"/>
    <col min="37" max="38" width="9.375" style="2502" customWidth="1"/>
    <col min="39" max="16384" width="9" style="2502"/>
  </cols>
  <sheetData>
    <row r="1" spans="1:36" ht="28.5">
      <c r="A1" s="161" t="s">
        <v>2587</v>
      </c>
      <c r="B1" s="2499"/>
      <c r="C1" s="162" t="s">
        <v>2588</v>
      </c>
      <c r="D1" s="2500">
        <f>SUM(D29:D30,D33:D39)</f>
        <v>392.22</v>
      </c>
      <c r="E1" s="2500"/>
      <c r="F1" s="2500"/>
      <c r="G1" s="2500"/>
      <c r="H1" s="2500"/>
      <c r="I1" s="2500"/>
      <c r="J1" s="2500"/>
      <c r="L1" s="2501" t="s">
        <v>2589</v>
      </c>
      <c r="M1" s="1115">
        <f>SUMPRODUCT((区片价!B5:B9=I2)*(区片价!C3:F3=E2)*(区片价!C5:F9))</f>
        <v>0</v>
      </c>
      <c r="N1" s="1118">
        <f>SUMPRODUCT((因素修正幅度!B5:B9=I2)*(因素修正幅度!C3:F3=E2)*(因素修正幅度!C5:F9))</f>
        <v>0</v>
      </c>
      <c r="O1" s="1458"/>
      <c r="P1" s="1458"/>
      <c r="Q1" s="1458"/>
      <c r="R1" s="1705" t="s">
        <v>2590</v>
      </c>
      <c r="S1" s="1705" t="s">
        <v>2591</v>
      </c>
      <c r="T1" s="1705" t="s">
        <v>2592</v>
      </c>
      <c r="U1" s="1705" t="s">
        <v>2593</v>
      </c>
      <c r="V1" s="1705" t="s">
        <v>2594</v>
      </c>
      <c r="W1" s="1709"/>
      <c r="X1" s="1709"/>
      <c r="Y1" s="1709"/>
      <c r="Z1" s="1709"/>
      <c r="AA1" s="1709"/>
      <c r="AB1" s="1709"/>
      <c r="AC1" s="1710"/>
      <c r="AD1" s="1711"/>
      <c r="AE1" s="1711"/>
      <c r="AF1" s="1711"/>
      <c r="AG1" s="1711"/>
      <c r="AH1" s="1711"/>
      <c r="AI1" s="1711"/>
      <c r="AJ1" s="1712"/>
    </row>
    <row r="2" spans="1:36" ht="24.75">
      <c r="A2" s="165" t="s">
        <v>2595</v>
      </c>
      <c r="B2" s="168" t="e">
        <f ca="1">C26</f>
        <v>#DIV/0!</v>
      </c>
      <c r="C2" s="2503" t="s">
        <v>2596</v>
      </c>
      <c r="D2" s="2504" t="s">
        <v>2597</v>
      </c>
      <c r="E2" s="2505" t="s">
        <v>3048</v>
      </c>
      <c r="F2" s="2504" t="s">
        <v>2598</v>
      </c>
      <c r="G2" s="2506">
        <f>项目基本情况!F9</f>
        <v>0</v>
      </c>
      <c r="H2" s="2507" t="s">
        <v>2599</v>
      </c>
      <c r="I2" s="2506">
        <f>项目基本情况!F10</f>
        <v>0</v>
      </c>
      <c r="J2" s="2508"/>
      <c r="L2" s="2509" t="s">
        <v>2600</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 ca="1">ROUND($C$5*$C$18*$C$19*$C$20*S2*$C$24,0)</f>
        <v>#DIV/0!</v>
      </c>
      <c r="U2" s="1706"/>
      <c r="V2" s="1705" t="e">
        <f ca="1">ROUND(T2*U2/10000,0)</f>
        <v>#DIV/0!</v>
      </c>
      <c r="W2" s="1709"/>
      <c r="X2" s="1709"/>
      <c r="Y2" s="1709"/>
      <c r="Z2" s="1709"/>
      <c r="AA2" s="1709"/>
      <c r="AB2" s="1709"/>
      <c r="AC2" s="1710"/>
      <c r="AD2" s="1711"/>
      <c r="AE2" s="1711"/>
      <c r="AF2" s="1711"/>
      <c r="AG2" s="1711"/>
      <c r="AH2" s="1711"/>
      <c r="AI2" s="1711"/>
      <c r="AJ2" s="1712"/>
    </row>
    <row r="3" spans="1:36" ht="25.5">
      <c r="A3" s="167" t="s">
        <v>2601</v>
      </c>
      <c r="B3" s="168" t="e">
        <f ca="1">ROUND(B2/D1,0)</f>
        <v>#DIV/0!</v>
      </c>
      <c r="C3" s="2503" t="s">
        <v>2602</v>
      </c>
      <c r="D3" s="2504" t="s">
        <v>2603</v>
      </c>
      <c r="E3" s="2510" t="s">
        <v>3081</v>
      </c>
      <c r="F3" s="2511" t="s">
        <v>2604</v>
      </c>
      <c r="G3" s="941">
        <f>项目基本情况!C15</f>
        <v>0</v>
      </c>
      <c r="H3" s="115" t="s">
        <v>2605</v>
      </c>
      <c r="I3" s="970">
        <v>1</v>
      </c>
      <c r="J3" s="2508" t="s">
        <v>2606</v>
      </c>
      <c r="L3" s="2509" t="s">
        <v>2607</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ca="1" si="0">ROUND($C$5*$C$18*$C$19*$C$20*S3*$C$24,0)</f>
        <v>#DIV/0!</v>
      </c>
      <c r="U3" s="1706"/>
      <c r="V3" s="1705" t="e">
        <f t="shared" ref="V3:V16" ca="1" si="1">ROUND(T3*U3/10000,0)</f>
        <v>#DIV/0!</v>
      </c>
      <c r="W3" s="1709"/>
      <c r="X3" s="1709"/>
      <c r="Y3" s="1709"/>
      <c r="Z3" s="1709"/>
      <c r="AA3" s="1709"/>
      <c r="AB3" s="1709"/>
      <c r="AC3" s="1710"/>
      <c r="AD3" s="1711"/>
      <c r="AE3" s="1711"/>
      <c r="AF3" s="1711"/>
      <c r="AG3" s="1711"/>
      <c r="AH3" s="1711"/>
      <c r="AI3" s="1711"/>
      <c r="AJ3" s="1712"/>
    </row>
    <row r="4" spans="1:36" ht="15.75">
      <c r="A4" s="3255"/>
      <c r="B4" s="3256"/>
      <c r="C4" s="3256"/>
      <c r="D4" s="3257"/>
      <c r="E4" s="3257"/>
      <c r="F4" s="3257"/>
      <c r="G4" s="3257"/>
      <c r="H4" s="3257"/>
      <c r="I4" s="3257"/>
      <c r="J4" s="3258"/>
      <c r="L4" s="2509" t="s">
        <v>2608</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ca="1" si="0"/>
        <v>#DIV/0!</v>
      </c>
      <c r="U4" s="1706"/>
      <c r="V4" s="1705" t="e">
        <f t="shared" ca="1" si="1"/>
        <v>#DIV/0!</v>
      </c>
      <c r="W4" s="1709"/>
      <c r="X4" s="1709"/>
      <c r="Y4" s="1709"/>
      <c r="Z4" s="1709"/>
      <c r="AA4" s="1709"/>
      <c r="AB4" s="1709"/>
      <c r="AC4" s="1710"/>
      <c r="AD4" s="1711"/>
      <c r="AE4" s="1711"/>
      <c r="AF4" s="1711"/>
      <c r="AG4" s="1711"/>
      <c r="AH4" s="1711"/>
      <c r="AI4" s="1711"/>
      <c r="AJ4" s="1712"/>
    </row>
    <row r="5" spans="1:36" s="2520" customFormat="1" ht="15.75" thickBot="1">
      <c r="A5" s="2512" t="s">
        <v>2609</v>
      </c>
      <c r="B5" s="2513" t="s">
        <v>2610</v>
      </c>
      <c r="C5" s="2719">
        <f>ROUND(IF(E2="商业",C6*C7+C16,(IF(E2="住宅",C6*C12+C16,C6+C16))),0)</f>
        <v>0</v>
      </c>
      <c r="D5" s="2720">
        <f>ROUND(C6+C16,0)</f>
        <v>0</v>
      </c>
      <c r="E5" s="2720"/>
      <c r="F5" s="2721"/>
      <c r="G5" s="2514"/>
      <c r="H5" s="2514"/>
      <c r="I5" s="2514"/>
      <c r="J5" s="2515"/>
      <c r="K5" s="2516"/>
      <c r="L5" s="2509" t="s">
        <v>2611</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ca="1" si="0"/>
        <v>#DIV/0!</v>
      </c>
      <c r="U5" s="1706"/>
      <c r="V5" s="1705" t="e">
        <f t="shared" ca="1" si="1"/>
        <v>#DIV/0!</v>
      </c>
      <c r="W5" s="1709"/>
      <c r="X5" s="1709"/>
      <c r="Y5" s="1709"/>
      <c r="Z5" s="1709"/>
      <c r="AA5" s="1709"/>
      <c r="AB5" s="1709"/>
      <c r="AC5" s="2517"/>
      <c r="AD5" s="2518"/>
      <c r="AE5" s="2518"/>
      <c r="AF5" s="2518"/>
      <c r="AG5" s="2518"/>
      <c r="AH5" s="2518"/>
      <c r="AI5" s="2518"/>
      <c r="AJ5" s="2519"/>
    </row>
    <row r="6" spans="1:36" ht="15.75" thickBot="1">
      <c r="A6" s="2521">
        <v>1</v>
      </c>
      <c r="B6" s="2522" t="s">
        <v>2612</v>
      </c>
      <c r="C6" s="942">
        <f>SUMIF(L1:L12,G2,M1:M12)</f>
        <v>0</v>
      </c>
      <c r="D6" s="2523" t="s">
        <v>2613</v>
      </c>
      <c r="E6" s="2524"/>
      <c r="F6" s="2524"/>
      <c r="G6" s="2525"/>
      <c r="H6" s="2525"/>
      <c r="I6" s="2525"/>
      <c r="J6" s="2526"/>
      <c r="K6" s="2527"/>
      <c r="L6" s="2509" t="s">
        <v>2614</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ca="1" si="0"/>
        <v>#DIV/0!</v>
      </c>
      <c r="U6" s="1706"/>
      <c r="V6" s="1705" t="e">
        <f t="shared" ca="1" si="1"/>
        <v>#DIV/0!</v>
      </c>
      <c r="W6" s="1709"/>
      <c r="X6" s="1709"/>
      <c r="Y6" s="1709"/>
      <c r="Z6" s="1709"/>
      <c r="AA6" s="1709"/>
      <c r="AB6" s="1709"/>
      <c r="AC6" s="2517"/>
      <c r="AD6" s="2518"/>
      <c r="AE6" s="2518"/>
      <c r="AF6" s="2518"/>
      <c r="AG6" s="2518"/>
      <c r="AH6" s="2518"/>
      <c r="AI6" s="2518"/>
      <c r="AJ6" s="2519"/>
    </row>
    <row r="7" spans="1:36" ht="24">
      <c r="A7" s="3259">
        <f>IF(E2="商业",IF(C8="不临58条商业街","",2),"")</f>
        <v>2</v>
      </c>
      <c r="B7" s="2528" t="s">
        <v>2615</v>
      </c>
      <c r="C7" s="943">
        <f>IF(C8="不临58条商业街",1,ROUND(1+(1.6*E8+1.2*E9+0.8*E10+0.4*E11)*C9,4))</f>
        <v>1</v>
      </c>
      <c r="D7" s="2529" t="s">
        <v>2616</v>
      </c>
      <c r="E7" s="971">
        <v>30</v>
      </c>
      <c r="F7" s="2530"/>
      <c r="G7" s="2531"/>
      <c r="H7" s="2531"/>
      <c r="I7" s="2531"/>
      <c r="J7" s="2532"/>
      <c r="K7" s="2527"/>
      <c r="L7" s="2509" t="s">
        <v>2617</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ca="1" si="0"/>
        <v>#DIV/0!</v>
      </c>
      <c r="U7" s="1706"/>
      <c r="V7" s="1705" t="e">
        <f t="shared" ca="1" si="1"/>
        <v>#DIV/0!</v>
      </c>
      <c r="W7" s="1900" t="s">
        <v>2618</v>
      </c>
      <c r="X7" s="1707">
        <f>G2</f>
        <v>0</v>
      </c>
      <c r="Y7" s="1707" t="s">
        <v>2619</v>
      </c>
      <c r="Z7" s="1708">
        <f>G3</f>
        <v>0</v>
      </c>
      <c r="AA7" s="1709"/>
      <c r="AB7" s="1709"/>
      <c r="AC7" s="1710"/>
      <c r="AD7" s="1711"/>
      <c r="AE7" s="1711"/>
      <c r="AF7" s="1711"/>
      <c r="AG7" s="1711"/>
      <c r="AH7" s="1711"/>
      <c r="AI7" s="1711"/>
      <c r="AJ7" s="1712"/>
    </row>
    <row r="8" spans="1:36" ht="15">
      <c r="A8" s="3260"/>
      <c r="B8" s="115" t="s">
        <v>2620</v>
      </c>
      <c r="C8" s="2533" t="s">
        <v>3096</v>
      </c>
      <c r="D8" s="944" t="s">
        <v>89</v>
      </c>
      <c r="E8" s="945">
        <f>ROUND(C11/E7,4)</f>
        <v>0</v>
      </c>
      <c r="F8" s="2534" t="s">
        <v>2621</v>
      </c>
      <c r="G8" s="2535"/>
      <c r="H8" s="2535"/>
      <c r="I8" s="2535"/>
      <c r="J8" s="2536"/>
      <c r="L8" s="2509" t="s">
        <v>2622</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3252" t="s">
        <v>2623</v>
      </c>
      <c r="X8" s="3253"/>
      <c r="Y8" s="1713" t="s">
        <v>2624</v>
      </c>
      <c r="Z8" s="1713" t="s">
        <v>2625</v>
      </c>
      <c r="AA8" s="1713" t="s">
        <v>2626</v>
      </c>
      <c r="AB8" s="1713" t="s">
        <v>2627</v>
      </c>
      <c r="AC8" s="1713" t="s">
        <v>2628</v>
      </c>
      <c r="AD8" s="1713" t="s">
        <v>2629</v>
      </c>
      <c r="AE8" s="1713" t="s">
        <v>2630</v>
      </c>
      <c r="AF8" s="1713" t="s">
        <v>2631</v>
      </c>
      <c r="AG8" s="1713" t="s">
        <v>2632</v>
      </c>
      <c r="AH8" s="1713" t="s">
        <v>2633</v>
      </c>
      <c r="AI8" s="1713" t="s">
        <v>2634</v>
      </c>
      <c r="AJ8" s="1713" t="s">
        <v>2635</v>
      </c>
    </row>
    <row r="9" spans="1:36" ht="15">
      <c r="A9" s="3260"/>
      <c r="B9" s="115" t="s">
        <v>2636</v>
      </c>
      <c r="C9" s="946">
        <f>SUMIF(修正!C59:C119,C8,修正!E59:E119)</f>
        <v>0</v>
      </c>
      <c r="D9" s="117" t="s">
        <v>90</v>
      </c>
      <c r="E9" s="117">
        <f>ROUND(C11/E7,4)</f>
        <v>0</v>
      </c>
      <c r="F9" s="2534" t="s">
        <v>2637</v>
      </c>
      <c r="G9" s="2535"/>
      <c r="H9" s="2535"/>
      <c r="I9" s="2535"/>
      <c r="J9" s="2536"/>
      <c r="L9" s="2509" t="s">
        <v>2638</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3254" t="s">
        <v>2639</v>
      </c>
      <c r="X9" s="1714" t="s">
        <v>2640</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260"/>
      <c r="B10" s="115" t="s">
        <v>2641</v>
      </c>
      <c r="C10" s="117">
        <f>SUMIF(修正!C59:C119,C8,修正!F59:F119)</f>
        <v>0</v>
      </c>
      <c r="D10" s="117" t="s">
        <v>91</v>
      </c>
      <c r="E10" s="117">
        <f>ROUND(C11/E7,4)</f>
        <v>0</v>
      </c>
      <c r="F10" s="2534" t="s">
        <v>2642</v>
      </c>
      <c r="G10" s="2535"/>
      <c r="H10" s="2535"/>
      <c r="I10" s="2535"/>
      <c r="J10" s="2536"/>
      <c r="L10" s="2509" t="s">
        <v>2643</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3254"/>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260"/>
      <c r="B11" s="2537" t="s">
        <v>2644</v>
      </c>
      <c r="C11" s="947">
        <f>C10/4</f>
        <v>0</v>
      </c>
      <c r="D11" s="947" t="s">
        <v>92</v>
      </c>
      <c r="E11" s="947">
        <f>ROUND(C11/E7,4)</f>
        <v>0</v>
      </c>
      <c r="F11" s="2538" t="s">
        <v>2645</v>
      </c>
      <c r="G11" s="2539"/>
      <c r="H11" s="2539"/>
      <c r="I11" s="2539"/>
      <c r="J11" s="2540"/>
      <c r="L11" s="2509" t="s">
        <v>2646</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3254" t="s">
        <v>2647</v>
      </c>
      <c r="X11" s="1718" t="s">
        <v>2648</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259" t="str">
        <f>IF(E2="住宅",2,"")</f>
        <v/>
      </c>
      <c r="B12" s="2541" t="s">
        <v>2649</v>
      </c>
      <c r="C12" s="943">
        <f>ROUND(C15*D15*E15*F15*G15*H15*I15*J15,4)</f>
        <v>1.2</v>
      </c>
      <c r="D12" s="2542" t="s">
        <v>2650</v>
      </c>
      <c r="E12" s="2543"/>
      <c r="F12" s="2543"/>
      <c r="G12" s="2544"/>
      <c r="H12" s="2544"/>
      <c r="I12" s="2544"/>
      <c r="J12" s="2545"/>
      <c r="L12" s="2546" t="s">
        <v>2651</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3254"/>
      <c r="X12" s="1720" t="s">
        <v>2652</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261"/>
      <c r="B13" s="2547" t="s">
        <v>2653</v>
      </c>
      <c r="C13" s="2548" t="s">
        <v>2654</v>
      </c>
      <c r="D13" s="2549" t="s">
        <v>2655</v>
      </c>
      <c r="E13" s="2549" t="s">
        <v>2656</v>
      </c>
      <c r="F13" s="20" t="s">
        <v>2657</v>
      </c>
      <c r="G13" s="2550" t="s">
        <v>2658</v>
      </c>
      <c r="H13" s="2550" t="s">
        <v>2658</v>
      </c>
      <c r="I13" s="2550" t="s">
        <v>2658</v>
      </c>
      <c r="J13" s="2551" t="s">
        <v>2658</v>
      </c>
      <c r="L13" s="1458"/>
      <c r="M13" s="1458"/>
      <c r="N13" s="1458"/>
      <c r="O13" s="1458"/>
      <c r="P13" s="1458"/>
      <c r="Q13" s="1458"/>
      <c r="R13" s="1705">
        <v>12</v>
      </c>
      <c r="S13" s="1706"/>
      <c r="T13" s="1705">
        <f t="shared" ca="1" si="0"/>
        <v>0</v>
      </c>
      <c r="U13" s="1706"/>
      <c r="V13" s="1705">
        <f t="shared" ca="1" si="1"/>
        <v>0</v>
      </c>
      <c r="W13" s="3254"/>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261"/>
      <c r="B14" s="2552"/>
      <c r="C14" s="2553" t="s">
        <v>3082</v>
      </c>
      <c r="D14" s="2554" t="s">
        <v>2659</v>
      </c>
      <c r="E14" s="2554" t="s">
        <v>2659</v>
      </c>
      <c r="F14" s="2555" t="s">
        <v>2660</v>
      </c>
      <c r="G14" s="2556" t="s">
        <v>2661</v>
      </c>
      <c r="H14" s="2557"/>
      <c r="I14" s="2558"/>
      <c r="J14" s="2559"/>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262"/>
      <c r="B15" s="2560" t="s">
        <v>2662</v>
      </c>
      <c r="C15" s="150">
        <f>IF(C14="有",1.1,1)</f>
        <v>1</v>
      </c>
      <c r="D15" s="150">
        <f>IF(D14="有",1.1,1)</f>
        <v>1</v>
      </c>
      <c r="E15" s="150">
        <f>IF(E14="有",1.1,1)</f>
        <v>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3263">
        <f>IF(E2="办公",2,IF(E2="工业",2,IF(E2="住宅",3,IF(E2="商业",IF(C8="不临58条商业街",2,3)))))</f>
        <v>3</v>
      </c>
      <c r="B16" s="2728" t="s">
        <v>2668</v>
      </c>
      <c r="C16" s="2722">
        <f>ROUND(IF(F17="与级别开发程度一致",0,(G17-E17)/C17),0)</f>
        <v>0</v>
      </c>
      <c r="D16" s="3276" t="s">
        <v>2672</v>
      </c>
      <c r="E16" s="3277"/>
      <c r="F16" s="3276" t="s">
        <v>2669</v>
      </c>
      <c r="G16" s="3277"/>
      <c r="H16" s="2563"/>
      <c r="I16" s="2563"/>
      <c r="J16" s="2735"/>
      <c r="K16" s="2563"/>
      <c r="L16" s="2563"/>
      <c r="M16" s="2563"/>
      <c r="N16" s="2563"/>
      <c r="O16" s="2564"/>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3264"/>
      <c r="B17" s="2729" t="s">
        <v>2671</v>
      </c>
      <c r="C17" s="2730">
        <f>SUMPRODUCT((修正!A2:A5=E2)*(修正!B1:M1=G2)*(修正!B2:M5))</f>
        <v>0</v>
      </c>
      <c r="D17" s="150" t="str">
        <f>IF(OR(G2="八级",G2="九级",G2="十级",G2="十一级",G2="十二级"),"五通一平","七通一平")</f>
        <v>七通一平</v>
      </c>
      <c r="E17" s="2731">
        <f>SUMPRODUCT((修正!B1:M1=G2)*(修正!B15:M15))</f>
        <v>0</v>
      </c>
      <c r="F17" s="2732" t="s">
        <v>3083</v>
      </c>
      <c r="G17" s="2733">
        <f>SUM(H17:O17)</f>
        <v>0</v>
      </c>
      <c r="H17" s="2730">
        <f>SUMPRODUCT((七通一平=H16)*(修正!B1:M1=G2)*(修正!B6:M14))</f>
        <v>0</v>
      </c>
      <c r="I17" s="2730">
        <f>SUMPRODUCT((七通一平=I16)*(修正!B1:M1=G2)*(修正!B6:M14))</f>
        <v>0</v>
      </c>
      <c r="J17" s="2736">
        <f>SUMPRODUCT((七通一平=J16)*(修正!B1:M1=G2)*(修正!B6:M14))</f>
        <v>0</v>
      </c>
      <c r="K17" s="2730">
        <f>SUMPRODUCT((七通一平=K16)*(修正!B1:M1=G2)*(修正!B6:M14))</f>
        <v>0</v>
      </c>
      <c r="L17" s="2730">
        <f>SUMPRODUCT((七通一平=L16)*(修正!B1:M1=G2)*(修正!B6:M14))</f>
        <v>0</v>
      </c>
      <c r="M17" s="2730">
        <f>SUMPRODUCT((七通一平=M16)*(修正!B1:M1=G2)*(修正!B6:M14))</f>
        <v>0</v>
      </c>
      <c r="N17" s="2730">
        <f>SUMPRODUCT((七通一平=N16)*(修正!B1:M1=G2)*(修正!B6:M14))</f>
        <v>0</v>
      </c>
      <c r="O17" s="2734">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0" customFormat="1" ht="15.75" thickBot="1">
      <c r="A18" s="2565" t="s">
        <v>2674</v>
      </c>
      <c r="B18" s="2723" t="s">
        <v>2675</v>
      </c>
      <c r="C18" s="2724">
        <f>SUMIF(修正!C18:C39,E3,修正!E18:E39)</f>
        <v>1.1000000000000001</v>
      </c>
      <c r="D18" s="2725"/>
      <c r="E18" s="2726"/>
      <c r="F18" s="2726"/>
      <c r="G18" s="2726"/>
      <c r="H18" s="2726"/>
      <c r="I18" s="2726"/>
      <c r="J18" s="2727"/>
      <c r="K18" s="2568"/>
      <c r="O18" s="1458"/>
      <c r="P18" s="1458"/>
      <c r="Q18" s="1458"/>
      <c r="R18" s="1458"/>
      <c r="S18" s="1458"/>
      <c r="T18" s="1458"/>
      <c r="U18" s="1458"/>
      <c r="V18" s="1458"/>
      <c r="W18" s="1458"/>
      <c r="X18" s="1458"/>
      <c r="Y18" s="1458"/>
      <c r="Z18" s="1458"/>
      <c r="AA18" s="1458"/>
      <c r="AB18" s="1458"/>
      <c r="AC18" s="1458"/>
      <c r="AD18" s="1458"/>
      <c r="AE18" s="1459"/>
      <c r="AF18" s="1459"/>
      <c r="AG18" s="2569"/>
      <c r="AH18" s="2569"/>
      <c r="AI18" s="2569"/>
    </row>
    <row r="19" spans="1:37" s="2520" customFormat="1" ht="29.25" thickBot="1">
      <c r="A19" s="2565" t="s">
        <v>2676</v>
      </c>
      <c r="B19" s="2566" t="s">
        <v>2677</v>
      </c>
      <c r="C19" s="948">
        <f>ROUND(IF(H19="按公示增长率计算",SUMPRODUCT((地价!A3:A29=YEAR(G19)&amp;"-"&amp;ROUNDUP(MONTH(G19)/3,0))*(地价!X2:AB2=E2)*(地价!X3:AB29)),IF(H19="地价指数",M20/M19,(1+I19)^O19)),4)</f>
        <v>0</v>
      </c>
      <c r="D19" s="2570" t="s">
        <v>2678</v>
      </c>
      <c r="E19" s="949">
        <v>41640</v>
      </c>
      <c r="F19" s="2570" t="s">
        <v>2679</v>
      </c>
      <c r="G19" s="950">
        <f>'数据-取费表'!B2</f>
        <v>44134</v>
      </c>
      <c r="H19" s="2571" t="s">
        <v>2816</v>
      </c>
      <c r="I19" s="951" t="str">
        <f>IF(H19="季度增幅（自定义）",SUMIF(N21:N24,E2,O21:O24),"")</f>
        <v/>
      </c>
      <c r="J19" s="2567"/>
      <c r="K19" s="2568"/>
      <c r="L19" s="2572" t="s">
        <v>2680</v>
      </c>
      <c r="M19" s="1822">
        <f>ROUND(SUMIF(地价!B2:F2,E2,地价!B29:F29),0)</f>
        <v>258</v>
      </c>
      <c r="N19" s="1462" t="s">
        <v>2681</v>
      </c>
      <c r="O19" s="952">
        <f>ROUNDDOWN(DATEDIF(E19,G19,"M")/3,0)</f>
        <v>27</v>
      </c>
      <c r="P19" s="1459"/>
      <c r="R19" s="1458"/>
      <c r="S19" s="1458"/>
      <c r="T19" s="1458"/>
      <c r="U19" s="1458"/>
      <c r="V19" s="1458"/>
      <c r="W19" s="1458"/>
      <c r="X19" s="1458"/>
      <c r="Y19" s="1458"/>
      <c r="Z19" s="1458"/>
      <c r="AA19" s="1458"/>
      <c r="AB19" s="1458"/>
      <c r="AC19" s="1458"/>
      <c r="AD19" s="1458"/>
      <c r="AE19" s="2568"/>
      <c r="AF19" s="2573"/>
      <c r="AG19" s="2574"/>
      <c r="AH19" s="2569"/>
      <c r="AI19" s="2575"/>
      <c r="AJ19" s="2575"/>
      <c r="AK19" s="2575"/>
    </row>
    <row r="20" spans="1:37" s="2520" customFormat="1" ht="27.75" thickBot="1">
      <c r="A20" s="2576" t="s">
        <v>2682</v>
      </c>
      <c r="B20" s="2577" t="s">
        <v>2683</v>
      </c>
      <c r="C20" s="953">
        <f ca="1">ROUND(POWER(1+G20,J20-I20)*(POWER(1+G20,I20)-1)/(POWER(1+G20,J20)-1),4)</f>
        <v>0.92730000000000001</v>
      </c>
      <c r="D20" s="2578" t="s">
        <v>2684</v>
      </c>
      <c r="E20" s="1852">
        <f ca="1">存贷款利率!D4/100</f>
        <v>4.3499999999999997E-2</v>
      </c>
      <c r="F20" s="2578" t="s">
        <v>2673</v>
      </c>
      <c r="G20" s="959">
        <f ca="1">SUMIF(M26:P26,E2,M28:P28)</f>
        <v>5.3999999999999999E-2</v>
      </c>
      <c r="H20" s="2578" t="s">
        <v>2685</v>
      </c>
      <c r="I20" s="960">
        <f>'数据-取费表'!B13</f>
        <v>32</v>
      </c>
      <c r="J20" s="961">
        <f>IF(E2="住宅",70,IF(E2="商业",40,50))</f>
        <v>40</v>
      </c>
      <c r="K20" s="2568"/>
      <c r="L20" s="2579" t="s">
        <v>2686</v>
      </c>
      <c r="M20" s="1823">
        <f>ROUND(SUMPRODUCT((地价!A4:A29=YEAR(G19)&amp;"-"&amp;ROUNDUP(MONTH(G19)/3,0))*(地价!B2:F2=E2)*(地价!B4:F29)),0)</f>
        <v>0</v>
      </c>
      <c r="N20" s="2580" t="s">
        <v>2687</v>
      </c>
      <c r="O20" s="2581" t="s">
        <v>2688</v>
      </c>
      <c r="P20" s="2582" t="s">
        <v>2689</v>
      </c>
      <c r="R20" s="1458"/>
      <c r="S20" s="1458"/>
      <c r="T20" s="1458"/>
      <c r="U20" s="1458"/>
      <c r="V20" s="1458"/>
      <c r="W20" s="1458"/>
      <c r="X20" s="1458"/>
      <c r="Y20" s="1458"/>
      <c r="Z20" s="1458"/>
      <c r="AA20" s="1458"/>
      <c r="AB20" s="1458"/>
      <c r="AC20" s="1458"/>
      <c r="AD20" s="1458"/>
      <c r="AE20" s="2568"/>
      <c r="AF20" s="2568"/>
    </row>
    <row r="21" spans="1:37" s="2520" customFormat="1" ht="15">
      <c r="A21" s="2583" t="s">
        <v>2690</v>
      </c>
      <c r="B21" s="2584" t="s">
        <v>3084</v>
      </c>
      <c r="C21" s="962" t="e">
        <f>IF(B21="容积率修正",IF(G3&lt;=10,D22,J22),C23)</f>
        <v>#DIV/0!</v>
      </c>
      <c r="D21" s="2585"/>
      <c r="E21" s="2585"/>
      <c r="F21" s="2585"/>
      <c r="G21" s="2585"/>
      <c r="H21" s="2585"/>
      <c r="I21" s="2585"/>
      <c r="J21" s="2586"/>
      <c r="K21" s="2568"/>
      <c r="N21" s="2587" t="s">
        <v>2691</v>
      </c>
      <c r="O21" s="1660"/>
      <c r="P21" s="1661">
        <f>SUMPRODUCT((地价!A3:A29=YEAR(G19)&amp;"-"&amp;ROUNDUP(MONTH(G19)/3,0))*(地价!AD2:AH2=N21)*(地价!AD3:AH29))</f>
        <v>0</v>
      </c>
      <c r="R21" s="1458"/>
      <c r="S21" s="1458"/>
      <c r="T21" s="1458"/>
      <c r="U21" s="1458"/>
      <c r="V21" s="1458"/>
      <c r="W21" s="1458"/>
      <c r="X21" s="1458"/>
      <c r="Y21" s="1458"/>
      <c r="Z21" s="1458"/>
      <c r="AA21" s="1458"/>
      <c r="AB21" s="1458"/>
      <c r="AC21" s="1458"/>
      <c r="AD21" s="1458"/>
      <c r="AE21" s="2568"/>
      <c r="AF21" s="2568"/>
    </row>
    <row r="22" spans="1:37" s="2520" customFormat="1" ht="14.25">
      <c r="A22" s="2588">
        <v>1</v>
      </c>
      <c r="B22" s="2589" t="s">
        <v>2692</v>
      </c>
      <c r="C22" s="1894" t="s">
        <v>2693</v>
      </c>
      <c r="D22" s="1894">
        <f>IF(E22=G22,F22,IF(G3&lt;=10,ROUND(F22+(H22-F22)*(G3-E22)/(G22-E22),4),"——"))</f>
        <v>0</v>
      </c>
      <c r="E22" s="941">
        <f>ROUNDDOWN(G3,1)</f>
        <v>0</v>
      </c>
      <c r="F22" s="189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3" t="str">
        <f>IF(G3&gt;10,D113,"——")</f>
        <v>——</v>
      </c>
      <c r="K22" s="2568"/>
      <c r="N22" s="2587" t="s">
        <v>2694</v>
      </c>
      <c r="O22" s="1660"/>
      <c r="P22" s="1661">
        <f>SUMPRODUCT((地价!A3:A29=YEAR(G19)&amp;"-"&amp;ROUNDUP(MONTH(G19)/3,0))*(地价!AD2:AH2=N22)*(地价!AD3:AH29))</f>
        <v>0</v>
      </c>
      <c r="R22" s="1458"/>
      <c r="S22" s="1458"/>
      <c r="T22" s="1458"/>
      <c r="U22" s="1458"/>
      <c r="V22" s="1458"/>
      <c r="W22" s="1458"/>
      <c r="X22" s="1458"/>
      <c r="Y22" s="1458"/>
      <c r="Z22" s="1458"/>
      <c r="AA22" s="1458"/>
      <c r="AB22" s="1458"/>
      <c r="AC22" s="1458"/>
      <c r="AD22" s="1458"/>
      <c r="AE22" s="2568"/>
      <c r="AF22" s="2568"/>
    </row>
    <row r="23" spans="1:37" ht="27">
      <c r="A23" s="2588">
        <v>2</v>
      </c>
      <c r="B23" s="2589" t="s">
        <v>2695</v>
      </c>
      <c r="C23" s="954" t="e">
        <f>ROUND(IF(G3&gt;1,IF(I3&lt;7,SUMPRODUCT((B93:B98=I3)*(C92:N92=G2)*(C93:N98)),SUMIF(C92:N92,G2,C100:N100)),IF(I3&lt;7,SUMPRODUCT((B102:B107=I3)*(C92:N92=G2)*(C102:N107)),SUMIF(C92:N92,G2,C109:N109))),4)</f>
        <v>#DIV/0!</v>
      </c>
      <c r="D23" s="2557"/>
      <c r="E23" s="2557"/>
      <c r="F23" s="2590"/>
      <c r="G23" s="2591"/>
      <c r="H23" s="2592"/>
      <c r="I23" s="2593"/>
      <c r="J23" s="2594"/>
      <c r="N23" s="2587" t="s">
        <v>2696</v>
      </c>
      <c r="O23" s="1660"/>
      <c r="P23" s="1661">
        <f>SUMPRODUCT((地价!A3:A29=YEAR(G19)&amp;"-"&amp;ROUNDUP(MONTH(G19)/3,0))*(地价!AD2:AH2=N23)*(地价!AD3:AH29))</f>
        <v>0</v>
      </c>
      <c r="R23" s="1458"/>
      <c r="S23" s="1458"/>
      <c r="T23" s="1458"/>
      <c r="U23" s="1458"/>
      <c r="V23" s="1458"/>
      <c r="W23" s="1458"/>
      <c r="X23" s="1458"/>
      <c r="Y23" s="1458"/>
      <c r="Z23" s="1458"/>
      <c r="AA23" s="1458"/>
      <c r="AB23" s="1458"/>
      <c r="AC23" s="1458"/>
      <c r="AD23" s="1458"/>
      <c r="AE23" s="1459"/>
      <c r="AF23" s="1459"/>
      <c r="AK23" s="2569"/>
    </row>
    <row r="24" spans="1:37" s="2520" customFormat="1" ht="15.75" thickBot="1">
      <c r="A24" s="2595" t="s">
        <v>2697</v>
      </c>
      <c r="B24" s="2596" t="s">
        <v>2698</v>
      </c>
      <c r="C24" s="964">
        <f>SUMIF(A46:A88,E2,B46:B88)</f>
        <v>1</v>
      </c>
      <c r="D24" s="2597"/>
      <c r="E24" s="2598"/>
      <c r="F24" s="2598"/>
      <c r="G24" s="2598"/>
      <c r="H24" s="2598"/>
      <c r="I24" s="2598"/>
      <c r="J24" s="2599"/>
      <c r="K24" s="2568"/>
      <c r="N24" s="2600" t="s">
        <v>2699</v>
      </c>
      <c r="O24" s="1662"/>
      <c r="P24" s="1663">
        <f>SUMPRODUCT((地价!A3:A29=YEAR(G19)&amp;"-"&amp;ROUNDUP(MONTH(G19)/3,0))*(地价!AD2:AH2=N24)*(地价!AD3:AH29))</f>
        <v>0</v>
      </c>
      <c r="R24" s="1458"/>
      <c r="S24" s="1458"/>
      <c r="T24" s="1458"/>
      <c r="U24" s="1458"/>
      <c r="V24" s="1458"/>
      <c r="W24" s="1458"/>
      <c r="X24" s="1458"/>
      <c r="Y24" s="1458"/>
      <c r="Z24" s="1458"/>
      <c r="AA24" s="1458"/>
      <c r="AB24" s="1458"/>
      <c r="AC24" s="1458"/>
      <c r="AD24" s="1458"/>
      <c r="AE24" s="2568"/>
      <c r="AF24" s="2568"/>
    </row>
    <row r="25" spans="1:37" ht="15" thickBot="1">
      <c r="A25" s="2576" t="s">
        <v>2700</v>
      </c>
      <c r="B25" s="2601" t="s">
        <v>2701</v>
      </c>
      <c r="C25" s="955"/>
      <c r="D25" s="2531"/>
      <c r="E25" s="2531"/>
      <c r="F25" s="2602"/>
      <c r="G25" s="2531"/>
      <c r="H25" s="2531"/>
      <c r="I25" s="2531"/>
      <c r="J25" s="2532"/>
      <c r="L25" s="1458"/>
      <c r="M25" s="1458"/>
      <c r="N25" s="2603" t="s">
        <v>2702</v>
      </c>
      <c r="O25" s="1664"/>
      <c r="P25" s="1663">
        <f>SUMPRODUCT((地价!A3:A29=YEAR(G19)&amp;"-"&amp;ROUNDUP(MONTH(G19)/3,0))*(地价!AD2:AH2=N25)*(地价!AD3:AH29))</f>
        <v>0</v>
      </c>
      <c r="R25" s="1458"/>
      <c r="S25" s="1458"/>
      <c r="T25" s="1458"/>
      <c r="U25" s="1458"/>
      <c r="V25" s="1458"/>
      <c r="W25" s="1458"/>
      <c r="X25" s="1458"/>
      <c r="Y25" s="1458"/>
      <c r="Z25" s="1458"/>
      <c r="AA25" s="1458"/>
      <c r="AB25" s="1458"/>
      <c r="AC25" s="1458"/>
      <c r="AD25" s="1458"/>
      <c r="AE25" s="1459"/>
      <c r="AF25" s="1459"/>
    </row>
    <row r="26" spans="1:37" ht="15">
      <c r="A26" s="2604"/>
      <c r="B26" s="2589" t="s">
        <v>2703</v>
      </c>
      <c r="C26" s="123" t="e">
        <f ca="1">E29+SUM(E33:E39)</f>
        <v>#DIV/0!</v>
      </c>
      <c r="D26" s="2605"/>
      <c r="E26" s="2557"/>
      <c r="F26" s="2606"/>
      <c r="G26" s="2557"/>
      <c r="H26" s="2557"/>
      <c r="I26" s="2557"/>
      <c r="J26" s="2607"/>
      <c r="L26" s="2561" t="s">
        <v>2663</v>
      </c>
      <c r="M26" s="944" t="s">
        <v>2664</v>
      </c>
      <c r="N26" s="944" t="s">
        <v>2665</v>
      </c>
      <c r="O26" s="944" t="s">
        <v>2666</v>
      </c>
      <c r="P26" s="2562" t="s">
        <v>2667</v>
      </c>
      <c r="Q26" s="1458"/>
      <c r="R26" s="1458"/>
      <c r="S26" s="1458"/>
      <c r="T26" s="1458"/>
      <c r="U26" s="1458"/>
      <c r="V26" s="1458"/>
      <c r="W26" s="1458"/>
      <c r="X26" s="1458"/>
      <c r="Y26" s="1458"/>
      <c r="Z26" s="1458"/>
      <c r="AA26" s="1458"/>
      <c r="AB26" s="1458"/>
      <c r="AC26" s="1458"/>
      <c r="AD26" s="1458"/>
      <c r="AE26" s="1459"/>
      <c r="AF26" s="1459"/>
    </row>
    <row r="27" spans="1:37" ht="15.75" thickBot="1">
      <c r="A27" s="2604"/>
      <c r="B27" s="2608" t="s">
        <v>2704</v>
      </c>
      <c r="C27" s="956" t="e">
        <f ca="1">E30+SUM(I33:I39)</f>
        <v>#DIV/0!</v>
      </c>
      <c r="D27" s="2609"/>
      <c r="E27" s="2610"/>
      <c r="F27" s="2611"/>
      <c r="G27" s="2610"/>
      <c r="H27" s="2610"/>
      <c r="I27" s="2610"/>
      <c r="J27" s="2612"/>
      <c r="L27" s="1456" t="s">
        <v>2670</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6"/>
      <c r="B28" s="2613" t="s">
        <v>2705</v>
      </c>
      <c r="C28" s="2614" t="s">
        <v>2706</v>
      </c>
      <c r="D28" s="2614" t="s">
        <v>2707</v>
      </c>
      <c r="E28" s="2615" t="s">
        <v>2708</v>
      </c>
      <c r="F28" s="2616"/>
      <c r="G28" s="2544"/>
      <c r="H28" s="2544"/>
      <c r="I28" s="2544"/>
      <c r="J28" s="2545"/>
      <c r="L28" s="1460" t="s">
        <v>2673</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7"/>
      <c r="B29" s="2618" t="s">
        <v>2709</v>
      </c>
      <c r="C29" s="123" t="e">
        <f ca="1">ROUND(C5*C18*C19*C20*C21*C24,0)</f>
        <v>#DIV/0!</v>
      </c>
      <c r="D29" s="2619">
        <f>项目基本情况!C12</f>
        <v>392.22</v>
      </c>
      <c r="E29" s="968" t="e">
        <f ca="1">ROUND(C29*D29,0)</f>
        <v>#DIV/0!</v>
      </c>
      <c r="F29" s="2620" t="s">
        <v>2710</v>
      </c>
      <c r="G29" s="2621"/>
      <c r="H29" s="2621"/>
      <c r="I29" s="2621"/>
      <c r="J29" s="262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23"/>
      <c r="B30" s="2624" t="s">
        <v>2711</v>
      </c>
      <c r="C30" s="150" t="e">
        <f ca="1">ROUND(IF(E2="工业",C29*M39,C29*M38),0)</f>
        <v>#DIV/0!</v>
      </c>
      <c r="D30" s="2625"/>
      <c r="E30" s="968" t="e">
        <f ca="1">ROUND(C30*D30,0)</f>
        <v>#DIV/0!</v>
      </c>
      <c r="F30" s="2626" t="s">
        <v>2712</v>
      </c>
      <c r="G30" s="2627"/>
      <c r="H30" s="2627"/>
      <c r="I30" s="2627"/>
      <c r="J30" s="262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29"/>
      <c r="B31" s="2630" t="s">
        <v>2713</v>
      </c>
      <c r="C31" s="2631" t="s">
        <v>2714</v>
      </c>
      <c r="D31" s="2544"/>
      <c r="E31" s="2631"/>
      <c r="F31" s="2631"/>
      <c r="G31" s="2542" t="s">
        <v>2715</v>
      </c>
      <c r="H31" s="2544"/>
      <c r="I31" s="2632"/>
      <c r="J31" s="2545"/>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17"/>
      <c r="B32" s="2633"/>
      <c r="C32" s="482" t="s">
        <v>2706</v>
      </c>
      <c r="D32" s="479" t="s">
        <v>2707</v>
      </c>
      <c r="E32" s="479" t="s">
        <v>2708</v>
      </c>
      <c r="F32" s="367" t="s">
        <v>2716</v>
      </c>
      <c r="G32" s="954" t="s">
        <v>2706</v>
      </c>
      <c r="H32" s="954" t="s">
        <v>2707</v>
      </c>
      <c r="I32" s="954" t="s">
        <v>2708</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273" t="s">
        <v>2717</v>
      </c>
      <c r="B33" s="2634" t="s">
        <v>2718</v>
      </c>
      <c r="C33" s="123">
        <f ca="1">ROUND(D5*C19*C20*C24*F33,0)</f>
        <v>0</v>
      </c>
      <c r="D33" s="2619"/>
      <c r="E33" s="117">
        <f t="shared" ref="E33:E39" ca="1" si="6">ROUND(C33*D33,0)</f>
        <v>0</v>
      </c>
      <c r="F33" s="117">
        <f>SUMIF(修正!A45:A56,G2,修正!B45:B56)</f>
        <v>0</v>
      </c>
      <c r="G33" s="117">
        <f t="shared" ref="G33" ca="1" si="7">ROUND(IF(E2="工业",C33*$M$39,C33*$M$38),0)</f>
        <v>0</v>
      </c>
      <c r="H33" s="117">
        <f>D33</f>
        <v>0</v>
      </c>
      <c r="I33" s="117">
        <f t="shared" ref="I33:I39" ca="1" si="8">ROUND(G33*H33,0)</f>
        <v>0</v>
      </c>
      <c r="J33" s="263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274"/>
      <c r="B34" s="2548" t="s">
        <v>2719</v>
      </c>
      <c r="C34" s="123">
        <f ca="1">ROUND(D5*C19*C20*C24*F34,0)</f>
        <v>0</v>
      </c>
      <c r="D34" s="2619"/>
      <c r="E34" s="117">
        <f t="shared" ca="1" si="6"/>
        <v>0</v>
      </c>
      <c r="F34" s="117">
        <f>SUMIF(修正!A45:A56,G2,修正!C45:C56)</f>
        <v>0</v>
      </c>
      <c r="G34" s="117">
        <f ca="1">ROUND(IF(E2="工业",C34*$M$39,C34*$M$38),0)</f>
        <v>0</v>
      </c>
      <c r="H34" s="117">
        <f t="shared" ref="H34:H39" si="9">D34</f>
        <v>0</v>
      </c>
      <c r="I34" s="117">
        <f t="shared" ca="1" si="8"/>
        <v>0</v>
      </c>
      <c r="J34" s="263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274"/>
      <c r="B35" s="2548" t="s">
        <v>2720</v>
      </c>
      <c r="C35" s="123">
        <f ca="1">ROUND(D5*C19*C20*C24*F35,0)</f>
        <v>0</v>
      </c>
      <c r="D35" s="2619"/>
      <c r="E35" s="117">
        <f t="shared" ca="1" si="6"/>
        <v>0</v>
      </c>
      <c r="F35" s="117">
        <f>SUMIF(修正!A45:A56,G2,修正!D45:D56)</f>
        <v>0</v>
      </c>
      <c r="G35" s="117">
        <f ca="1">ROUND(IF(E2="工业",C35*$M$39,C35*$M$38),0)</f>
        <v>0</v>
      </c>
      <c r="H35" s="117">
        <f t="shared" si="9"/>
        <v>0</v>
      </c>
      <c r="I35" s="117">
        <f t="shared" ca="1" si="8"/>
        <v>0</v>
      </c>
      <c r="J35" s="263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275"/>
      <c r="B36" s="2548" t="s">
        <v>2721</v>
      </c>
      <c r="C36" s="123">
        <f ca="1">ROUND(D5*C19*C20*C24*F36,0)</f>
        <v>0</v>
      </c>
      <c r="D36" s="2619"/>
      <c r="E36" s="117">
        <f t="shared" ca="1" si="6"/>
        <v>0</v>
      </c>
      <c r="F36" s="117">
        <f>SUMIF(修正!A45:A56,G2,修正!E45:E56)</f>
        <v>0</v>
      </c>
      <c r="G36" s="117">
        <f ca="1">ROUND(IF(E2="工业",C36*$M$39,C36*$M$38),0)</f>
        <v>0</v>
      </c>
      <c r="H36" s="117">
        <f t="shared" si="9"/>
        <v>0</v>
      </c>
      <c r="I36" s="117">
        <f t="shared" ca="1" si="8"/>
        <v>0</v>
      </c>
      <c r="J36" s="2635"/>
      <c r="L36" s="2636"/>
      <c r="M36" s="263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7"/>
      <c r="B37" s="2548" t="s">
        <v>2722</v>
      </c>
      <c r="C37" s="117">
        <f ca="1">ROUND(D5*C19*C20*C24*F37,0)</f>
        <v>0</v>
      </c>
      <c r="D37" s="2619"/>
      <c r="E37" s="117">
        <f t="shared" ca="1" si="6"/>
        <v>0</v>
      </c>
      <c r="F37" s="123">
        <f>SUMIF(修正!A45:A56,G2,修正!F45:F56)</f>
        <v>0</v>
      </c>
      <c r="G37" s="117">
        <f ca="1">ROUND(IF(E2="工业",C37*$M$39,C37*$M$38),0)</f>
        <v>0</v>
      </c>
      <c r="H37" s="117">
        <f t="shared" si="9"/>
        <v>0</v>
      </c>
      <c r="I37" s="117">
        <f t="shared" ca="1" si="8"/>
        <v>0</v>
      </c>
      <c r="J37" s="2635"/>
      <c r="L37" s="2638" t="s">
        <v>2723</v>
      </c>
      <c r="M37" s="2532"/>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7"/>
      <c r="B38" s="2548" t="s">
        <v>2724</v>
      </c>
      <c r="C38" s="117">
        <f ca="1">ROUND(D5*C19*C41*C24*F38,0)</f>
        <v>0</v>
      </c>
      <c r="D38" s="2619"/>
      <c r="E38" s="117">
        <f t="shared" ca="1" si="6"/>
        <v>0</v>
      </c>
      <c r="F38" s="123">
        <f>SUMIF(修正!A45:A56,G2,修正!G45:G56)</f>
        <v>0</v>
      </c>
      <c r="G38" s="117">
        <f ca="1">ROUND(IF(E2="工业",C38*$M$39,C38*$M$38),0)</f>
        <v>0</v>
      </c>
      <c r="H38" s="117">
        <f t="shared" si="9"/>
        <v>0</v>
      </c>
      <c r="I38" s="117">
        <f t="shared" ca="1" si="8"/>
        <v>0</v>
      </c>
      <c r="J38" s="2635"/>
      <c r="L38" s="2639" t="s">
        <v>2725</v>
      </c>
      <c r="M38" s="264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3"/>
      <c r="B39" s="2641" t="s">
        <v>2726</v>
      </c>
      <c r="C39" s="150">
        <f ca="1">ROUND(D5*C19*C41*C24*F39,0)</f>
        <v>0</v>
      </c>
      <c r="D39" s="2625"/>
      <c r="E39" s="150">
        <f t="shared" ca="1" si="6"/>
        <v>0</v>
      </c>
      <c r="F39" s="957">
        <f>SUMIF(修正!A45:A56,G2,修正!H45:H56)</f>
        <v>0</v>
      </c>
      <c r="G39" s="150">
        <f ca="1">ROUND(IF(E2="工业",C39*$M$39,C39*$M$38),0)</f>
        <v>0</v>
      </c>
      <c r="H39" s="150">
        <f t="shared" si="9"/>
        <v>0</v>
      </c>
      <c r="I39" s="150">
        <f t="shared" ca="1" si="8"/>
        <v>0</v>
      </c>
      <c r="J39" s="2642"/>
      <c r="L39" s="2643" t="s">
        <v>2667</v>
      </c>
      <c r="M39" s="264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5"/>
      <c r="AH40" s="2645"/>
      <c r="AI40" s="2645"/>
      <c r="AJ40" s="2645"/>
    </row>
    <row r="41" spans="1:37" s="2646" customFormat="1">
      <c r="A41" s="1459"/>
      <c r="B41" s="2717" t="s">
        <v>2808</v>
      </c>
      <c r="C41" s="367">
        <f ca="1">ROUND(POWER(1+E41,H41-G41)*(POWER(1+E41,G41)-1)/(POWER(1+E41,H41)-1),4)</f>
        <v>0</v>
      </c>
      <c r="D41" s="117" t="s">
        <v>2806</v>
      </c>
      <c r="E41" s="827">
        <f ca="1">G20</f>
        <v>5.3999999999999999E-2</v>
      </c>
      <c r="F41" s="117" t="s">
        <v>2807</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5"/>
      <c r="AH41" s="2645"/>
      <c r="AI41" s="2645"/>
      <c r="AJ41" s="2645"/>
    </row>
    <row r="42" spans="1:37" s="2646" customFormat="1">
      <c r="A42" s="1459"/>
      <c r="B42" s="264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5"/>
      <c r="AH42" s="2645"/>
      <c r="AI42" s="2645"/>
      <c r="AJ42" s="2645"/>
    </row>
    <row r="43" spans="1:37" s="2646" customFormat="1">
      <c r="A43" s="1459"/>
      <c r="B43" s="264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5"/>
      <c r="AH43" s="2645"/>
      <c r="AI43" s="2645"/>
      <c r="AJ43" s="2645"/>
    </row>
    <row r="44" spans="1:37" s="2646" customFormat="1">
      <c r="A44" s="1459"/>
      <c r="B44" s="264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5"/>
      <c r="AH44" s="2645"/>
      <c r="AI44" s="2645"/>
      <c r="AJ44" s="2645"/>
    </row>
    <row r="45" spans="1:37" s="2646" customFormat="1" ht="15.75" thickBot="1">
      <c r="A45" s="2648" t="s">
        <v>2727</v>
      </c>
      <c r="B45" s="264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45"/>
      <c r="AH45" s="2645"/>
      <c r="AI45" s="2645"/>
      <c r="AJ45" s="2645"/>
    </row>
    <row r="46" spans="1:37" s="2646" customFormat="1" ht="15">
      <c r="A46" s="2650" t="s">
        <v>2728</v>
      </c>
      <c r="B46" s="2651">
        <f>1+E48</f>
        <v>1</v>
      </c>
      <c r="C46" s="2652"/>
      <c r="D46" s="817"/>
      <c r="E46" s="818"/>
      <c r="F46" s="2653"/>
      <c r="G46" s="7"/>
      <c r="H46" s="9"/>
      <c r="I46" s="9"/>
      <c r="J46" s="9"/>
      <c r="K46" s="9"/>
      <c r="L46" s="9"/>
      <c r="M46" s="2500"/>
      <c r="N46" s="2654"/>
      <c r="O46" s="1458"/>
      <c r="P46" s="1458"/>
      <c r="Q46" s="1458"/>
      <c r="R46" s="1458"/>
      <c r="S46" s="1458"/>
      <c r="T46" s="1458"/>
      <c r="U46" s="1458"/>
      <c r="V46" s="1458"/>
      <c r="W46" s="1458"/>
      <c r="X46" s="1458"/>
      <c r="Y46" s="1459"/>
      <c r="Z46" s="1459"/>
      <c r="AA46" s="1459"/>
      <c r="AB46" s="1459"/>
      <c r="AC46" s="1459"/>
      <c r="AD46" s="1459"/>
      <c r="AE46" s="1459"/>
      <c r="AF46" s="2645"/>
      <c r="AG46" s="2645"/>
      <c r="AH46" s="2645"/>
      <c r="AI46" s="2645"/>
    </row>
    <row r="47" spans="1:37" s="2646" customFormat="1" ht="24.75">
      <c r="A47" s="2655" t="s">
        <v>2729</v>
      </c>
      <c r="B47" s="823" t="s">
        <v>2730</v>
      </c>
      <c r="C47" s="823" t="s">
        <v>2731</v>
      </c>
      <c r="D47" s="823" t="s">
        <v>2732</v>
      </c>
      <c r="E47" s="824" t="s">
        <v>2733</v>
      </c>
      <c r="F47" s="2656" t="s">
        <v>2734</v>
      </c>
      <c r="G47" s="823" t="s">
        <v>2735</v>
      </c>
      <c r="H47" s="2657" t="s">
        <v>2736</v>
      </c>
      <c r="I47" s="823" t="s">
        <v>2737</v>
      </c>
      <c r="J47" s="587" t="s">
        <v>2738</v>
      </c>
      <c r="K47" s="587" t="s">
        <v>2739</v>
      </c>
      <c r="L47" s="587" t="s">
        <v>2740</v>
      </c>
      <c r="M47" s="587" t="s">
        <v>2741</v>
      </c>
      <c r="N47" s="587" t="s">
        <v>2742</v>
      </c>
      <c r="O47" s="1458"/>
      <c r="P47" s="1458"/>
      <c r="Q47" s="1458"/>
      <c r="R47" s="1458"/>
      <c r="S47" s="1458"/>
      <c r="T47" s="1458"/>
      <c r="U47" s="1458"/>
      <c r="V47" s="1458"/>
      <c r="W47" s="1458"/>
      <c r="X47" s="1458"/>
      <c r="Y47" s="1458"/>
      <c r="Z47" s="1458"/>
      <c r="AA47" s="1459"/>
      <c r="AB47" s="1459"/>
      <c r="AC47" s="1459"/>
      <c r="AD47" s="1459"/>
      <c r="AE47" s="1459"/>
      <c r="AF47" s="1459"/>
      <c r="AG47" s="1459"/>
      <c r="AH47" s="2645"/>
      <c r="AI47" s="2645"/>
      <c r="AJ47" s="2645"/>
      <c r="AK47" s="2645"/>
    </row>
    <row r="48" spans="1:37" s="2646" customFormat="1" ht="38.25">
      <c r="A48" s="2655" t="s">
        <v>2743</v>
      </c>
      <c r="B48" s="2658" t="str">
        <f>估价对象房地状况!C16</f>
        <v>估价对象位于定福庄商圈，周边商业氛围成熟，人流量大，商业繁华度好</v>
      </c>
      <c r="C48" s="2554"/>
      <c r="D48" s="1372">
        <f t="shared" ref="D48:D56" si="10">SUMIF($J$47:$N$47,C48,J48:N48)</f>
        <v>0</v>
      </c>
      <c r="E48" s="829">
        <f>ROUND(SUM(D48:D56),4)</f>
        <v>0</v>
      </c>
      <c r="F48" s="2272">
        <f>IF(E2="商业",SUMIF(L1:L12,G2,N1:N12),"——")</f>
        <v>0</v>
      </c>
      <c r="G48" s="1373"/>
      <c r="H48" s="1377">
        <f t="shared" ref="H48:H56" si="11">IFERROR(ROUNDDOWN($F$48*I48/2,4),"——")</f>
        <v>0</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5"/>
      <c r="AI48" s="2645"/>
      <c r="AJ48" s="2645"/>
      <c r="AK48" s="2645"/>
    </row>
    <row r="49" spans="1:37" s="2646" customFormat="1" ht="76.5">
      <c r="A49" s="2655" t="s">
        <v>2744</v>
      </c>
      <c r="B49" s="2659" t="str">
        <f>估价对象房地状况!C18</f>
        <v>估价对象周边公共交通包括：488路、499路、517路等公交线路，1公里以内有地铁6号线常营地铁站。综合评价交通便捷度好</v>
      </c>
      <c r="C49" s="2554"/>
      <c r="D49" s="1372">
        <f t="shared" si="10"/>
        <v>0</v>
      </c>
      <c r="E49" s="832"/>
      <c r="F49" s="2272"/>
      <c r="G49" s="1373"/>
      <c r="H49" s="1377">
        <f t="shared" si="11"/>
        <v>0</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5"/>
      <c r="AI49" s="2645"/>
      <c r="AJ49" s="2645"/>
      <c r="AK49" s="2645"/>
    </row>
    <row r="50" spans="1:37" s="2646" customFormat="1" ht="24">
      <c r="A50" s="2655" t="s">
        <v>2745</v>
      </c>
      <c r="B50" s="2659">
        <f>估价对象房地状况!C19</f>
        <v>0</v>
      </c>
      <c r="C50" s="2554"/>
      <c r="D50" s="1372">
        <f t="shared" si="10"/>
        <v>0</v>
      </c>
      <c r="E50" s="832"/>
      <c r="F50" s="2272"/>
      <c r="G50" s="1373"/>
      <c r="H50" s="1377">
        <f t="shared" si="11"/>
        <v>0</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5"/>
      <c r="AI50" s="2645"/>
      <c r="AJ50" s="2645"/>
      <c r="AK50" s="2645"/>
    </row>
    <row r="51" spans="1:37" s="2646" customFormat="1" ht="36.75">
      <c r="A51" s="2655" t="s">
        <v>2746</v>
      </c>
      <c r="B51" s="2660" t="s">
        <v>2747</v>
      </c>
      <c r="C51" s="2554"/>
      <c r="D51" s="1372">
        <f t="shared" si="10"/>
        <v>0</v>
      </c>
      <c r="E51" s="832"/>
      <c r="F51" s="2272"/>
      <c r="G51" s="1373"/>
      <c r="H51" s="1377">
        <f t="shared" si="11"/>
        <v>0</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5"/>
      <c r="AI51" s="2645"/>
      <c r="AJ51" s="2645"/>
      <c r="AK51" s="2645"/>
    </row>
    <row r="52" spans="1:37" s="2646" customFormat="1" ht="24">
      <c r="A52" s="2655" t="s">
        <v>2748</v>
      </c>
      <c r="B52" s="2659" t="str">
        <f>估价对象房地状况!C24</f>
        <v>城市主干道—常通路</v>
      </c>
      <c r="C52" s="2554"/>
      <c r="D52" s="1372">
        <f t="shared" si="10"/>
        <v>0</v>
      </c>
      <c r="E52" s="832"/>
      <c r="F52" s="2272"/>
      <c r="G52" s="1373"/>
      <c r="H52" s="1377">
        <f t="shared" si="11"/>
        <v>0</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5"/>
      <c r="AI52" s="2645"/>
      <c r="AJ52" s="2645"/>
      <c r="AK52" s="2645"/>
    </row>
    <row r="53" spans="1:37" s="2646" customFormat="1" ht="24">
      <c r="A53" s="2655" t="s">
        <v>2749</v>
      </c>
      <c r="B53" s="2661" t="s">
        <v>2750</v>
      </c>
      <c r="C53" s="2554"/>
      <c r="D53" s="1372">
        <f t="shared" si="10"/>
        <v>0</v>
      </c>
      <c r="E53" s="832"/>
      <c r="F53" s="2272"/>
      <c r="G53" s="1373"/>
      <c r="H53" s="1377">
        <f t="shared" si="11"/>
        <v>0</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5"/>
      <c r="AI53" s="2645"/>
      <c r="AJ53" s="2645"/>
      <c r="AK53" s="2645"/>
    </row>
    <row r="54" spans="1:37" s="2646" customFormat="1" ht="25.5">
      <c r="A54" s="2662" t="s">
        <v>2751</v>
      </c>
      <c r="B54" s="2663" t="str">
        <f>估价对象房地状况!C21</f>
        <v>估价对象所在区域公共配套设施齐备</v>
      </c>
      <c r="C54" s="2554"/>
      <c r="D54" s="1372">
        <f t="shared" si="10"/>
        <v>0</v>
      </c>
      <c r="E54" s="832"/>
      <c r="F54" s="2272"/>
      <c r="G54" s="1373"/>
      <c r="H54" s="1377">
        <f t="shared" si="11"/>
        <v>0</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5"/>
      <c r="AI54" s="2645"/>
      <c r="AJ54" s="2645"/>
      <c r="AK54" s="2645"/>
    </row>
    <row r="55" spans="1:37" s="2646" customFormat="1" ht="24">
      <c r="A55" s="2662" t="s">
        <v>2752</v>
      </c>
      <c r="B55" s="2659" t="str">
        <f>估价对象房地状况!C22</f>
        <v>七通</v>
      </c>
      <c r="C55" s="2554"/>
      <c r="D55" s="1372">
        <f t="shared" si="10"/>
        <v>0</v>
      </c>
      <c r="E55" s="832"/>
      <c r="F55" s="2272"/>
      <c r="G55" s="1373"/>
      <c r="H55" s="1377">
        <f t="shared" si="11"/>
        <v>0</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5"/>
      <c r="AI55" s="2645"/>
      <c r="AJ55" s="2645"/>
      <c r="AK55" s="2645"/>
    </row>
    <row r="56" spans="1:37" s="2646" customFormat="1" ht="64.5" thickBot="1">
      <c r="A56" s="2664" t="s">
        <v>2753</v>
      </c>
      <c r="B56" s="2665" t="str">
        <f>估价对象房地状况!C20</f>
        <v>区域自然环境：常营公园、五里桥公园；人文环境：北京科技大学（管庄校区）、北京政法职业学院；综合评价环境状况好</v>
      </c>
      <c r="C56" s="2554"/>
      <c r="D56" s="1372">
        <f t="shared" si="10"/>
        <v>0</v>
      </c>
      <c r="E56" s="838"/>
      <c r="F56" s="2272"/>
      <c r="G56" s="1373"/>
      <c r="H56" s="1377">
        <f t="shared" si="11"/>
        <v>0</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5"/>
      <c r="AI56" s="2645"/>
      <c r="AJ56" s="2645"/>
      <c r="AK56" s="2645"/>
    </row>
    <row r="57" spans="1:37" s="2646" customFormat="1" ht="15">
      <c r="A57" s="2650" t="s">
        <v>2754</v>
      </c>
      <c r="B57" s="2666">
        <f>1+E59</f>
        <v>1</v>
      </c>
      <c r="C57" s="817"/>
      <c r="D57" s="817"/>
      <c r="E57" s="818"/>
      <c r="F57" s="265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5"/>
      <c r="AI57" s="2645"/>
      <c r="AJ57" s="2645"/>
      <c r="AK57" s="2645"/>
    </row>
    <row r="58" spans="1:37" s="2646" customFormat="1" ht="24.75">
      <c r="A58" s="2655" t="s">
        <v>2729</v>
      </c>
      <c r="B58" s="2659"/>
      <c r="C58" s="823" t="s">
        <v>2731</v>
      </c>
      <c r="D58" s="823" t="s">
        <v>2732</v>
      </c>
      <c r="E58" s="824" t="s">
        <v>2733</v>
      </c>
      <c r="F58" s="2656" t="s">
        <v>2734</v>
      </c>
      <c r="G58" s="823" t="s">
        <v>2755</v>
      </c>
      <c r="H58" s="2657" t="s">
        <v>2756</v>
      </c>
      <c r="I58" s="823" t="s">
        <v>2757</v>
      </c>
      <c r="J58" s="587" t="s">
        <v>2395</v>
      </c>
      <c r="K58" s="587" t="s">
        <v>2396</v>
      </c>
      <c r="L58" s="587" t="s">
        <v>2397</v>
      </c>
      <c r="M58" s="587" t="s">
        <v>2398</v>
      </c>
      <c r="N58" s="587" t="s">
        <v>2399</v>
      </c>
      <c r="O58" s="1458"/>
      <c r="P58" s="1458"/>
      <c r="Q58" s="1458"/>
      <c r="R58" s="1458"/>
      <c r="S58" s="1458"/>
      <c r="T58" s="1458"/>
      <c r="U58" s="1458"/>
      <c r="V58" s="1458"/>
      <c r="W58" s="1458"/>
      <c r="X58" s="1458"/>
      <c r="Y58" s="1458"/>
      <c r="Z58" s="1458"/>
      <c r="AA58" s="1459"/>
      <c r="AB58" s="1459"/>
      <c r="AC58" s="1459"/>
      <c r="AD58" s="1459"/>
      <c r="AE58" s="1459"/>
      <c r="AF58" s="1459"/>
      <c r="AG58" s="1459"/>
      <c r="AH58" s="2645"/>
      <c r="AI58" s="2645"/>
      <c r="AJ58" s="2645"/>
      <c r="AK58" s="2645"/>
    </row>
    <row r="59" spans="1:37" s="2646" customFormat="1" ht="38.25">
      <c r="A59" s="2655" t="s">
        <v>2758</v>
      </c>
      <c r="B59" s="2658" t="str">
        <f>估价对象房地状况!C17</f>
        <v>估价对象位于XX商圈，周边办公楼项目较多，入驻率高，办公集聚程度较好</v>
      </c>
      <c r="C59" s="2554"/>
      <c r="D59" s="1372">
        <f t="shared" ref="D59:D67" si="15">SUMIF($J$58:$N$58,C59,J59:N59)</f>
        <v>0</v>
      </c>
      <c r="E59" s="829">
        <f>ROUND(SUM(D59:D67),4)</f>
        <v>0</v>
      </c>
      <c r="F59" s="2272"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5"/>
      <c r="AI59" s="2645"/>
      <c r="AJ59" s="2645"/>
      <c r="AK59" s="2645"/>
    </row>
    <row r="60" spans="1:37" s="2646" customFormat="1" ht="76.5">
      <c r="A60" s="2655" t="s">
        <v>2744</v>
      </c>
      <c r="B60" s="2659" t="str">
        <f>估价对象房地状况!C18</f>
        <v>估价对象周边公共交通包括：488路、499路、517路等公交线路，1公里以内有地铁6号线常营地铁站。综合评价交通便捷度好</v>
      </c>
      <c r="C60" s="2554"/>
      <c r="D60" s="1372">
        <f t="shared" si="15"/>
        <v>0</v>
      </c>
      <c r="E60" s="832"/>
      <c r="F60" s="2272"/>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5"/>
      <c r="AI60" s="2645"/>
      <c r="AJ60" s="2645"/>
      <c r="AK60" s="2645"/>
    </row>
    <row r="61" spans="1:37" s="2646" customFormat="1" ht="24">
      <c r="A61" s="2655" t="s">
        <v>2745</v>
      </c>
      <c r="B61" s="2659">
        <f>估价对象房地状况!C19</f>
        <v>0</v>
      </c>
      <c r="C61" s="2554"/>
      <c r="D61" s="1372">
        <f t="shared" si="15"/>
        <v>0</v>
      </c>
      <c r="E61" s="832"/>
      <c r="F61" s="2272"/>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5"/>
      <c r="AI61" s="2645"/>
      <c r="AJ61" s="2645"/>
      <c r="AK61" s="2645"/>
    </row>
    <row r="62" spans="1:37" s="2646" customFormat="1" ht="36.75">
      <c r="A62" s="2655" t="s">
        <v>2746</v>
      </c>
      <c r="B62" s="2660" t="s">
        <v>2747</v>
      </c>
      <c r="C62" s="2554"/>
      <c r="D62" s="1372">
        <f t="shared" si="15"/>
        <v>0</v>
      </c>
      <c r="E62" s="832"/>
      <c r="F62" s="2272"/>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5"/>
      <c r="AI62" s="2645"/>
      <c r="AJ62" s="2645"/>
      <c r="AK62" s="2645"/>
    </row>
    <row r="63" spans="1:37" s="2646" customFormat="1" ht="24">
      <c r="A63" s="2655" t="s">
        <v>2748</v>
      </c>
      <c r="B63" s="2659" t="str">
        <f>估价对象房地状况!C24</f>
        <v>城市主干道—常通路</v>
      </c>
      <c r="C63" s="2554"/>
      <c r="D63" s="1372">
        <f t="shared" si="15"/>
        <v>0</v>
      </c>
      <c r="E63" s="832"/>
      <c r="F63" s="2272"/>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5"/>
      <c r="AI63" s="2645"/>
      <c r="AJ63" s="2645"/>
      <c r="AK63" s="2645"/>
    </row>
    <row r="64" spans="1:37" s="2646" customFormat="1" ht="24">
      <c r="A64" s="2655" t="s">
        <v>2749</v>
      </c>
      <c r="B64" s="2661" t="s">
        <v>2750</v>
      </c>
      <c r="C64" s="2554"/>
      <c r="D64" s="1372">
        <f t="shared" si="15"/>
        <v>0</v>
      </c>
      <c r="E64" s="832"/>
      <c r="F64" s="2272"/>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5"/>
      <c r="AI64" s="2645"/>
      <c r="AJ64" s="2645"/>
      <c r="AK64" s="2645"/>
    </row>
    <row r="65" spans="1:37" s="2646" customFormat="1" ht="25.5">
      <c r="A65" s="2655" t="s">
        <v>2751</v>
      </c>
      <c r="B65" s="2663" t="str">
        <f>估价对象房地状况!C21</f>
        <v>估价对象所在区域公共配套设施齐备</v>
      </c>
      <c r="C65" s="2554"/>
      <c r="D65" s="1372">
        <f t="shared" si="15"/>
        <v>0</v>
      </c>
      <c r="E65" s="832"/>
      <c r="F65" s="2272"/>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5"/>
      <c r="AI65" s="2645"/>
      <c r="AJ65" s="2645"/>
      <c r="AK65" s="2645"/>
    </row>
    <row r="66" spans="1:37" s="2646" customFormat="1" ht="24">
      <c r="A66" s="2655" t="s">
        <v>2752</v>
      </c>
      <c r="B66" s="2663" t="str">
        <f>估价对象房地状况!C22</f>
        <v>七通</v>
      </c>
      <c r="C66" s="2554"/>
      <c r="D66" s="1372">
        <f t="shared" si="15"/>
        <v>0</v>
      </c>
      <c r="E66" s="832"/>
      <c r="F66" s="2272"/>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5"/>
      <c r="AI66" s="2645"/>
      <c r="AJ66" s="2645"/>
      <c r="AK66" s="2645"/>
    </row>
    <row r="67" spans="1:37" s="2646" customFormat="1" ht="64.5" thickBot="1">
      <c r="A67" s="2664" t="s">
        <v>2753</v>
      </c>
      <c r="B67" s="2667" t="str">
        <f>估价对象房地状况!C20</f>
        <v>区域自然环境：常营公园、五里桥公园；人文环境：北京科技大学（管庄校区）、北京政法职业学院；综合评价环境状况好</v>
      </c>
      <c r="C67" s="2554"/>
      <c r="D67" s="1372">
        <f t="shared" si="15"/>
        <v>0</v>
      </c>
      <c r="E67" s="838"/>
      <c r="F67" s="2272"/>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5"/>
      <c r="AI67" s="2645"/>
      <c r="AJ67" s="2645"/>
      <c r="AK67" s="2645"/>
    </row>
    <row r="68" spans="1:37" s="2646" customFormat="1" ht="15">
      <c r="A68" s="2650" t="s">
        <v>2759</v>
      </c>
      <c r="B68" s="2666">
        <f>1+E70</f>
        <v>1</v>
      </c>
      <c r="C68" s="817"/>
      <c r="D68" s="817"/>
      <c r="E68" s="818"/>
      <c r="F68" s="265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5"/>
      <c r="AI68" s="2645"/>
      <c r="AJ68" s="2645"/>
      <c r="AK68" s="2645"/>
    </row>
    <row r="69" spans="1:37" s="2646" customFormat="1" ht="24.75">
      <c r="A69" s="2655" t="s">
        <v>2729</v>
      </c>
      <c r="B69" s="2659"/>
      <c r="C69" s="823" t="s">
        <v>2731</v>
      </c>
      <c r="D69" s="823" t="s">
        <v>2732</v>
      </c>
      <c r="E69" s="824" t="s">
        <v>2733</v>
      </c>
      <c r="F69" s="2656" t="s">
        <v>2734</v>
      </c>
      <c r="G69" s="823" t="s">
        <v>2755</v>
      </c>
      <c r="H69" s="2657" t="s">
        <v>2756</v>
      </c>
      <c r="I69" s="823" t="s">
        <v>2757</v>
      </c>
      <c r="J69" s="587" t="s">
        <v>2395</v>
      </c>
      <c r="K69" s="587" t="s">
        <v>2396</v>
      </c>
      <c r="L69" s="587" t="s">
        <v>2397</v>
      </c>
      <c r="M69" s="587" t="s">
        <v>2398</v>
      </c>
      <c r="N69" s="587" t="s">
        <v>2399</v>
      </c>
      <c r="O69" s="1458"/>
      <c r="P69" s="1458"/>
      <c r="Q69" s="1458"/>
      <c r="R69" s="1458"/>
      <c r="S69" s="1458"/>
      <c r="T69" s="1458"/>
      <c r="U69" s="1458"/>
      <c r="V69" s="1458"/>
      <c r="W69" s="1458"/>
      <c r="X69" s="1458"/>
      <c r="Y69" s="1458"/>
      <c r="Z69" s="1458"/>
      <c r="AA69" s="1459"/>
      <c r="AB69" s="1459"/>
      <c r="AC69" s="1459"/>
      <c r="AD69" s="1459"/>
      <c r="AE69" s="1459"/>
      <c r="AF69" s="1459"/>
      <c r="AG69" s="1459"/>
      <c r="AH69" s="2645"/>
      <c r="AI69" s="2645"/>
      <c r="AJ69" s="2645"/>
      <c r="AK69" s="2645"/>
    </row>
    <row r="70" spans="1:37" s="2646" customFormat="1" ht="51">
      <c r="A70" s="2655" t="s">
        <v>2760</v>
      </c>
      <c r="B70" s="2658" t="str">
        <f>估价对象房地状况!C15</f>
        <v>估价对象周边居住用地比例、居住小区规模和社区发展完善程度，综合评价居住社区成熟度一般</v>
      </c>
      <c r="C70" s="2554"/>
      <c r="D70" s="1372">
        <f t="shared" ref="D70:D78" si="20">SUMIF($J$69:$N$69,C70,J70:N70)</f>
        <v>0</v>
      </c>
      <c r="E70" s="829">
        <f>ROUND(SUM(D70:D78),4)</f>
        <v>0</v>
      </c>
      <c r="F70" s="2272"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5"/>
      <c r="AI70" s="2645"/>
      <c r="AJ70" s="2645"/>
      <c r="AK70" s="2645"/>
    </row>
    <row r="71" spans="1:37" s="2646" customFormat="1" ht="76.5">
      <c r="A71" s="2655" t="s">
        <v>2744</v>
      </c>
      <c r="B71" s="2659" t="str">
        <f>估价对象房地状况!C18</f>
        <v>估价对象周边公共交通包括：488路、499路、517路等公交线路，1公里以内有地铁6号线常营地铁站。综合评价交通便捷度好</v>
      </c>
      <c r="C71" s="2554"/>
      <c r="D71" s="1372">
        <f t="shared" si="20"/>
        <v>0</v>
      </c>
      <c r="E71" s="840"/>
      <c r="F71" s="266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5"/>
      <c r="AI71" s="2645"/>
      <c r="AJ71" s="2645"/>
      <c r="AK71" s="2645"/>
    </row>
    <row r="72" spans="1:37" s="2646" customFormat="1" ht="24">
      <c r="A72" s="2655" t="s">
        <v>2745</v>
      </c>
      <c r="B72" s="2659">
        <f>估价对象房地状况!C19</f>
        <v>0</v>
      </c>
      <c r="C72" s="2554"/>
      <c r="D72" s="1372">
        <f t="shared" si="20"/>
        <v>0</v>
      </c>
      <c r="E72" s="840"/>
      <c r="F72" s="266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5"/>
      <c r="AI72" s="2645"/>
      <c r="AJ72" s="2645"/>
      <c r="AK72" s="2645"/>
    </row>
    <row r="73" spans="1:37" s="2646" customFormat="1" ht="14.25">
      <c r="A73" s="2655" t="s">
        <v>2761</v>
      </c>
      <c r="B73" s="2659" t="str">
        <f>估价对象房地状况!C24</f>
        <v>城市主干道—常通路</v>
      </c>
      <c r="C73" s="2554"/>
      <c r="D73" s="1372">
        <f t="shared" si="20"/>
        <v>0</v>
      </c>
      <c r="E73" s="840"/>
      <c r="F73" s="266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5"/>
      <c r="AI73" s="2645"/>
      <c r="AJ73" s="2645"/>
      <c r="AK73" s="2645"/>
    </row>
    <row r="74" spans="1:37" s="2646" customFormat="1" ht="25.5">
      <c r="A74" s="2655" t="s">
        <v>2751</v>
      </c>
      <c r="B74" s="2663" t="str">
        <f>估价对象房地状况!C21</f>
        <v>估价对象所在区域公共配套设施齐备</v>
      </c>
      <c r="C74" s="2554"/>
      <c r="D74" s="1372">
        <f t="shared" si="20"/>
        <v>0</v>
      </c>
      <c r="E74" s="840"/>
      <c r="F74" s="266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5"/>
      <c r="AI74" s="2645"/>
      <c r="AJ74" s="2645"/>
      <c r="AK74" s="2645"/>
    </row>
    <row r="75" spans="1:37" s="2646" customFormat="1" ht="24">
      <c r="A75" s="2655" t="s">
        <v>2752</v>
      </c>
      <c r="B75" s="2663" t="str">
        <f>估价对象房地状况!C22</f>
        <v>七通</v>
      </c>
      <c r="C75" s="2554"/>
      <c r="D75" s="1372">
        <f t="shared" si="20"/>
        <v>0</v>
      </c>
      <c r="E75" s="840"/>
      <c r="F75" s="266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5"/>
      <c r="AI75" s="2645"/>
      <c r="AJ75" s="2645"/>
      <c r="AK75" s="2645"/>
    </row>
    <row r="76" spans="1:37" ht="24">
      <c r="A76" s="2655" t="s">
        <v>2749</v>
      </c>
      <c r="B76" s="2661" t="s">
        <v>2750</v>
      </c>
      <c r="C76" s="2554"/>
      <c r="D76" s="1372">
        <f t="shared" si="20"/>
        <v>0</v>
      </c>
      <c r="E76" s="840"/>
      <c r="F76" s="2668"/>
      <c r="G76" s="1373"/>
      <c r="H76" s="1377" t="str">
        <f t="shared" si="21"/>
        <v>——</v>
      </c>
      <c r="I76" s="828">
        <v>0.05</v>
      </c>
      <c r="J76" s="1374">
        <f t="shared" si="22"/>
        <v>0</v>
      </c>
      <c r="K76" s="1374">
        <f t="shared" si="23"/>
        <v>0</v>
      </c>
      <c r="L76" s="1374">
        <v>0</v>
      </c>
      <c r="M76" s="1374">
        <f t="shared" si="24"/>
        <v>0</v>
      </c>
      <c r="N76" s="1374">
        <f t="shared" si="24"/>
        <v>0</v>
      </c>
      <c r="Z76" s="2502"/>
      <c r="AA76" s="2569"/>
      <c r="AG76" s="2645"/>
      <c r="AK76" s="2569"/>
    </row>
    <row r="77" spans="1:37" ht="63.75">
      <c r="A77" s="2655" t="s">
        <v>2753</v>
      </c>
      <c r="B77" s="2658" t="str">
        <f>估价对象房地状况!C20</f>
        <v>区域自然环境：常营公园、五里桥公园；人文环境：北京科技大学（管庄校区）、北京政法职业学院；综合评价环境状况好</v>
      </c>
      <c r="C77" s="2554"/>
      <c r="D77" s="1372">
        <f t="shared" si="20"/>
        <v>0</v>
      </c>
      <c r="E77" s="840"/>
      <c r="F77" s="2668"/>
      <c r="G77" s="1373"/>
      <c r="H77" s="1377" t="str">
        <f t="shared" si="21"/>
        <v>——</v>
      </c>
      <c r="I77" s="828">
        <v>0.15</v>
      </c>
      <c r="J77" s="1374">
        <f t="shared" si="22"/>
        <v>0</v>
      </c>
      <c r="K77" s="1374">
        <f t="shared" si="23"/>
        <v>0</v>
      </c>
      <c r="L77" s="1374">
        <v>0</v>
      </c>
      <c r="M77" s="1374">
        <f t="shared" si="24"/>
        <v>0</v>
      </c>
      <c r="N77" s="1374">
        <f t="shared" si="24"/>
        <v>0</v>
      </c>
      <c r="Z77" s="2502"/>
      <c r="AA77" s="2569"/>
      <c r="AG77" s="2645"/>
      <c r="AK77" s="2569"/>
    </row>
    <row r="78" spans="1:37" ht="24.75" thickBot="1">
      <c r="A78" s="2664" t="s">
        <v>2762</v>
      </c>
      <c r="B78" s="2669"/>
      <c r="C78" s="2554"/>
      <c r="D78" s="1372">
        <f t="shared" si="20"/>
        <v>0</v>
      </c>
      <c r="E78" s="841"/>
      <c r="F78" s="2668"/>
      <c r="G78" s="1373"/>
      <c r="H78" s="1377" t="str">
        <f t="shared" si="21"/>
        <v>——</v>
      </c>
      <c r="I78" s="837">
        <v>0.04</v>
      </c>
      <c r="J78" s="1374">
        <f t="shared" si="22"/>
        <v>0</v>
      </c>
      <c r="K78" s="1374">
        <f t="shared" si="23"/>
        <v>0</v>
      </c>
      <c r="L78" s="1374">
        <v>0</v>
      </c>
      <c r="M78" s="1374">
        <f t="shared" si="24"/>
        <v>0</v>
      </c>
      <c r="N78" s="1374">
        <f t="shared" si="24"/>
        <v>0</v>
      </c>
      <c r="Z78" s="2502"/>
      <c r="AA78" s="2569"/>
      <c r="AG78" s="2645"/>
      <c r="AK78" s="2569"/>
    </row>
    <row r="79" spans="1:37" ht="15">
      <c r="A79" s="2650" t="s">
        <v>2763</v>
      </c>
      <c r="B79" s="2666">
        <f>1+E81</f>
        <v>1</v>
      </c>
      <c r="C79" s="817"/>
      <c r="D79" s="817"/>
      <c r="E79" s="818"/>
      <c r="F79" s="2653"/>
      <c r="G79" s="7"/>
      <c r="H79" s="7"/>
      <c r="I79" s="7"/>
      <c r="J79" s="9"/>
      <c r="K79" s="9"/>
      <c r="L79" s="9"/>
      <c r="M79" s="9"/>
      <c r="N79" s="9"/>
      <c r="Z79" s="2502"/>
      <c r="AA79" s="2569"/>
      <c r="AG79" s="2645"/>
      <c r="AK79" s="2569"/>
    </row>
    <row r="80" spans="1:37" ht="24.75">
      <c r="A80" s="2655" t="s">
        <v>2729</v>
      </c>
      <c r="B80" s="2659"/>
      <c r="C80" s="823" t="s">
        <v>2731</v>
      </c>
      <c r="D80" s="823" t="s">
        <v>2732</v>
      </c>
      <c r="E80" s="824" t="s">
        <v>2733</v>
      </c>
      <c r="F80" s="2656" t="s">
        <v>2734</v>
      </c>
      <c r="G80" s="823" t="s">
        <v>2755</v>
      </c>
      <c r="H80" s="2657" t="s">
        <v>2756</v>
      </c>
      <c r="I80" s="823" t="s">
        <v>2757</v>
      </c>
      <c r="J80" s="587" t="s">
        <v>2395</v>
      </c>
      <c r="K80" s="587" t="s">
        <v>2396</v>
      </c>
      <c r="L80" s="587" t="s">
        <v>2397</v>
      </c>
      <c r="M80" s="587" t="s">
        <v>2398</v>
      </c>
      <c r="N80" s="587" t="s">
        <v>2399</v>
      </c>
      <c r="Z80" s="2502"/>
      <c r="AA80" s="2569"/>
      <c r="AG80" s="2645"/>
      <c r="AK80" s="2569"/>
    </row>
    <row r="81" spans="1:37" ht="38.25">
      <c r="A81" s="2655" t="s">
        <v>2764</v>
      </c>
      <c r="B81" s="2659" t="str">
        <f>估价对象房地状况!G15</f>
        <v>估价对象位于XX开发区，园区建设成熟度XX，产业集聚程度XX</v>
      </c>
      <c r="C81" s="2554"/>
      <c r="D81" s="1372">
        <f t="shared" ref="D81:D88" si="25">SUMIF($J$80:$N$80,C81,J81:N81)</f>
        <v>0</v>
      </c>
      <c r="E81" s="829">
        <f>ROUND(SUM(D81:D88),4)</f>
        <v>0</v>
      </c>
      <c r="F81" s="2272"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69"/>
      <c r="AG81" s="2645"/>
      <c r="AK81" s="2569"/>
    </row>
    <row r="82" spans="1:37" ht="51">
      <c r="A82" s="2655" t="s">
        <v>2744</v>
      </c>
      <c r="B82" s="2659" t="str">
        <f>估价对象房地状况!G16</f>
        <v>估价对象周边道路状况、公共交通通达情况、停车便捷程度，综合评价交通便捷度较好</v>
      </c>
      <c r="C82" s="2554"/>
      <c r="D82" s="1372">
        <f t="shared" si="25"/>
        <v>0</v>
      </c>
      <c r="E82" s="840"/>
      <c r="F82" s="2668"/>
      <c r="G82" s="1373"/>
      <c r="H82" s="1377" t="str">
        <f t="shared" si="26"/>
        <v>——</v>
      </c>
      <c r="I82" s="828">
        <v>0.33</v>
      </c>
      <c r="J82" s="1374">
        <f t="shared" si="27"/>
        <v>0</v>
      </c>
      <c r="K82" s="1374">
        <f t="shared" si="28"/>
        <v>0</v>
      </c>
      <c r="L82" s="1374">
        <v>0</v>
      </c>
      <c r="M82" s="1374">
        <f t="shared" si="29"/>
        <v>0</v>
      </c>
      <c r="N82" s="1374">
        <f t="shared" si="29"/>
        <v>0</v>
      </c>
      <c r="Z82" s="2502"/>
      <c r="AA82" s="2569"/>
      <c r="AG82" s="2645"/>
      <c r="AK82" s="2569"/>
    </row>
    <row r="83" spans="1:37" ht="24">
      <c r="A83" s="2655" t="s">
        <v>2745</v>
      </c>
      <c r="B83" s="2659">
        <f>估价对象房地状况!G17</f>
        <v>0</v>
      </c>
      <c r="C83" s="2554"/>
      <c r="D83" s="1372">
        <f t="shared" si="25"/>
        <v>0</v>
      </c>
      <c r="E83" s="840"/>
      <c r="F83" s="2668"/>
      <c r="G83" s="1373"/>
      <c r="H83" s="1377" t="str">
        <f t="shared" si="26"/>
        <v>——</v>
      </c>
      <c r="I83" s="828">
        <v>0.05</v>
      </c>
      <c r="J83" s="1374">
        <f t="shared" si="27"/>
        <v>0</v>
      </c>
      <c r="K83" s="1374">
        <f t="shared" si="28"/>
        <v>0</v>
      </c>
      <c r="L83" s="1374">
        <v>0</v>
      </c>
      <c r="M83" s="1374">
        <f t="shared" si="29"/>
        <v>0</v>
      </c>
      <c r="N83" s="1374">
        <f t="shared" si="29"/>
        <v>0</v>
      </c>
      <c r="Z83" s="2502"/>
      <c r="AA83" s="2569"/>
      <c r="AG83" s="2645"/>
      <c r="AK83" s="2569"/>
    </row>
    <row r="84" spans="1:37" ht="14.25">
      <c r="A84" s="2655" t="s">
        <v>2761</v>
      </c>
      <c r="B84" s="2659">
        <f>估价对象房地状况!G22</f>
        <v>0</v>
      </c>
      <c r="C84" s="2554"/>
      <c r="D84" s="1372">
        <f t="shared" si="25"/>
        <v>0</v>
      </c>
      <c r="E84" s="840"/>
      <c r="F84" s="2668"/>
      <c r="G84" s="1373"/>
      <c r="H84" s="1377" t="str">
        <f t="shared" si="26"/>
        <v>——</v>
      </c>
      <c r="I84" s="828">
        <v>0.04</v>
      </c>
      <c r="J84" s="1374">
        <f t="shared" si="27"/>
        <v>0</v>
      </c>
      <c r="K84" s="1374">
        <f t="shared" si="28"/>
        <v>0</v>
      </c>
      <c r="L84" s="1374">
        <v>0</v>
      </c>
      <c r="M84" s="1374">
        <f t="shared" si="29"/>
        <v>0</v>
      </c>
      <c r="N84" s="1374">
        <f t="shared" si="29"/>
        <v>0</v>
      </c>
      <c r="Z84" s="2502"/>
      <c r="AA84" s="2569"/>
      <c r="AG84" s="2645"/>
      <c r="AK84" s="2569"/>
    </row>
    <row r="85" spans="1:37" ht="25.5">
      <c r="A85" s="2655" t="s">
        <v>2751</v>
      </c>
      <c r="B85" s="2663" t="str">
        <f>估价对象房地状况!G19</f>
        <v>估价对象所在区域公共配套设施齐备情况</v>
      </c>
      <c r="C85" s="2554"/>
      <c r="D85" s="1372">
        <f t="shared" si="25"/>
        <v>0</v>
      </c>
      <c r="E85" s="840"/>
      <c r="F85" s="2668"/>
      <c r="G85" s="1373"/>
      <c r="H85" s="1377" t="str">
        <f t="shared" si="26"/>
        <v>——</v>
      </c>
      <c r="I85" s="828">
        <v>0.06</v>
      </c>
      <c r="J85" s="1374">
        <f t="shared" si="27"/>
        <v>0</v>
      </c>
      <c r="K85" s="1374">
        <f t="shared" si="28"/>
        <v>0</v>
      </c>
      <c r="L85" s="1374">
        <v>0</v>
      </c>
      <c r="M85" s="1374">
        <f t="shared" si="29"/>
        <v>0</v>
      </c>
      <c r="N85" s="1374">
        <f t="shared" si="29"/>
        <v>0</v>
      </c>
      <c r="Z85" s="2502"/>
      <c r="AA85" s="2569"/>
      <c r="AG85" s="2645"/>
      <c r="AK85" s="2569"/>
    </row>
    <row r="86" spans="1:37" ht="25.5">
      <c r="A86" s="2655" t="s">
        <v>2752</v>
      </c>
      <c r="B86" s="2663" t="str">
        <f>估价对象房地状况!G20</f>
        <v>估价对象所在区域基础设施水平</v>
      </c>
      <c r="C86" s="2554"/>
      <c r="D86" s="1372">
        <f t="shared" si="25"/>
        <v>0</v>
      </c>
      <c r="E86" s="840"/>
      <c r="F86" s="2668"/>
      <c r="G86" s="1373"/>
      <c r="H86" s="1377" t="str">
        <f t="shared" si="26"/>
        <v>——</v>
      </c>
      <c r="I86" s="828">
        <v>0.15</v>
      </c>
      <c r="J86" s="1374">
        <f t="shared" si="27"/>
        <v>0</v>
      </c>
      <c r="K86" s="1374">
        <f t="shared" si="28"/>
        <v>0</v>
      </c>
      <c r="L86" s="1374">
        <v>0</v>
      </c>
      <c r="M86" s="1374">
        <f t="shared" si="29"/>
        <v>0</v>
      </c>
      <c r="N86" s="1374">
        <f t="shared" si="29"/>
        <v>0</v>
      </c>
      <c r="Z86" s="2502"/>
      <c r="AA86" s="2569"/>
      <c r="AG86" s="2645"/>
      <c r="AK86" s="2569"/>
    </row>
    <row r="87" spans="1:37" ht="24">
      <c r="A87" s="2655" t="s">
        <v>2749</v>
      </c>
      <c r="B87" s="2661" t="s">
        <v>2750</v>
      </c>
      <c r="C87" s="2554"/>
      <c r="D87" s="1372">
        <f t="shared" si="25"/>
        <v>0</v>
      </c>
      <c r="E87" s="840"/>
      <c r="F87" s="2668"/>
      <c r="G87" s="1373"/>
      <c r="H87" s="1377" t="str">
        <f t="shared" si="26"/>
        <v>——</v>
      </c>
      <c r="I87" s="828">
        <v>0.05</v>
      </c>
      <c r="J87" s="1374">
        <f t="shared" si="27"/>
        <v>0</v>
      </c>
      <c r="K87" s="1374">
        <f t="shared" si="28"/>
        <v>0</v>
      </c>
      <c r="L87" s="1374">
        <v>0</v>
      </c>
      <c r="M87" s="1374">
        <f t="shared" si="29"/>
        <v>0</v>
      </c>
      <c r="N87" s="1374">
        <f t="shared" si="29"/>
        <v>0</v>
      </c>
      <c r="Z87" s="2502"/>
      <c r="AA87" s="2569"/>
      <c r="AG87" s="2645"/>
      <c r="AK87" s="2569"/>
    </row>
    <row r="88" spans="1:37" ht="39" thickBot="1">
      <c r="A88" s="2664" t="s">
        <v>2765</v>
      </c>
      <c r="B88" s="2670" t="str">
        <f>估价对象房地状况!G18</f>
        <v>该园区内是否有污染型企业，绿化情况，卫生条件，整体环境状况判断</v>
      </c>
      <c r="C88" s="2671"/>
      <c r="D88" s="1378">
        <f t="shared" si="25"/>
        <v>0</v>
      </c>
      <c r="E88" s="841"/>
      <c r="F88" s="2668"/>
      <c r="G88" s="1373"/>
      <c r="H88" s="1377" t="str">
        <f t="shared" si="26"/>
        <v>——</v>
      </c>
      <c r="I88" s="837">
        <v>0.06</v>
      </c>
      <c r="J88" s="1374">
        <f t="shared" si="27"/>
        <v>0</v>
      </c>
      <c r="K88" s="1374">
        <f t="shared" si="28"/>
        <v>0</v>
      </c>
      <c r="L88" s="1374">
        <v>0</v>
      </c>
      <c r="M88" s="1374">
        <f t="shared" si="29"/>
        <v>0</v>
      </c>
      <c r="N88" s="1374">
        <f t="shared" si="29"/>
        <v>0</v>
      </c>
      <c r="Z88" s="2502"/>
      <c r="AA88" s="2569"/>
      <c r="AG88" s="2645"/>
      <c r="AK88" s="2569"/>
    </row>
    <row r="90" spans="1:37">
      <c r="A90" s="3265" t="s">
        <v>2766</v>
      </c>
      <c r="B90" s="3265"/>
      <c r="C90" s="3265"/>
      <c r="D90" s="3265"/>
      <c r="E90" s="3265"/>
      <c r="F90" s="3265"/>
      <c r="G90" s="3265"/>
      <c r="H90" s="3265"/>
      <c r="I90" s="3265"/>
      <c r="J90" s="3265"/>
      <c r="K90" s="2672"/>
      <c r="L90" s="2672"/>
      <c r="M90" s="2672"/>
      <c r="N90" s="2672"/>
    </row>
    <row r="91" spans="1:37">
      <c r="A91" s="3267" t="s">
        <v>2767</v>
      </c>
      <c r="B91" s="3267" t="s">
        <v>2768</v>
      </c>
      <c r="C91" s="2620" t="s">
        <v>2769</v>
      </c>
      <c r="D91" s="2621"/>
      <c r="E91" s="2621"/>
      <c r="F91" s="2621"/>
      <c r="G91" s="2621"/>
      <c r="H91" s="2621"/>
      <c r="I91" s="2621"/>
      <c r="J91" s="2673"/>
      <c r="K91" s="2674"/>
      <c r="L91" s="2674"/>
      <c r="M91" s="2674"/>
      <c r="N91" s="2674"/>
    </row>
    <row r="92" spans="1:37">
      <c r="A92" s="3267"/>
      <c r="B92" s="3267"/>
      <c r="C92" s="968" t="s">
        <v>2624</v>
      </c>
      <c r="D92" s="968" t="s">
        <v>2625</v>
      </c>
      <c r="E92" s="968" t="s">
        <v>2626</v>
      </c>
      <c r="F92" s="968" t="s">
        <v>2627</v>
      </c>
      <c r="G92" s="968" t="s">
        <v>2628</v>
      </c>
      <c r="H92" s="968" t="s">
        <v>2629</v>
      </c>
      <c r="I92" s="968" t="s">
        <v>2630</v>
      </c>
      <c r="J92" s="968" t="s">
        <v>2631</v>
      </c>
      <c r="K92" s="968" t="s">
        <v>2632</v>
      </c>
      <c r="L92" s="968" t="s">
        <v>2633</v>
      </c>
      <c r="M92" s="968" t="s">
        <v>2634</v>
      </c>
      <c r="N92" s="968" t="s">
        <v>2635</v>
      </c>
    </row>
    <row r="93" spans="1:37">
      <c r="A93" s="3268" t="s">
        <v>2770</v>
      </c>
      <c r="B93" s="2675">
        <v>1</v>
      </c>
      <c r="C93" s="2676">
        <v>1.9361999999999999</v>
      </c>
      <c r="D93" s="2676">
        <v>1.9361999999999999</v>
      </c>
      <c r="E93" s="2676">
        <v>1.8629</v>
      </c>
      <c r="F93" s="2676">
        <v>1.8629</v>
      </c>
      <c r="G93" s="2676">
        <v>1.8629</v>
      </c>
      <c r="H93" s="2676">
        <v>1.8629</v>
      </c>
      <c r="I93" s="2676">
        <v>1.8629</v>
      </c>
      <c r="J93" s="2676">
        <v>1.9419999999999999</v>
      </c>
      <c r="K93" s="2676">
        <v>1.9419999999999999</v>
      </c>
      <c r="L93" s="2676">
        <v>1.9419999999999999</v>
      </c>
      <c r="M93" s="2676">
        <v>1.9419999999999999</v>
      </c>
      <c r="N93" s="2676">
        <v>1.9419999999999999</v>
      </c>
    </row>
    <row r="94" spans="1:37">
      <c r="A94" s="3269"/>
      <c r="B94" s="2675">
        <v>2</v>
      </c>
      <c r="C94" s="2676">
        <v>1.4198</v>
      </c>
      <c r="D94" s="2676">
        <v>1.4198</v>
      </c>
      <c r="E94" s="2676">
        <v>1.3371999999999999</v>
      </c>
      <c r="F94" s="2676">
        <v>1.3371999999999999</v>
      </c>
      <c r="G94" s="2676">
        <v>1.3371999999999999</v>
      </c>
      <c r="H94" s="2676">
        <v>1.3371999999999999</v>
      </c>
      <c r="I94" s="2676">
        <v>1.3371999999999999</v>
      </c>
      <c r="J94" s="2676">
        <v>1.2799</v>
      </c>
      <c r="K94" s="2676">
        <v>1.2799</v>
      </c>
      <c r="L94" s="2676">
        <v>1.2799</v>
      </c>
      <c r="M94" s="2676">
        <v>1.2799</v>
      </c>
      <c r="N94" s="2676">
        <v>1.2799</v>
      </c>
    </row>
    <row r="95" spans="1:37">
      <c r="A95" s="3269"/>
      <c r="B95" s="2675">
        <v>3</v>
      </c>
      <c r="C95" s="2676">
        <v>1.1594</v>
      </c>
      <c r="D95" s="2676">
        <v>1.1594</v>
      </c>
      <c r="E95" s="2676">
        <v>1.0788</v>
      </c>
      <c r="F95" s="2676">
        <v>1.0788</v>
      </c>
      <c r="G95" s="2676">
        <v>1.0788</v>
      </c>
      <c r="H95" s="2676">
        <v>1.0788</v>
      </c>
      <c r="I95" s="2676">
        <v>1.0788</v>
      </c>
      <c r="J95" s="2676">
        <v>1.0072000000000001</v>
      </c>
      <c r="K95" s="2676">
        <v>1.0072000000000001</v>
      </c>
      <c r="L95" s="2676">
        <v>1.0072000000000001</v>
      </c>
      <c r="M95" s="2676">
        <v>1.0072000000000001</v>
      </c>
      <c r="N95" s="2676">
        <v>1.0072000000000001</v>
      </c>
    </row>
    <row r="96" spans="1:37">
      <c r="A96" s="3269"/>
      <c r="B96" s="2675">
        <v>4</v>
      </c>
      <c r="C96" s="2676">
        <v>0.96220000000000006</v>
      </c>
      <c r="D96" s="2676">
        <v>0.96220000000000006</v>
      </c>
      <c r="E96" s="2676">
        <v>0.86560000000000004</v>
      </c>
      <c r="F96" s="2676">
        <v>0.86560000000000004</v>
      </c>
      <c r="G96" s="2676">
        <v>0.86560000000000004</v>
      </c>
      <c r="H96" s="2676">
        <v>0.86560000000000004</v>
      </c>
      <c r="I96" s="2676">
        <v>0.86560000000000004</v>
      </c>
      <c r="J96" s="2676">
        <v>0.75249999999999995</v>
      </c>
      <c r="K96" s="2676">
        <v>0.75249999999999995</v>
      </c>
      <c r="L96" s="2676">
        <v>0.75249999999999995</v>
      </c>
      <c r="M96" s="2676">
        <v>0.75249999999999995</v>
      </c>
      <c r="N96" s="2676">
        <v>0.75249999999999995</v>
      </c>
    </row>
    <row r="97" spans="1:14">
      <c r="A97" s="3269"/>
      <c r="B97" s="2675">
        <v>5</v>
      </c>
      <c r="C97" s="2676">
        <v>0.8417</v>
      </c>
      <c r="D97" s="2676">
        <v>0.8417</v>
      </c>
      <c r="E97" s="2676">
        <v>0.73709999999999998</v>
      </c>
      <c r="F97" s="2676">
        <v>0.73709999999999998</v>
      </c>
      <c r="G97" s="2676">
        <v>0.73709999999999998</v>
      </c>
      <c r="H97" s="2676">
        <v>0.73709999999999998</v>
      </c>
      <c r="I97" s="2676">
        <v>0.73709999999999998</v>
      </c>
      <c r="J97" s="2676">
        <v>0.56589999999999996</v>
      </c>
      <c r="K97" s="2676">
        <v>0.56589999999999996</v>
      </c>
      <c r="L97" s="2676">
        <v>0.56589999999999996</v>
      </c>
      <c r="M97" s="2676">
        <v>0.56589999999999996</v>
      </c>
      <c r="N97" s="2676">
        <v>0.56589999999999996</v>
      </c>
    </row>
    <row r="98" spans="1:14">
      <c r="A98" s="3269"/>
      <c r="B98" s="2675">
        <v>6</v>
      </c>
      <c r="C98" s="2676">
        <v>0.76080000000000003</v>
      </c>
      <c r="D98" s="2676">
        <v>0.76080000000000003</v>
      </c>
      <c r="E98" s="2676">
        <v>0.6482</v>
      </c>
      <c r="F98" s="2676">
        <v>0.6482</v>
      </c>
      <c r="G98" s="2676">
        <v>0.6482</v>
      </c>
      <c r="H98" s="2676">
        <v>0.6482</v>
      </c>
      <c r="I98" s="2676">
        <v>0.6482</v>
      </c>
      <c r="J98" s="2676">
        <v>0.45250000000000001</v>
      </c>
      <c r="K98" s="2676">
        <v>0.45250000000000001</v>
      </c>
      <c r="L98" s="2676">
        <v>0.45250000000000001</v>
      </c>
      <c r="M98" s="2676">
        <v>0.45250000000000001</v>
      </c>
      <c r="N98" s="2676">
        <v>0.45250000000000001</v>
      </c>
    </row>
    <row r="99" spans="1:14">
      <c r="A99" s="3269"/>
      <c r="B99" s="2675" t="s">
        <v>2640</v>
      </c>
      <c r="C99" s="2677">
        <f>$I$3</f>
        <v>1</v>
      </c>
      <c r="D99" s="2677">
        <f t="shared" ref="D99:M99" si="30">$I$3</f>
        <v>1</v>
      </c>
      <c r="E99" s="2677">
        <f t="shared" si="30"/>
        <v>1</v>
      </c>
      <c r="F99" s="2677">
        <f t="shared" si="30"/>
        <v>1</v>
      </c>
      <c r="G99" s="2677">
        <f t="shared" si="30"/>
        <v>1</v>
      </c>
      <c r="H99" s="2677">
        <f t="shared" si="30"/>
        <v>1</v>
      </c>
      <c r="I99" s="2677">
        <f t="shared" si="30"/>
        <v>1</v>
      </c>
      <c r="J99" s="2677">
        <f t="shared" si="30"/>
        <v>1</v>
      </c>
      <c r="K99" s="2677">
        <f t="shared" si="30"/>
        <v>1</v>
      </c>
      <c r="L99" s="2677">
        <f t="shared" si="30"/>
        <v>1</v>
      </c>
      <c r="M99" s="2677">
        <f t="shared" si="30"/>
        <v>1</v>
      </c>
      <c r="N99" s="2677">
        <f>$I$3</f>
        <v>1</v>
      </c>
    </row>
    <row r="100" spans="1:14">
      <c r="A100" s="3270"/>
      <c r="B100" s="2675">
        <v>7</v>
      </c>
      <c r="C100" s="2678">
        <f>(-0.163*(C99^2)-0.59*C99+7617)*(10^(-4))</f>
        <v>0.76162470000000004</v>
      </c>
      <c r="D100" s="2678">
        <f>(-0.163*(D99^2)-0.59*D99+7617)*(10^(-4))</f>
        <v>0.76162470000000004</v>
      </c>
      <c r="E100" s="2678">
        <f>(-0.161*(E99^2)-7.509*E99+6533)*(10^(-4))</f>
        <v>0.65253300000000003</v>
      </c>
      <c r="F100" s="2678">
        <f>(-0.161*(F99^2)-7.509*F99+6533)*(10^(-4))</f>
        <v>0.65253300000000003</v>
      </c>
      <c r="G100" s="2678">
        <f>(-0.161*(G99^2)-7.509*G99+6533)*(10^(-4))</f>
        <v>0.65253300000000003</v>
      </c>
      <c r="H100" s="2678">
        <f>(-0.161*(H99^2)-7.509*H99+6533)*(10^(-4))</f>
        <v>0.65253300000000003</v>
      </c>
      <c r="I100" s="2678">
        <f>(-0.161*(I99^2)-7.509*I99+6533)*(10^(-4))</f>
        <v>0.65253300000000003</v>
      </c>
      <c r="J100" s="2678">
        <f>(-0.214*(J99^2)-21.991*J99+4665)*(10^(-4))</f>
        <v>0.46427950000000001</v>
      </c>
      <c r="K100" s="2678">
        <f>(-0.214*(K99^2)-21.991*K99+4665)*(10^(-4))</f>
        <v>0.46427950000000001</v>
      </c>
      <c r="L100" s="2678">
        <f>(-0.214*(L99^2)-21.991*L99+4665)*(10^(-4))</f>
        <v>0.46427950000000001</v>
      </c>
      <c r="M100" s="2678">
        <f>(-0.214*(M99^2)-21.991*M99+4665)*(10^(-4))</f>
        <v>0.46427950000000001</v>
      </c>
      <c r="N100" s="2678">
        <f>(-0.214*(N99^2)-21.991*N99+4665)*(10^(-4))</f>
        <v>0.46427950000000001</v>
      </c>
    </row>
    <row r="101" spans="1:14">
      <c r="A101" s="3268" t="s">
        <v>2771</v>
      </c>
      <c r="B101" s="2679" t="s">
        <v>2772</v>
      </c>
      <c r="C101" s="2680">
        <f>$G$3</f>
        <v>0</v>
      </c>
      <c r="D101" s="2680">
        <f t="shared" ref="D101:N101" si="31">$G$3</f>
        <v>0</v>
      </c>
      <c r="E101" s="2680">
        <f t="shared" si="31"/>
        <v>0</v>
      </c>
      <c r="F101" s="2680">
        <f t="shared" si="31"/>
        <v>0</v>
      </c>
      <c r="G101" s="2680">
        <f t="shared" si="31"/>
        <v>0</v>
      </c>
      <c r="H101" s="2680">
        <f t="shared" si="31"/>
        <v>0</v>
      </c>
      <c r="I101" s="2680">
        <f t="shared" si="31"/>
        <v>0</v>
      </c>
      <c r="J101" s="2680">
        <f t="shared" si="31"/>
        <v>0</v>
      </c>
      <c r="K101" s="2680">
        <f t="shared" si="31"/>
        <v>0</v>
      </c>
      <c r="L101" s="2680">
        <f t="shared" si="31"/>
        <v>0</v>
      </c>
      <c r="M101" s="2680">
        <f t="shared" si="31"/>
        <v>0</v>
      </c>
      <c r="N101" s="2680">
        <f t="shared" si="31"/>
        <v>0</v>
      </c>
    </row>
    <row r="102" spans="1:14">
      <c r="A102" s="3269"/>
      <c r="B102" s="2675">
        <v>1</v>
      </c>
      <c r="C102" s="2676" t="e">
        <f>1.9362/C101</f>
        <v>#DIV/0!</v>
      </c>
      <c r="D102" s="2676" t="e">
        <f>1.9362/D101</f>
        <v>#DIV/0!</v>
      </c>
      <c r="E102" s="2676" t="e">
        <f>1.8629/E101</f>
        <v>#DIV/0!</v>
      </c>
      <c r="F102" s="2676" t="e">
        <f>1.8629/F101</f>
        <v>#DIV/0!</v>
      </c>
      <c r="G102" s="2676" t="e">
        <f>1.8629/G101</f>
        <v>#DIV/0!</v>
      </c>
      <c r="H102" s="2676" t="e">
        <f>1.8629/H101</f>
        <v>#DIV/0!</v>
      </c>
      <c r="I102" s="2676" t="e">
        <f>1.8629/I101</f>
        <v>#DIV/0!</v>
      </c>
      <c r="J102" s="2676" t="e">
        <f>1.942/J101</f>
        <v>#DIV/0!</v>
      </c>
      <c r="K102" s="2676" t="e">
        <f>1.942/K101</f>
        <v>#DIV/0!</v>
      </c>
      <c r="L102" s="2676" t="e">
        <f>1.942/L101</f>
        <v>#DIV/0!</v>
      </c>
      <c r="M102" s="2676" t="e">
        <f>1.942/M101</f>
        <v>#DIV/0!</v>
      </c>
      <c r="N102" s="2676" t="e">
        <f>1.942/N101</f>
        <v>#DIV/0!</v>
      </c>
    </row>
    <row r="103" spans="1:14">
      <c r="A103" s="3269"/>
      <c r="B103" s="2675">
        <v>2</v>
      </c>
      <c r="C103" s="2676" t="e">
        <f>1.4198/C101</f>
        <v>#DIV/0!</v>
      </c>
      <c r="D103" s="2676" t="e">
        <f>1.4198/D101</f>
        <v>#DIV/0!</v>
      </c>
      <c r="E103" s="2676" t="e">
        <f>1.3372/E101</f>
        <v>#DIV/0!</v>
      </c>
      <c r="F103" s="2676" t="e">
        <f>1.3372/F101</f>
        <v>#DIV/0!</v>
      </c>
      <c r="G103" s="2676" t="e">
        <f>1.3372/G101</f>
        <v>#DIV/0!</v>
      </c>
      <c r="H103" s="2676" t="e">
        <f>1.3372/H101</f>
        <v>#DIV/0!</v>
      </c>
      <c r="I103" s="2676" t="e">
        <f>1.3372/I101</f>
        <v>#DIV/0!</v>
      </c>
      <c r="J103" s="2676" t="e">
        <f>1.2799/J101</f>
        <v>#DIV/0!</v>
      </c>
      <c r="K103" s="2676" t="e">
        <f>1.2799/K101</f>
        <v>#DIV/0!</v>
      </c>
      <c r="L103" s="2676" t="e">
        <f>1.2799/L101</f>
        <v>#DIV/0!</v>
      </c>
      <c r="M103" s="2676" t="e">
        <f>1.2799/M101</f>
        <v>#DIV/0!</v>
      </c>
      <c r="N103" s="2676" t="e">
        <f>1.2799/N101</f>
        <v>#DIV/0!</v>
      </c>
    </row>
    <row r="104" spans="1:14">
      <c r="A104" s="3269"/>
      <c r="B104" s="2675">
        <v>3</v>
      </c>
      <c r="C104" s="2676" t="e">
        <f>1.1594/C101</f>
        <v>#DIV/0!</v>
      </c>
      <c r="D104" s="2676" t="e">
        <f>1.1594/D101</f>
        <v>#DIV/0!</v>
      </c>
      <c r="E104" s="2676" t="e">
        <f>1.0788/E101</f>
        <v>#DIV/0!</v>
      </c>
      <c r="F104" s="2676" t="e">
        <f>1.0788/F101</f>
        <v>#DIV/0!</v>
      </c>
      <c r="G104" s="2676" t="e">
        <f>1.0788/G101</f>
        <v>#DIV/0!</v>
      </c>
      <c r="H104" s="2676" t="e">
        <f>1.0788/H101</f>
        <v>#DIV/0!</v>
      </c>
      <c r="I104" s="2676" t="e">
        <f>1.0788/I101</f>
        <v>#DIV/0!</v>
      </c>
      <c r="J104" s="2676" t="e">
        <f>1.0072/J101</f>
        <v>#DIV/0!</v>
      </c>
      <c r="K104" s="2676" t="e">
        <f>1.0072/K101</f>
        <v>#DIV/0!</v>
      </c>
      <c r="L104" s="2676" t="e">
        <f>1.0072/L101</f>
        <v>#DIV/0!</v>
      </c>
      <c r="M104" s="2676" t="e">
        <f>1.0072/M101</f>
        <v>#DIV/0!</v>
      </c>
      <c r="N104" s="2676" t="e">
        <f>1.0072/N101</f>
        <v>#DIV/0!</v>
      </c>
    </row>
    <row r="105" spans="1:14">
      <c r="A105" s="3269"/>
      <c r="B105" s="2675">
        <v>4</v>
      </c>
      <c r="C105" s="2676" t="e">
        <f>0.9622/C101</f>
        <v>#DIV/0!</v>
      </c>
      <c r="D105" s="2676" t="e">
        <f>0.9622/D101</f>
        <v>#DIV/0!</v>
      </c>
      <c r="E105" s="2676" t="e">
        <f>0.8656/E101</f>
        <v>#DIV/0!</v>
      </c>
      <c r="F105" s="2676" t="e">
        <f>0.8656/F101</f>
        <v>#DIV/0!</v>
      </c>
      <c r="G105" s="2676" t="e">
        <f>0.8656/G101</f>
        <v>#DIV/0!</v>
      </c>
      <c r="H105" s="2676" t="e">
        <f>0.8656/H101</f>
        <v>#DIV/0!</v>
      </c>
      <c r="I105" s="2676" t="e">
        <f>0.8656/I101</f>
        <v>#DIV/0!</v>
      </c>
      <c r="J105" s="2676" t="e">
        <f>0.7525/J101</f>
        <v>#DIV/0!</v>
      </c>
      <c r="K105" s="2676" t="e">
        <f>0.7525/K101</f>
        <v>#DIV/0!</v>
      </c>
      <c r="L105" s="2676" t="e">
        <f>0.7525/L101</f>
        <v>#DIV/0!</v>
      </c>
      <c r="M105" s="2676" t="e">
        <f>0.7525/M101</f>
        <v>#DIV/0!</v>
      </c>
      <c r="N105" s="2676" t="e">
        <f>0.7525/N101</f>
        <v>#DIV/0!</v>
      </c>
    </row>
    <row r="106" spans="1:14">
      <c r="A106" s="3269"/>
      <c r="B106" s="2675">
        <v>5</v>
      </c>
      <c r="C106" s="2676" t="e">
        <f>0.8417/C101</f>
        <v>#DIV/0!</v>
      </c>
      <c r="D106" s="2676" t="e">
        <f>0.8417/D101</f>
        <v>#DIV/0!</v>
      </c>
      <c r="E106" s="2676" t="e">
        <f>0.7371/E101</f>
        <v>#DIV/0!</v>
      </c>
      <c r="F106" s="2676" t="e">
        <f>0.7371/F101</f>
        <v>#DIV/0!</v>
      </c>
      <c r="G106" s="2676" t="e">
        <f>0.7371/G101</f>
        <v>#DIV/0!</v>
      </c>
      <c r="H106" s="2676" t="e">
        <f>0.7371/H101</f>
        <v>#DIV/0!</v>
      </c>
      <c r="I106" s="2676" t="e">
        <f>0.7371/I101</f>
        <v>#DIV/0!</v>
      </c>
      <c r="J106" s="2676" t="e">
        <f>0.5659/J101</f>
        <v>#DIV/0!</v>
      </c>
      <c r="K106" s="2676" t="e">
        <f>0.5659/K101</f>
        <v>#DIV/0!</v>
      </c>
      <c r="L106" s="2676" t="e">
        <f>0.5659/L101</f>
        <v>#DIV/0!</v>
      </c>
      <c r="M106" s="2676" t="e">
        <f>0.5659/M101</f>
        <v>#DIV/0!</v>
      </c>
      <c r="N106" s="2676" t="e">
        <f>0.5659/N101</f>
        <v>#DIV/0!</v>
      </c>
    </row>
    <row r="107" spans="1:14">
      <c r="A107" s="3269"/>
      <c r="B107" s="2675">
        <v>6</v>
      </c>
      <c r="C107" s="2676" t="e">
        <f>0.7608/C101</f>
        <v>#DIV/0!</v>
      </c>
      <c r="D107" s="2676" t="e">
        <f>0.7608/D101</f>
        <v>#DIV/0!</v>
      </c>
      <c r="E107" s="2676" t="e">
        <f>0.6482/E101</f>
        <v>#DIV/0!</v>
      </c>
      <c r="F107" s="2676" t="e">
        <f>0.6482/F101</f>
        <v>#DIV/0!</v>
      </c>
      <c r="G107" s="2676" t="e">
        <f>0.6482/G101</f>
        <v>#DIV/0!</v>
      </c>
      <c r="H107" s="2676" t="e">
        <f>0.6482/H101</f>
        <v>#DIV/0!</v>
      </c>
      <c r="I107" s="2676" t="e">
        <f>0.6482/I101</f>
        <v>#DIV/0!</v>
      </c>
      <c r="J107" s="2676" t="e">
        <f>0.4525/J101</f>
        <v>#DIV/0!</v>
      </c>
      <c r="K107" s="2676" t="e">
        <f>0.4525/K101</f>
        <v>#DIV/0!</v>
      </c>
      <c r="L107" s="2676" t="e">
        <f>0.4525/L101</f>
        <v>#DIV/0!</v>
      </c>
      <c r="M107" s="2676" t="e">
        <f>0.4525/M101</f>
        <v>#DIV/0!</v>
      </c>
      <c r="N107" s="2676" t="e">
        <f>0.4525/N101</f>
        <v>#DIV/0!</v>
      </c>
    </row>
    <row r="108" spans="1:14">
      <c r="A108" s="3269"/>
      <c r="B108" s="3271" t="s">
        <v>2773</v>
      </c>
      <c r="C108" s="2677">
        <f>C99</f>
        <v>1</v>
      </c>
      <c r="D108" s="2677">
        <f t="shared" ref="D108:N108" si="32">D99</f>
        <v>1</v>
      </c>
      <c r="E108" s="2677">
        <f t="shared" si="32"/>
        <v>1</v>
      </c>
      <c r="F108" s="2677">
        <f t="shared" si="32"/>
        <v>1</v>
      </c>
      <c r="G108" s="2677">
        <f t="shared" si="32"/>
        <v>1</v>
      </c>
      <c r="H108" s="2677">
        <f t="shared" si="32"/>
        <v>1</v>
      </c>
      <c r="I108" s="2677">
        <f t="shared" si="32"/>
        <v>1</v>
      </c>
      <c r="J108" s="2677">
        <f t="shared" si="32"/>
        <v>1</v>
      </c>
      <c r="K108" s="2677">
        <f t="shared" si="32"/>
        <v>1</v>
      </c>
      <c r="L108" s="2677">
        <f t="shared" si="32"/>
        <v>1</v>
      </c>
      <c r="M108" s="2677">
        <f t="shared" si="32"/>
        <v>1</v>
      </c>
      <c r="N108" s="2677">
        <f t="shared" si="32"/>
        <v>1</v>
      </c>
    </row>
    <row r="109" spans="1:14">
      <c r="A109" s="3270"/>
      <c r="B109" s="3272"/>
      <c r="C109" s="2678" t="e">
        <f>(-0.163*(C108^2)-0.59*C108+7617)*(10^(-4))/C101</f>
        <v>#DIV/0!</v>
      </c>
      <c r="D109" s="2678" t="e">
        <f>(-0.163*(D108^2)-0.59*D108+7617)*(10^(-4))/D101</f>
        <v>#DIV/0!</v>
      </c>
      <c r="E109" s="2678" t="e">
        <f>(-0.161*(E108^2)-7.509*E108+6533)*(10^(-4))/E101</f>
        <v>#DIV/0!</v>
      </c>
      <c r="F109" s="2678" t="e">
        <f>(-0.161*(F108^2)-7.509*F108+6533)*(10^(-4))/F101</f>
        <v>#DIV/0!</v>
      </c>
      <c r="G109" s="2678" t="e">
        <f>(-0.161*(G108^2)-7.509*G108+6533)*(10^(-4))/G101</f>
        <v>#DIV/0!</v>
      </c>
      <c r="H109" s="2678" t="e">
        <f>(-0.161*(H108^2)-7.509*H108+6533)*(10^(-4))/H101</f>
        <v>#DIV/0!</v>
      </c>
      <c r="I109" s="2678" t="e">
        <f>(-0.161*(I108^2)-7.509*I108+6533)*(10^(-4))/I101</f>
        <v>#DIV/0!</v>
      </c>
      <c r="J109" s="2678" t="e">
        <f>(-0.214*(J108^2)-21.991*J108+4665)*(10^(-4))/J101</f>
        <v>#DIV/0!</v>
      </c>
      <c r="K109" s="2678" t="e">
        <f>(-0.214*(K108^2)-21.991*K108+4665)*(10^(-4))/K101</f>
        <v>#DIV/0!</v>
      </c>
      <c r="L109" s="2678" t="e">
        <f>(-0.214*(L108^2)-21.991*L108+4665)*(10^(-4))/L101</f>
        <v>#DIV/0!</v>
      </c>
      <c r="M109" s="2678" t="e">
        <f>(-0.214*(M108^2)-21.991*M108+4665)*(10^(-4))/M101</f>
        <v>#DIV/0!</v>
      </c>
      <c r="N109" s="2678" t="e">
        <f>(-0.214*(N108^2)-21.991*N108+4665)*(10^(-4))/N101</f>
        <v>#DIV/0!</v>
      </c>
    </row>
    <row r="110" spans="1:14">
      <c r="A110" s="3266" t="s">
        <v>2774</v>
      </c>
      <c r="B110" s="3266"/>
      <c r="C110" s="3266"/>
      <c r="D110" s="3266"/>
      <c r="E110" s="3266"/>
      <c r="F110" s="3266"/>
      <c r="G110" s="3266"/>
      <c r="H110" s="3266"/>
      <c r="I110" s="3266"/>
      <c r="J110" s="3266"/>
      <c r="K110" s="2681"/>
      <c r="L110" s="2681"/>
      <c r="M110" s="2681"/>
      <c r="N110" s="2681"/>
    </row>
    <row r="112" spans="1:14" ht="13.5" thickBot="1"/>
    <row r="113" spans="1:13" ht="25.5" thickBot="1">
      <c r="A113" s="928" t="s">
        <v>2775</v>
      </c>
      <c r="B113" s="1375">
        <f>G3</f>
        <v>0</v>
      </c>
      <c r="C113" s="929" t="s">
        <v>2776</v>
      </c>
      <c r="D113" s="930">
        <f>SUMPRODUCT((A115:A118=F113)*(B114:M114=H113)*B115:M118)</f>
        <v>0</v>
      </c>
      <c r="E113" s="2683" t="s">
        <v>2663</v>
      </c>
      <c r="F113" s="2684" t="str">
        <f>E2</f>
        <v>商业</v>
      </c>
      <c r="G113" s="2683" t="s">
        <v>2598</v>
      </c>
      <c r="H113" s="2684">
        <f>G2</f>
        <v>0</v>
      </c>
      <c r="I113" s="2683"/>
      <c r="J113" s="2685"/>
      <c r="K113" s="2685"/>
      <c r="L113" s="2685"/>
      <c r="M113" s="2685"/>
    </row>
    <row r="114" spans="1:13">
      <c r="A114" s="933"/>
      <c r="B114" s="2686" t="s">
        <v>2777</v>
      </c>
      <c r="C114" s="2686" t="s">
        <v>2778</v>
      </c>
      <c r="D114" s="2686" t="s">
        <v>2779</v>
      </c>
      <c r="E114" s="2687" t="s">
        <v>2780</v>
      </c>
      <c r="F114" s="2687" t="s">
        <v>2781</v>
      </c>
      <c r="G114" s="2687" t="s">
        <v>2782</v>
      </c>
      <c r="H114" s="2688" t="s">
        <v>2783</v>
      </c>
      <c r="I114" s="2688" t="s">
        <v>2784</v>
      </c>
      <c r="J114" s="2689" t="s">
        <v>2785</v>
      </c>
      <c r="K114" s="2689" t="s">
        <v>2786</v>
      </c>
      <c r="L114" s="2689" t="s">
        <v>2787</v>
      </c>
      <c r="M114" s="2690" t="s">
        <v>2788</v>
      </c>
    </row>
    <row r="115" spans="1:13">
      <c r="A115" s="934" t="s">
        <v>2664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2665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2666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2667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278" t="s">
        <v>783</v>
      </c>
      <c r="B1" s="3278"/>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估价对象位于定福庄商圈，周边商业氛围成熟，人流量大，商业繁华度好</v>
      </c>
      <c r="C4" s="807" t="s">
        <v>713</v>
      </c>
      <c r="D4" s="827">
        <f>SUMIF($I$3:$M$3,C4,I4:M4)</f>
        <v>0.02</v>
      </c>
      <c r="E4" s="828">
        <v>0.33</v>
      </c>
      <c r="F4" s="829">
        <f>D4*E4+D5*E5+D6*E6+D7*E7+D8*E8+D9*E9+D10*E10+D11*E11+D12*E12</f>
        <v>1.29E-2</v>
      </c>
      <c r="G4" s="830">
        <f>IF(基准地价修正!E2="商业",SUMIF(基准地价修正!L1:L12,基准地价修正!G2,基准地价修正!N1:N12),"——")</f>
        <v>0</v>
      </c>
      <c r="H4" s="965">
        <v>0.02</v>
      </c>
      <c r="I4" s="806">
        <f>J4+$H4</f>
        <v>0.04</v>
      </c>
      <c r="J4" s="806">
        <f>$K4+$H4</f>
        <v>0.02</v>
      </c>
      <c r="K4" s="805">
        <v>0</v>
      </c>
      <c r="L4" s="806">
        <f t="shared" ref="L4:M12" si="0">K4-$H4</f>
        <v>-0.02</v>
      </c>
      <c r="M4" s="806">
        <f t="shared" si="0"/>
        <v>-0.04</v>
      </c>
    </row>
    <row r="5" spans="1:20" ht="36">
      <c r="A5" s="820" t="s">
        <v>714</v>
      </c>
      <c r="B5" s="831" t="str">
        <f>估价对象房地状况!C6</f>
        <v>估价对象周边公共交通包括：488路、499路、517路等公交线路，1公里以内有地铁6号线常营地铁站。综合评价交通便捷度好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t="str">
        <f>估价对象房地状况!C10</f>
        <v>城市主干道—常通路</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区域自然环境：常营公园、五里桥公园；人文环境：北京科技大学（管庄校区）、北京政法职业学院；综合评价环境状况好</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估价对象周边公共交通包括：488路、499路、517路等公交线路，1公里以内有地铁6号线常营地铁站。综合评价交通便捷度好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t="str">
        <f>估价对象房地状况!C10</f>
        <v>城市主干道—常通路</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区域自然环境：常营公园、五里桥公园；人文环境：北京科技大学（管庄校区）、北京政法职业学院；综合评价环境状况好</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估价对象周边公共交通包括：488路、499路、517路等公交线路，1公里以内有地铁6号线常营地铁站。综合评价交通便捷度好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城市主干道—常通路</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36">
      <c r="A33" s="820" t="s">
        <v>721</v>
      </c>
      <c r="B33" s="826" t="str">
        <f>估价对象房地状况!C9</f>
        <v>区域自然环境：常营公园、五里桥公园；人文环境：北京科技大学（管庄校区）、北京政法职业学院；综合评价环境状况好</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278" t="s">
        <v>105</v>
      </c>
      <c r="B1" s="3278"/>
      <c r="C1" s="3278"/>
      <c r="D1" s="3278"/>
      <c r="E1" s="3278"/>
      <c r="F1" s="327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279" t="s">
        <v>118</v>
      </c>
      <c r="B2" s="3279"/>
      <c r="C2" s="3279"/>
      <c r="D2" s="3279"/>
      <c r="E2" s="3279"/>
      <c r="F2" s="327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28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28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2810</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282" t="s">
        <v>132</v>
      </c>
      <c r="B18" s="907" t="s">
        <v>517</v>
      </c>
      <c r="C18" s="908" t="s">
        <v>518</v>
      </c>
      <c r="D18" s="909"/>
      <c r="E18" s="907">
        <v>1</v>
      </c>
      <c r="F18" s="910" t="s">
        <v>519</v>
      </c>
      <c r="G18" s="911"/>
      <c r="H18" s="903"/>
      <c r="I18" s="903"/>
    </row>
    <row r="19" spans="1:9" s="912" customFormat="1" ht="19.5" customHeight="1">
      <c r="A19" s="3282"/>
      <c r="B19" s="3282" t="s">
        <v>520</v>
      </c>
      <c r="C19" s="908" t="s">
        <v>521</v>
      </c>
      <c r="D19" s="909"/>
      <c r="E19" s="907">
        <v>0.9</v>
      </c>
      <c r="F19" s="910" t="s">
        <v>522</v>
      </c>
      <c r="G19" s="911"/>
      <c r="H19" s="903"/>
      <c r="I19" s="903"/>
    </row>
    <row r="20" spans="1:9" s="912" customFormat="1" ht="19.5" customHeight="1">
      <c r="A20" s="3282"/>
      <c r="B20" s="3282"/>
      <c r="C20" s="908" t="s">
        <v>523</v>
      </c>
      <c r="D20" s="909"/>
      <c r="E20" s="907">
        <v>1.1000000000000001</v>
      </c>
      <c r="F20" s="910" t="s">
        <v>524</v>
      </c>
      <c r="G20" s="911"/>
      <c r="H20" s="903"/>
      <c r="I20" s="903"/>
    </row>
    <row r="21" spans="1:9" s="912" customFormat="1" ht="19.5" customHeight="1">
      <c r="A21" s="3282"/>
      <c r="B21" s="3282"/>
      <c r="C21" s="908" t="s">
        <v>525</v>
      </c>
      <c r="D21" s="909"/>
      <c r="E21" s="907">
        <v>0.8</v>
      </c>
      <c r="F21" s="910" t="s">
        <v>526</v>
      </c>
      <c r="G21" s="911"/>
      <c r="H21" s="903"/>
      <c r="I21" s="903"/>
    </row>
    <row r="22" spans="1:9" s="912" customFormat="1" ht="19.5" customHeight="1">
      <c r="A22" s="3282"/>
      <c r="B22" s="3282"/>
      <c r="C22" s="908" t="s">
        <v>527</v>
      </c>
      <c r="D22" s="909"/>
      <c r="E22" s="907">
        <v>0.5</v>
      </c>
      <c r="F22" s="910"/>
      <c r="G22" s="911"/>
      <c r="H22" s="903"/>
      <c r="I22" s="903"/>
    </row>
    <row r="23" spans="1:9" s="912" customFormat="1" ht="19.5" customHeight="1">
      <c r="A23" s="3282" t="s">
        <v>133</v>
      </c>
      <c r="B23" s="907" t="s">
        <v>517</v>
      </c>
      <c r="C23" s="908" t="s">
        <v>528</v>
      </c>
      <c r="D23" s="909"/>
      <c r="E23" s="907">
        <v>1</v>
      </c>
      <c r="F23" s="910" t="s">
        <v>529</v>
      </c>
      <c r="G23" s="911"/>
      <c r="H23" s="903"/>
      <c r="I23" s="903"/>
    </row>
    <row r="24" spans="1:9" s="912" customFormat="1" ht="19.5" customHeight="1">
      <c r="A24" s="3282"/>
      <c r="B24" s="3282" t="s">
        <v>520</v>
      </c>
      <c r="C24" s="908" t="s">
        <v>530</v>
      </c>
      <c r="D24" s="909"/>
      <c r="E24" s="907">
        <v>0.5</v>
      </c>
      <c r="F24" s="910"/>
      <c r="G24" s="911"/>
      <c r="H24" s="903"/>
      <c r="I24" s="903"/>
    </row>
    <row r="25" spans="1:9" s="912" customFormat="1" ht="19.5" customHeight="1">
      <c r="A25" s="3282"/>
      <c r="B25" s="3282"/>
      <c r="C25" s="908" t="s">
        <v>531</v>
      </c>
      <c r="D25" s="909"/>
      <c r="E25" s="907">
        <v>1.1000000000000001</v>
      </c>
      <c r="F25" s="910"/>
      <c r="G25" s="911"/>
      <c r="H25" s="903"/>
      <c r="I25" s="903"/>
    </row>
    <row r="26" spans="1:9" s="912" customFormat="1" ht="19.5" customHeight="1">
      <c r="A26" s="3282"/>
      <c r="B26" s="3282"/>
      <c r="C26" s="908" t="s">
        <v>532</v>
      </c>
      <c r="D26" s="909"/>
      <c r="E26" s="907">
        <v>1.1000000000000001</v>
      </c>
      <c r="F26" s="910"/>
      <c r="G26" s="911"/>
      <c r="H26" s="903"/>
      <c r="I26" s="903"/>
    </row>
    <row r="27" spans="1:9" s="912" customFormat="1" ht="19.5" customHeight="1">
      <c r="A27" s="3282"/>
      <c r="B27" s="3282"/>
      <c r="C27" s="908" t="s">
        <v>533</v>
      </c>
      <c r="D27" s="909"/>
      <c r="E27" s="907">
        <v>0.9</v>
      </c>
      <c r="F27" s="910" t="s">
        <v>534</v>
      </c>
      <c r="G27" s="911"/>
      <c r="H27" s="903"/>
      <c r="I27" s="903"/>
    </row>
    <row r="28" spans="1:9" s="912" customFormat="1" ht="19.5" customHeight="1">
      <c r="A28" s="3282"/>
      <c r="B28" s="3282"/>
      <c r="C28" s="908" t="s">
        <v>535</v>
      </c>
      <c r="D28" s="909"/>
      <c r="E28" s="907">
        <v>0.9</v>
      </c>
      <c r="F28" s="910" t="s">
        <v>536</v>
      </c>
      <c r="G28" s="911"/>
      <c r="H28" s="903"/>
      <c r="I28" s="903"/>
    </row>
    <row r="29" spans="1:9" s="912" customFormat="1" ht="19.5" customHeight="1">
      <c r="A29" s="3282"/>
      <c r="B29" s="3282"/>
      <c r="C29" s="908" t="s">
        <v>537</v>
      </c>
      <c r="D29" s="909"/>
      <c r="E29" s="907">
        <v>0.9</v>
      </c>
      <c r="F29" s="910" t="s">
        <v>538</v>
      </c>
      <c r="G29" s="911"/>
      <c r="H29" s="903"/>
      <c r="I29" s="903"/>
    </row>
    <row r="30" spans="1:9" s="912" customFormat="1" ht="19.5" customHeight="1">
      <c r="A30" s="3282"/>
      <c r="B30" s="3282"/>
      <c r="C30" s="908" t="s">
        <v>539</v>
      </c>
      <c r="D30" s="909"/>
      <c r="E30" s="907">
        <v>0.9</v>
      </c>
      <c r="F30" s="910" t="s">
        <v>540</v>
      </c>
      <c r="G30" s="911"/>
      <c r="H30" s="903"/>
      <c r="I30" s="903"/>
    </row>
    <row r="31" spans="1:9" s="912" customFormat="1" ht="19.5" customHeight="1">
      <c r="A31" s="3282"/>
      <c r="B31" s="3282"/>
      <c r="C31" s="908" t="s">
        <v>541</v>
      </c>
      <c r="D31" s="909"/>
      <c r="E31" s="907">
        <v>0.8</v>
      </c>
      <c r="F31" s="910" t="s">
        <v>542</v>
      </c>
      <c r="G31" s="911"/>
      <c r="H31" s="903"/>
      <c r="I31" s="903"/>
    </row>
    <row r="32" spans="1:9" s="912" customFormat="1" ht="19.5" customHeight="1">
      <c r="A32" s="3282"/>
      <c r="B32" s="3282"/>
      <c r="C32" s="908" t="s">
        <v>543</v>
      </c>
      <c r="D32" s="909"/>
      <c r="E32" s="907">
        <v>0.8</v>
      </c>
      <c r="F32" s="910" t="s">
        <v>544</v>
      </c>
      <c r="G32" s="911"/>
      <c r="H32" s="903"/>
      <c r="I32" s="903"/>
    </row>
    <row r="33" spans="1:9" s="912" customFormat="1" ht="19.5" customHeight="1">
      <c r="A33" s="3282" t="s">
        <v>134</v>
      </c>
      <c r="B33" s="907" t="s">
        <v>517</v>
      </c>
      <c r="C33" s="908" t="s">
        <v>545</v>
      </c>
      <c r="D33" s="909"/>
      <c r="E33" s="907">
        <v>1</v>
      </c>
      <c r="F33" s="910" t="s">
        <v>546</v>
      </c>
      <c r="G33" s="911"/>
      <c r="H33" s="903"/>
      <c r="I33" s="903"/>
    </row>
    <row r="34" spans="1:9" s="912" customFormat="1" ht="19.5" customHeight="1">
      <c r="A34" s="3282"/>
      <c r="B34" s="907" t="s">
        <v>520</v>
      </c>
      <c r="C34" s="908" t="s">
        <v>547</v>
      </c>
      <c r="D34" s="909"/>
      <c r="E34" s="907">
        <v>1.5</v>
      </c>
      <c r="F34" s="910" t="s">
        <v>548</v>
      </c>
      <c r="G34" s="911"/>
      <c r="H34" s="903"/>
      <c r="I34" s="903"/>
    </row>
    <row r="35" spans="1:9" s="912" customFormat="1" ht="19.5" customHeight="1">
      <c r="A35" s="3282" t="s">
        <v>135</v>
      </c>
      <c r="B35" s="907" t="s">
        <v>517</v>
      </c>
      <c r="C35" s="908" t="s">
        <v>549</v>
      </c>
      <c r="D35" s="909"/>
      <c r="E35" s="907">
        <v>1</v>
      </c>
      <c r="F35" s="910" t="s">
        <v>550</v>
      </c>
      <c r="G35" s="911"/>
      <c r="H35" s="903"/>
      <c r="I35" s="903"/>
    </row>
    <row r="36" spans="1:9" s="912" customFormat="1" ht="19.5" customHeight="1">
      <c r="A36" s="3282"/>
      <c r="B36" s="3282" t="s">
        <v>520</v>
      </c>
      <c r="C36" s="908" t="s">
        <v>551</v>
      </c>
      <c r="D36" s="909"/>
      <c r="E36" s="907">
        <v>1</v>
      </c>
      <c r="F36" s="910" t="s">
        <v>552</v>
      </c>
      <c r="G36" s="911"/>
      <c r="H36" s="903"/>
      <c r="I36" s="903"/>
    </row>
    <row r="37" spans="1:9" s="912" customFormat="1" ht="19.5" customHeight="1">
      <c r="A37" s="3282"/>
      <c r="B37" s="3282"/>
      <c r="C37" s="908" t="s">
        <v>553</v>
      </c>
      <c r="D37" s="909"/>
      <c r="E37" s="907">
        <v>1.5</v>
      </c>
      <c r="F37" s="910" t="s">
        <v>554</v>
      </c>
      <c r="G37" s="911"/>
      <c r="H37" s="903"/>
      <c r="I37" s="903"/>
    </row>
    <row r="38" spans="1:9" s="912" customFormat="1" ht="19.5" customHeight="1">
      <c r="A38" s="3282"/>
      <c r="B38" s="3282"/>
      <c r="C38" s="908" t="s">
        <v>555</v>
      </c>
      <c r="D38" s="909"/>
      <c r="E38" s="907">
        <v>1</v>
      </c>
      <c r="F38" s="910" t="s">
        <v>556</v>
      </c>
      <c r="G38" s="911"/>
      <c r="H38" s="903"/>
      <c r="I38" s="903"/>
    </row>
    <row r="39" spans="1:9" s="912" customFormat="1" ht="19.5" customHeight="1">
      <c r="A39" s="3282"/>
      <c r="B39" s="328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282" t="s">
        <v>571</v>
      </c>
      <c r="C61" s="821" t="s">
        <v>572</v>
      </c>
      <c r="D61" s="821" t="s">
        <v>573</v>
      </c>
      <c r="E61" s="920">
        <v>0.5</v>
      </c>
      <c r="F61" s="907">
        <v>80</v>
      </c>
    </row>
    <row r="62" spans="1:8" s="903" customFormat="1" ht="24">
      <c r="A62" s="907">
        <v>2</v>
      </c>
      <c r="B62" s="3282"/>
      <c r="C62" s="821" t="s">
        <v>574</v>
      </c>
      <c r="D62" s="821" t="s">
        <v>575</v>
      </c>
      <c r="E62" s="920">
        <v>0.5</v>
      </c>
      <c r="F62" s="907">
        <v>80</v>
      </c>
    </row>
    <row r="63" spans="1:8" s="903" customFormat="1" ht="36">
      <c r="A63" s="907">
        <v>3</v>
      </c>
      <c r="B63" s="3282"/>
      <c r="C63" s="821" t="s">
        <v>576</v>
      </c>
      <c r="D63" s="821" t="s">
        <v>577</v>
      </c>
      <c r="E63" s="920">
        <v>0.5</v>
      </c>
      <c r="F63" s="907">
        <v>80</v>
      </c>
    </row>
    <row r="64" spans="1:8" s="903" customFormat="1" ht="36">
      <c r="A64" s="907">
        <v>4</v>
      </c>
      <c r="B64" s="3282"/>
      <c r="C64" s="821" t="s">
        <v>578</v>
      </c>
      <c r="D64" s="821" t="s">
        <v>579</v>
      </c>
      <c r="E64" s="920">
        <v>0.4</v>
      </c>
      <c r="F64" s="907">
        <v>60</v>
      </c>
    </row>
    <row r="65" spans="1:6" s="903" customFormat="1" ht="36">
      <c r="A65" s="907">
        <v>5</v>
      </c>
      <c r="B65" s="3282"/>
      <c r="C65" s="821" t="s">
        <v>580</v>
      </c>
      <c r="D65" s="821" t="s">
        <v>581</v>
      </c>
      <c r="E65" s="920">
        <v>0.2</v>
      </c>
      <c r="F65" s="907">
        <v>30</v>
      </c>
    </row>
    <row r="66" spans="1:6" s="903" customFormat="1" ht="36">
      <c r="A66" s="907">
        <v>6</v>
      </c>
      <c r="B66" s="3282"/>
      <c r="C66" s="821" t="s">
        <v>582</v>
      </c>
      <c r="D66" s="821" t="s">
        <v>583</v>
      </c>
      <c r="E66" s="920">
        <v>0.3</v>
      </c>
      <c r="F66" s="907">
        <v>50</v>
      </c>
    </row>
    <row r="67" spans="1:6" s="903" customFormat="1" ht="36">
      <c r="A67" s="907">
        <v>7</v>
      </c>
      <c r="B67" s="3282"/>
      <c r="C67" s="821" t="s">
        <v>584</v>
      </c>
      <c r="D67" s="821" t="s">
        <v>585</v>
      </c>
      <c r="E67" s="920">
        <v>0.2</v>
      </c>
      <c r="F67" s="907">
        <v>30</v>
      </c>
    </row>
    <row r="68" spans="1:6" s="903" customFormat="1" ht="36">
      <c r="A68" s="907">
        <v>8</v>
      </c>
      <c r="B68" s="3282"/>
      <c r="C68" s="821" t="s">
        <v>586</v>
      </c>
      <c r="D68" s="821" t="s">
        <v>587</v>
      </c>
      <c r="E68" s="920">
        <v>0.2</v>
      </c>
      <c r="F68" s="907">
        <v>30</v>
      </c>
    </row>
    <row r="69" spans="1:6" s="903" customFormat="1" ht="36">
      <c r="A69" s="907">
        <v>9</v>
      </c>
      <c r="B69" s="3282"/>
      <c r="C69" s="821" t="s">
        <v>588</v>
      </c>
      <c r="D69" s="821" t="s">
        <v>589</v>
      </c>
      <c r="E69" s="920">
        <v>0.2</v>
      </c>
      <c r="F69" s="907">
        <v>30</v>
      </c>
    </row>
    <row r="70" spans="1:6" s="903" customFormat="1" ht="48">
      <c r="A70" s="907">
        <v>10</v>
      </c>
      <c r="B70" s="3282"/>
      <c r="C70" s="821" t="s">
        <v>590</v>
      </c>
      <c r="D70" s="821" t="s">
        <v>591</v>
      </c>
      <c r="E70" s="920">
        <v>0.2</v>
      </c>
      <c r="F70" s="907">
        <v>30</v>
      </c>
    </row>
    <row r="71" spans="1:6" s="903" customFormat="1" ht="48">
      <c r="A71" s="907">
        <v>11</v>
      </c>
      <c r="B71" s="3282"/>
      <c r="C71" s="821" t="s">
        <v>592</v>
      </c>
      <c r="D71" s="821" t="s">
        <v>593</v>
      </c>
      <c r="E71" s="920">
        <v>0.2</v>
      </c>
      <c r="F71" s="907">
        <v>30</v>
      </c>
    </row>
    <row r="72" spans="1:6" s="903" customFormat="1" ht="36">
      <c r="A72" s="907">
        <v>12</v>
      </c>
      <c r="B72" s="3282"/>
      <c r="C72" s="821" t="s">
        <v>594</v>
      </c>
      <c r="D72" s="821" t="s">
        <v>595</v>
      </c>
      <c r="E72" s="920">
        <v>0.5</v>
      </c>
      <c r="F72" s="907">
        <v>80</v>
      </c>
    </row>
    <row r="73" spans="1:6" s="903" customFormat="1" ht="24">
      <c r="A73" s="907">
        <v>13</v>
      </c>
      <c r="B73" s="3282"/>
      <c r="C73" s="821" t="s">
        <v>596</v>
      </c>
      <c r="D73" s="821" t="s">
        <v>597</v>
      </c>
      <c r="E73" s="920">
        <v>0.4</v>
      </c>
      <c r="F73" s="907">
        <v>60</v>
      </c>
    </row>
    <row r="74" spans="1:6" s="903" customFormat="1" ht="24">
      <c r="A74" s="907">
        <v>14</v>
      </c>
      <c r="B74" s="3282"/>
      <c r="C74" s="821" t="s">
        <v>598</v>
      </c>
      <c r="D74" s="821" t="s">
        <v>599</v>
      </c>
      <c r="E74" s="920">
        <v>0.2</v>
      </c>
      <c r="F74" s="907">
        <v>30</v>
      </c>
    </row>
    <row r="75" spans="1:6" s="903" customFormat="1" ht="24">
      <c r="A75" s="907">
        <v>15</v>
      </c>
      <c r="B75" s="3282"/>
      <c r="C75" s="821" t="s">
        <v>600</v>
      </c>
      <c r="D75" s="821" t="s">
        <v>601</v>
      </c>
      <c r="E75" s="920">
        <v>0.2</v>
      </c>
      <c r="F75" s="907">
        <v>30</v>
      </c>
    </row>
    <row r="76" spans="1:6" s="903" customFormat="1" ht="24">
      <c r="A76" s="907">
        <v>16</v>
      </c>
      <c r="B76" s="3282" t="s">
        <v>602</v>
      </c>
      <c r="C76" s="821" t="s">
        <v>603</v>
      </c>
      <c r="D76" s="821" t="s">
        <v>604</v>
      </c>
      <c r="E76" s="920">
        <v>0.5</v>
      </c>
      <c r="F76" s="907">
        <v>80</v>
      </c>
    </row>
    <row r="77" spans="1:6" s="903" customFormat="1" ht="24">
      <c r="A77" s="907">
        <v>17</v>
      </c>
      <c r="B77" s="3282"/>
      <c r="C77" s="821" t="s">
        <v>605</v>
      </c>
      <c r="D77" s="821" t="s">
        <v>606</v>
      </c>
      <c r="E77" s="920">
        <v>0.5</v>
      </c>
      <c r="F77" s="907">
        <v>80</v>
      </c>
    </row>
    <row r="78" spans="1:6" s="903" customFormat="1" ht="24">
      <c r="A78" s="907">
        <v>18</v>
      </c>
      <c r="B78" s="3282"/>
      <c r="C78" s="821" t="s">
        <v>607</v>
      </c>
      <c r="D78" s="821" t="s">
        <v>608</v>
      </c>
      <c r="E78" s="920">
        <v>0.2</v>
      </c>
      <c r="F78" s="907">
        <v>30</v>
      </c>
    </row>
    <row r="79" spans="1:6" s="903" customFormat="1" ht="24">
      <c r="A79" s="907">
        <v>19</v>
      </c>
      <c r="B79" s="3282"/>
      <c r="C79" s="821" t="s">
        <v>609</v>
      </c>
      <c r="D79" s="821" t="s">
        <v>610</v>
      </c>
      <c r="E79" s="920">
        <v>0.5</v>
      </c>
      <c r="F79" s="907">
        <v>80</v>
      </c>
    </row>
    <row r="80" spans="1:6" s="903" customFormat="1" ht="36">
      <c r="A80" s="907">
        <v>20</v>
      </c>
      <c r="B80" s="3282"/>
      <c r="C80" s="821" t="s">
        <v>611</v>
      </c>
      <c r="D80" s="821" t="s">
        <v>612</v>
      </c>
      <c r="E80" s="920">
        <v>0.2</v>
      </c>
      <c r="F80" s="907">
        <v>30</v>
      </c>
    </row>
    <row r="81" spans="1:6" s="903" customFormat="1" ht="36">
      <c r="A81" s="907">
        <v>21</v>
      </c>
      <c r="B81" s="3282"/>
      <c r="C81" s="821" t="s">
        <v>613</v>
      </c>
      <c r="D81" s="821" t="s">
        <v>614</v>
      </c>
      <c r="E81" s="920">
        <v>0.2</v>
      </c>
      <c r="F81" s="907">
        <v>30</v>
      </c>
    </row>
    <row r="82" spans="1:6" s="903" customFormat="1" ht="48">
      <c r="A82" s="907">
        <v>22</v>
      </c>
      <c r="B82" s="3282"/>
      <c r="C82" s="821" t="s">
        <v>615</v>
      </c>
      <c r="D82" s="821" t="s">
        <v>616</v>
      </c>
      <c r="E82" s="920">
        <v>0.2</v>
      </c>
      <c r="F82" s="907">
        <v>30</v>
      </c>
    </row>
    <row r="83" spans="1:6" s="903" customFormat="1" ht="48">
      <c r="A83" s="907">
        <v>23</v>
      </c>
      <c r="B83" s="3282"/>
      <c r="C83" s="821" t="s">
        <v>617</v>
      </c>
      <c r="D83" s="821" t="s">
        <v>618</v>
      </c>
      <c r="E83" s="920">
        <v>0.2</v>
      </c>
      <c r="F83" s="907">
        <v>30</v>
      </c>
    </row>
    <row r="84" spans="1:6" s="903" customFormat="1" ht="36">
      <c r="A84" s="907">
        <v>24</v>
      </c>
      <c r="B84" s="3282"/>
      <c r="C84" s="821" t="s">
        <v>619</v>
      </c>
      <c r="D84" s="821" t="s">
        <v>620</v>
      </c>
      <c r="E84" s="920">
        <v>0.2</v>
      </c>
      <c r="F84" s="907">
        <v>30</v>
      </c>
    </row>
    <row r="85" spans="1:6" s="903" customFormat="1" ht="36">
      <c r="A85" s="907">
        <v>25</v>
      </c>
      <c r="B85" s="3282"/>
      <c r="C85" s="821" t="s">
        <v>621</v>
      </c>
      <c r="D85" s="821" t="s">
        <v>622</v>
      </c>
      <c r="E85" s="920">
        <v>0.5</v>
      </c>
      <c r="F85" s="907">
        <v>80</v>
      </c>
    </row>
    <row r="86" spans="1:6" s="903" customFormat="1" ht="36">
      <c r="A86" s="907">
        <v>26</v>
      </c>
      <c r="B86" s="3282"/>
      <c r="C86" s="821" t="s">
        <v>623</v>
      </c>
      <c r="D86" s="821" t="s">
        <v>624</v>
      </c>
      <c r="E86" s="920">
        <v>0.2</v>
      </c>
      <c r="F86" s="907">
        <v>30</v>
      </c>
    </row>
    <row r="87" spans="1:6" s="903" customFormat="1" ht="36">
      <c r="A87" s="907">
        <v>27</v>
      </c>
      <c r="B87" s="3282"/>
      <c r="C87" s="821" t="s">
        <v>625</v>
      </c>
      <c r="D87" s="821" t="s">
        <v>626</v>
      </c>
      <c r="E87" s="920">
        <v>0.2</v>
      </c>
      <c r="F87" s="907">
        <v>30</v>
      </c>
    </row>
    <row r="88" spans="1:6" s="903" customFormat="1" ht="36">
      <c r="A88" s="907">
        <v>28</v>
      </c>
      <c r="B88" s="3282"/>
      <c r="C88" s="821" t="s">
        <v>627</v>
      </c>
      <c r="D88" s="821" t="s">
        <v>628</v>
      </c>
      <c r="E88" s="920">
        <v>0.2</v>
      </c>
      <c r="F88" s="907">
        <v>30</v>
      </c>
    </row>
    <row r="89" spans="1:6" s="903" customFormat="1" ht="24">
      <c r="A89" s="907">
        <v>29</v>
      </c>
      <c r="B89" s="3282"/>
      <c r="C89" s="821" t="s">
        <v>629</v>
      </c>
      <c r="D89" s="821" t="s">
        <v>630</v>
      </c>
      <c r="E89" s="920">
        <v>0.2</v>
      </c>
      <c r="F89" s="907">
        <v>30</v>
      </c>
    </row>
    <row r="90" spans="1:6" s="903" customFormat="1" ht="24">
      <c r="A90" s="907">
        <v>30</v>
      </c>
      <c r="B90" s="3282"/>
      <c r="C90" s="821" t="s">
        <v>631</v>
      </c>
      <c r="D90" s="821" t="s">
        <v>632</v>
      </c>
      <c r="E90" s="920">
        <v>0.2</v>
      </c>
      <c r="F90" s="907">
        <v>30</v>
      </c>
    </row>
    <row r="91" spans="1:6" s="903" customFormat="1" ht="36">
      <c r="A91" s="907">
        <v>31</v>
      </c>
      <c r="B91" s="3282"/>
      <c r="C91" s="821" t="s">
        <v>633</v>
      </c>
      <c r="D91" s="821" t="s">
        <v>634</v>
      </c>
      <c r="E91" s="920">
        <v>0.2</v>
      </c>
      <c r="F91" s="907">
        <v>30</v>
      </c>
    </row>
    <row r="92" spans="1:6" s="903" customFormat="1" ht="24">
      <c r="A92" s="907">
        <v>32</v>
      </c>
      <c r="B92" s="3282" t="s">
        <v>635</v>
      </c>
      <c r="C92" s="907" t="s">
        <v>636</v>
      </c>
      <c r="D92" s="821" t="s">
        <v>637</v>
      </c>
      <c r="E92" s="920">
        <v>0.2</v>
      </c>
      <c r="F92" s="907">
        <v>30</v>
      </c>
    </row>
    <row r="93" spans="1:6" s="903" customFormat="1" ht="36">
      <c r="A93" s="907">
        <v>33</v>
      </c>
      <c r="B93" s="3282"/>
      <c r="C93" s="907" t="s">
        <v>638</v>
      </c>
      <c r="D93" s="821" t="s">
        <v>639</v>
      </c>
      <c r="E93" s="920">
        <v>0.2</v>
      </c>
      <c r="F93" s="907">
        <v>30</v>
      </c>
    </row>
    <row r="94" spans="1:6" s="903" customFormat="1" ht="48">
      <c r="A94" s="907">
        <v>34</v>
      </c>
      <c r="B94" s="3282"/>
      <c r="C94" s="907" t="s">
        <v>640</v>
      </c>
      <c r="D94" s="821" t="s">
        <v>641</v>
      </c>
      <c r="E94" s="920">
        <v>0.2</v>
      </c>
      <c r="F94" s="907">
        <v>30</v>
      </c>
    </row>
    <row r="95" spans="1:6" s="903" customFormat="1" ht="36">
      <c r="A95" s="907">
        <v>35</v>
      </c>
      <c r="B95" s="3282"/>
      <c r="C95" s="907" t="s">
        <v>642</v>
      </c>
      <c r="D95" s="821" t="s">
        <v>643</v>
      </c>
      <c r="E95" s="920">
        <v>0.2</v>
      </c>
      <c r="F95" s="907">
        <v>30</v>
      </c>
    </row>
    <row r="96" spans="1:6" s="903" customFormat="1" ht="48">
      <c r="A96" s="907">
        <v>36</v>
      </c>
      <c r="B96" s="3282"/>
      <c r="C96" s="821" t="s">
        <v>644</v>
      </c>
      <c r="D96" s="821" t="s">
        <v>645</v>
      </c>
      <c r="E96" s="920">
        <v>0.2</v>
      </c>
      <c r="F96" s="907">
        <v>30</v>
      </c>
    </row>
    <row r="97" spans="1:6" s="903" customFormat="1" ht="36">
      <c r="A97" s="907">
        <v>37</v>
      </c>
      <c r="B97" s="3282"/>
      <c r="C97" s="907" t="s">
        <v>646</v>
      </c>
      <c r="D97" s="821" t="s">
        <v>647</v>
      </c>
      <c r="E97" s="920">
        <v>0.2</v>
      </c>
      <c r="F97" s="907">
        <v>30</v>
      </c>
    </row>
    <row r="98" spans="1:6" s="903" customFormat="1" ht="36">
      <c r="A98" s="907">
        <v>38</v>
      </c>
      <c r="B98" s="3282"/>
      <c r="C98" s="907" t="s">
        <v>648</v>
      </c>
      <c r="D98" s="821" t="s">
        <v>649</v>
      </c>
      <c r="E98" s="920">
        <v>0.2</v>
      </c>
      <c r="F98" s="907">
        <v>30</v>
      </c>
    </row>
    <row r="99" spans="1:6" s="903" customFormat="1" ht="36">
      <c r="A99" s="907">
        <v>39</v>
      </c>
      <c r="B99" s="3282" t="s">
        <v>650</v>
      </c>
      <c r="C99" s="907" t="s">
        <v>651</v>
      </c>
      <c r="D99" s="821" t="s">
        <v>652</v>
      </c>
      <c r="E99" s="920">
        <v>0.3</v>
      </c>
      <c r="F99" s="907">
        <v>50</v>
      </c>
    </row>
    <row r="100" spans="1:6" s="903" customFormat="1" ht="24">
      <c r="A100" s="907">
        <v>40</v>
      </c>
      <c r="B100" s="3282"/>
      <c r="C100" s="907" t="s">
        <v>653</v>
      </c>
      <c r="D100" s="821" t="s">
        <v>654</v>
      </c>
      <c r="E100" s="920">
        <v>0.2</v>
      </c>
      <c r="F100" s="907">
        <v>30</v>
      </c>
    </row>
    <row r="101" spans="1:6" s="903" customFormat="1" ht="36">
      <c r="A101" s="907">
        <v>41</v>
      </c>
      <c r="B101" s="328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282" t="s">
        <v>665</v>
      </c>
      <c r="C105" s="907" t="s">
        <v>666</v>
      </c>
      <c r="D105" s="821" t="s">
        <v>667</v>
      </c>
      <c r="E105" s="920">
        <v>0.2</v>
      </c>
      <c r="F105" s="907">
        <v>30</v>
      </c>
    </row>
    <row r="106" spans="1:6" s="903" customFormat="1" ht="36">
      <c r="A106" s="907">
        <v>46</v>
      </c>
      <c r="B106" s="3282"/>
      <c r="C106" s="907" t="s">
        <v>668</v>
      </c>
      <c r="D106" s="821" t="s">
        <v>669</v>
      </c>
      <c r="E106" s="920">
        <v>0.2</v>
      </c>
      <c r="F106" s="907">
        <v>30</v>
      </c>
    </row>
    <row r="107" spans="1:6" s="903" customFormat="1" ht="36">
      <c r="A107" s="907">
        <v>47</v>
      </c>
      <c r="B107" s="3282" t="s">
        <v>670</v>
      </c>
      <c r="C107" s="907" t="s">
        <v>671</v>
      </c>
      <c r="D107" s="821" t="s">
        <v>672</v>
      </c>
      <c r="E107" s="920">
        <v>0.3</v>
      </c>
      <c r="F107" s="907">
        <v>50</v>
      </c>
    </row>
    <row r="108" spans="1:6" s="903" customFormat="1" ht="36">
      <c r="A108" s="907">
        <v>48</v>
      </c>
      <c r="B108" s="328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282" t="s">
        <v>681</v>
      </c>
      <c r="C111" s="907" t="s">
        <v>682</v>
      </c>
      <c r="D111" s="821" t="s">
        <v>683</v>
      </c>
      <c r="E111" s="920">
        <v>0.2</v>
      </c>
      <c r="F111" s="907">
        <v>30</v>
      </c>
    </row>
    <row r="112" spans="1:6" s="903" customFormat="1" ht="24">
      <c r="A112" s="907">
        <v>52</v>
      </c>
      <c r="B112" s="3282"/>
      <c r="C112" s="907" t="s">
        <v>684</v>
      </c>
      <c r="D112" s="821" t="s">
        <v>685</v>
      </c>
      <c r="E112" s="920">
        <v>0.2</v>
      </c>
      <c r="F112" s="907">
        <v>30</v>
      </c>
    </row>
    <row r="113" spans="1:6" s="903" customFormat="1" ht="24">
      <c r="A113" s="907">
        <v>53</v>
      </c>
      <c r="B113" s="328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282" t="s">
        <v>694</v>
      </c>
      <c r="C116" s="907" t="s">
        <v>695</v>
      </c>
      <c r="D116" s="821" t="s">
        <v>696</v>
      </c>
      <c r="E116" s="920">
        <v>0.2</v>
      </c>
      <c r="F116" s="907">
        <v>30</v>
      </c>
    </row>
    <row r="117" spans="1:6" ht="36">
      <c r="A117" s="907">
        <v>57</v>
      </c>
      <c r="B117" s="328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C15" sqref="AC15"/>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288" t="s">
        <v>1027</v>
      </c>
      <c r="C1" s="3288"/>
      <c r="D1" s="3288"/>
      <c r="E1" s="3288"/>
      <c r="F1" s="3288"/>
      <c r="G1" s="3284" t="s">
        <v>1028</v>
      </c>
      <c r="H1" s="3284"/>
      <c r="I1" s="3284"/>
      <c r="J1" s="3284"/>
      <c r="K1" s="3284"/>
      <c r="L1" s="3284"/>
      <c r="N1" s="3284" t="s">
        <v>1029</v>
      </c>
      <c r="O1" s="3284"/>
      <c r="P1" s="3284"/>
      <c r="Q1" s="3284"/>
      <c r="R1" s="1544"/>
      <c r="S1" s="3284" t="s">
        <v>1030</v>
      </c>
      <c r="T1" s="3284"/>
      <c r="U1" s="3284"/>
      <c r="V1" s="3284"/>
      <c r="X1" s="3283" t="s">
        <v>1031</v>
      </c>
      <c r="Y1" s="3284"/>
      <c r="Z1" s="3284"/>
      <c r="AA1" s="3284"/>
      <c r="AB1" s="3284"/>
      <c r="AD1" s="3283" t="s">
        <v>1032</v>
      </c>
      <c r="AE1" s="3284"/>
      <c r="AF1" s="3284"/>
      <c r="AG1" s="3284"/>
      <c r="AH1" s="3284"/>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2" customFormat="1" ht="14.25">
      <c r="A3" s="2713" t="s">
        <v>2796</v>
      </c>
      <c r="B3" s="2703"/>
      <c r="C3" s="2703"/>
      <c r="D3" s="2704"/>
      <c r="E3" s="2704"/>
      <c r="F3" s="2703"/>
      <c r="G3" s="2705"/>
      <c r="H3" s="2706"/>
      <c r="I3" s="2707">
        <f>ROUND(AVERAGE(I4:I29),2)</f>
        <v>1.9</v>
      </c>
      <c r="J3" s="2707">
        <f>ROUND(AVERAGE(J4:J29),2)</f>
        <v>1.35</v>
      </c>
      <c r="K3" s="2707">
        <f>ROUND(AVERAGE(K4:K29),2)</f>
        <v>2.08</v>
      </c>
      <c r="L3" s="2708">
        <f>ROUND(AVERAGE(L4:L29),2)</f>
        <v>1.33</v>
      </c>
      <c r="N3" s="2705"/>
      <c r="O3" s="2709"/>
      <c r="P3" s="2709"/>
      <c r="Q3" s="2709"/>
      <c r="R3" s="2709"/>
      <c r="S3" s="2705"/>
      <c r="T3" s="2709"/>
      <c r="U3" s="2709"/>
      <c r="V3" s="2709"/>
      <c r="W3" s="2712"/>
      <c r="X3" s="2710">
        <f>ROUND(SUMPRODUCT(PRODUCT(1+N3:N$28)),4)</f>
        <v>1.5516000000000001</v>
      </c>
      <c r="Y3" s="2710">
        <f>ROUND(SUMPRODUCT(PRODUCT(1+O3:O$28)),4)</f>
        <v>1.3649</v>
      </c>
      <c r="Z3" s="2710">
        <f t="shared" ref="Z3:Z26" si="0">Y3</f>
        <v>1.3649</v>
      </c>
      <c r="AA3" s="2710">
        <f>ROUND(SUMPRODUCT(PRODUCT(1+P3:P$28)),4)</f>
        <v>1.6133999999999999</v>
      </c>
      <c r="AB3" s="2710">
        <f>ROUND(SUMPRODUCT(PRODUCT(1+Q3:Q$28)),4)</f>
        <v>1.3713</v>
      </c>
      <c r="AD3" s="2711">
        <f>ROUND(AVERAGE(I3:I$29)/100,4)</f>
        <v>1.9E-2</v>
      </c>
      <c r="AE3" s="2711">
        <f>ROUND(AVERAGE(J3:J$29)/100,4)</f>
        <v>1.35E-2</v>
      </c>
      <c r="AF3" s="2711">
        <f t="shared" ref="AF3:AF17" si="1">AE3</f>
        <v>1.35E-2</v>
      </c>
      <c r="AG3" s="2711">
        <f>ROUND(AVERAGE(K3:K$29)/100,4)</f>
        <v>2.0799999999999999E-2</v>
      </c>
      <c r="AH3" s="2711">
        <f>ROUND(AVERAGE(L3:L$29)/100,4)</f>
        <v>1.3299999999999999E-2</v>
      </c>
    </row>
    <row r="4" spans="1:34" s="1551" customFormat="1" ht="14.25">
      <c r="B4" s="1552"/>
      <c r="C4" s="1552"/>
      <c r="D4" s="1553"/>
      <c r="E4" s="1553"/>
      <c r="F4" s="1552"/>
      <c r="G4" s="1554"/>
      <c r="H4" s="1555"/>
      <c r="I4" s="2695"/>
      <c r="J4" s="2695"/>
      <c r="K4" s="2695"/>
      <c r="L4" s="2695"/>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2825</v>
      </c>
      <c r="B5" s="1564">
        <f t="shared" ref="B5"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7">
        <v>2020</v>
      </c>
      <c r="H5" s="1817">
        <v>1</v>
      </c>
      <c r="I5" s="2696">
        <v>0</v>
      </c>
      <c r="J5" s="2696">
        <v>0</v>
      </c>
      <c r="K5" s="2696">
        <v>0</v>
      </c>
      <c r="L5" s="2697">
        <v>0</v>
      </c>
      <c r="N5" s="1566">
        <f t="shared" ref="N5" si="7">I5/100</f>
        <v>0</v>
      </c>
      <c r="O5" s="1566">
        <f t="shared" ref="O5" si="8">J5/100</f>
        <v>0</v>
      </c>
      <c r="P5" s="1566">
        <f t="shared" ref="P5" si="9">K5/100</f>
        <v>0</v>
      </c>
      <c r="Q5" s="1566">
        <f t="shared" ref="Q5" si="10">L5/100</f>
        <v>0</v>
      </c>
      <c r="R5" s="1819"/>
      <c r="S5" s="1820"/>
      <c r="T5" s="1819"/>
      <c r="U5" s="1819"/>
      <c r="V5" s="1819"/>
      <c r="W5" s="2701" t="s">
        <v>2795</v>
      </c>
      <c r="X5" s="1812">
        <f>ROUND(SUMPRODUCT(PRODUCT(1+N5:N$28)),4)</f>
        <v>1.5516000000000001</v>
      </c>
      <c r="Y5" s="1812">
        <f>ROUND(SUMPRODUCT(PRODUCT(1+O5:O$28)),4)</f>
        <v>1.3649</v>
      </c>
      <c r="Z5" s="1812">
        <f t="shared" ref="Z5" si="11">Y5</f>
        <v>1.3649</v>
      </c>
      <c r="AA5" s="1812">
        <f>ROUND(SUMPRODUCT(PRODUCT(1+P5:P$28)),4)</f>
        <v>1.6133999999999999</v>
      </c>
      <c r="AB5" s="1812">
        <f>ROUND(SUMPRODUCT(PRODUCT(1+Q5:Q$28)),4)</f>
        <v>1.3713</v>
      </c>
      <c r="AD5" s="1567">
        <f>ROUND(AVERAGE(I5:I$29)/100,4)</f>
        <v>1.9E-2</v>
      </c>
      <c r="AE5" s="1567">
        <f>ROUND(AVERAGE(J5:J$29)/100,4)</f>
        <v>1.35E-2</v>
      </c>
      <c r="AF5" s="1567">
        <f t="shared" ref="AF5" si="12">AE5</f>
        <v>1.35E-2</v>
      </c>
      <c r="AG5" s="1567">
        <f>ROUND(AVERAGE(K5:K$29)/100,4)</f>
        <v>2.0799999999999999E-2</v>
      </c>
      <c r="AH5" s="1567">
        <f>ROUND(AVERAGE(L5:L$29)/100,4)</f>
        <v>1.3299999999999999E-2</v>
      </c>
    </row>
    <row r="6" spans="1:34" s="2744" customFormat="1" ht="14.45" customHeight="1">
      <c r="A6" s="1559" t="s">
        <v>2824</v>
      </c>
      <c r="B6" s="2738">
        <f t="shared" ref="B6:B11" si="13">B7*(1+N6)</f>
        <v>477.19997390765138</v>
      </c>
      <c r="C6" s="2738">
        <f t="shared" ref="C6" si="14">C7*(1+O6)</f>
        <v>351.84874729536665</v>
      </c>
      <c r="D6" s="2738">
        <f t="shared" ref="D6" si="15">C6</f>
        <v>351.84874729536665</v>
      </c>
      <c r="E6" s="2738">
        <f t="shared" ref="E6" si="16">E7*(1+P6)</f>
        <v>682.29768951465201</v>
      </c>
      <c r="F6" s="2738">
        <f t="shared" ref="F6" si="17">F7*(1+Q6)</f>
        <v>315.26985675409043</v>
      </c>
      <c r="G6" s="2747">
        <v>2019</v>
      </c>
      <c r="H6" s="1562">
        <v>4</v>
      </c>
      <c r="I6" s="1562">
        <v>0</v>
      </c>
      <c r="J6" s="1562">
        <v>0</v>
      </c>
      <c r="K6" s="1562">
        <v>0</v>
      </c>
      <c r="L6" s="1577">
        <v>0</v>
      </c>
      <c r="M6" s="2739"/>
      <c r="N6" s="2740">
        <f t="shared" ref="N6:N11" si="18">I6/100</f>
        <v>0</v>
      </c>
      <c r="O6" s="2741">
        <f t="shared" ref="O6" si="19">J6/100</f>
        <v>0</v>
      </c>
      <c r="P6" s="2741">
        <f t="shared" ref="P6" si="20">K6/100</f>
        <v>0</v>
      </c>
      <c r="Q6" s="2741">
        <f t="shared" ref="Q6" si="21">L6/100</f>
        <v>0</v>
      </c>
      <c r="R6" s="2739"/>
      <c r="S6" s="2740"/>
      <c r="T6" s="2741"/>
      <c r="U6" s="2741"/>
      <c r="V6" s="2741"/>
      <c r="W6" s="2739"/>
      <c r="X6" s="2742">
        <f>ROUND(SUMPRODUCT(PRODUCT(1+N6:N$28)),4)</f>
        <v>1.5516000000000001</v>
      </c>
      <c r="Y6" s="2742">
        <f>ROUND(SUMPRODUCT(PRODUCT(1+O6:O$28)),4)</f>
        <v>1.3649</v>
      </c>
      <c r="Z6" s="2742">
        <f t="shared" ref="Z6" si="22">Y6</f>
        <v>1.3649</v>
      </c>
      <c r="AA6" s="2742">
        <f>ROUND(SUMPRODUCT(PRODUCT(1+P6:P$28)),4)</f>
        <v>1.6133999999999999</v>
      </c>
      <c r="AB6" s="2742">
        <f>ROUND(SUMPRODUCT(PRODUCT(1+Q6:Q$28)),4)</f>
        <v>1.3713</v>
      </c>
      <c r="AC6" s="2739"/>
      <c r="AD6" s="2743">
        <f>ROUND(AVERAGE(I6:I$29)/100,4)</f>
        <v>1.9800000000000002E-2</v>
      </c>
      <c r="AE6" s="2743">
        <f>ROUND(AVERAGE(J6:J$29)/100,4)</f>
        <v>1.41E-2</v>
      </c>
      <c r="AF6" s="2743">
        <f t="shared" ref="AF6" si="23">AE6</f>
        <v>1.41E-2</v>
      </c>
      <c r="AG6" s="2743">
        <f>ROUND(AVERAGE(K6:K$29)/100,4)</f>
        <v>2.1600000000000001E-2</v>
      </c>
      <c r="AH6" s="2743">
        <f>ROUND(AVERAGE(L6:L$29)/100,4)</f>
        <v>1.38E-2</v>
      </c>
    </row>
    <row r="7" spans="1:34" s="2744" customFormat="1" ht="14.45" customHeight="1" thickBot="1">
      <c r="A7" s="1559" t="s">
        <v>2820</v>
      </c>
      <c r="B7" s="2738">
        <f t="shared" si="13"/>
        <v>477.19997390765138</v>
      </c>
      <c r="C7" s="2738">
        <f t="shared" ref="C7" si="24">C8*(1+O7)</f>
        <v>351.84874729536665</v>
      </c>
      <c r="D7" s="2738">
        <f t="shared" ref="D7" si="25">C7</f>
        <v>351.84874729536665</v>
      </c>
      <c r="E7" s="2738">
        <f t="shared" ref="E7" si="26">E8*(1+P7)</f>
        <v>682.29768951465201</v>
      </c>
      <c r="F7" s="2738">
        <f t="shared" ref="F7" si="27">F8*(1+Q7)</f>
        <v>315.26985675409043</v>
      </c>
      <c r="G7" s="2746">
        <v>2019</v>
      </c>
      <c r="H7" s="1562">
        <v>3</v>
      </c>
      <c r="I7" s="1562">
        <v>0.61</v>
      </c>
      <c r="J7" s="1562">
        <v>0.67</v>
      </c>
      <c r="K7" s="1562">
        <v>0.6</v>
      </c>
      <c r="L7" s="1577">
        <v>1.03</v>
      </c>
      <c r="M7" s="2739"/>
      <c r="N7" s="2740">
        <f t="shared" si="18"/>
        <v>6.0999999999999995E-3</v>
      </c>
      <c r="O7" s="2741">
        <f t="shared" ref="O7" si="28">J7/100</f>
        <v>6.7000000000000002E-3</v>
      </c>
      <c r="P7" s="2741">
        <f t="shared" ref="P7" si="29">K7/100</f>
        <v>6.0000000000000001E-3</v>
      </c>
      <c r="Q7" s="2741">
        <f t="shared" ref="Q7" si="30">L7/100</f>
        <v>1.03E-2</v>
      </c>
      <c r="R7" s="2739"/>
      <c r="S7" s="2740"/>
      <c r="T7" s="2741"/>
      <c r="U7" s="2741"/>
      <c r="V7" s="2741"/>
      <c r="W7" s="2739"/>
      <c r="X7" s="2742">
        <f>ROUND(SUMPRODUCT(PRODUCT(1+N7:N$28)),4)</f>
        <v>1.5516000000000001</v>
      </c>
      <c r="Y7" s="2742">
        <f>ROUND(SUMPRODUCT(PRODUCT(1+O7:O$28)),4)</f>
        <v>1.3649</v>
      </c>
      <c r="Z7" s="2742">
        <f t="shared" ref="Z7" si="31">Y7</f>
        <v>1.3649</v>
      </c>
      <c r="AA7" s="2742">
        <f>ROUND(SUMPRODUCT(PRODUCT(1+P7:P$28)),4)</f>
        <v>1.6133999999999999</v>
      </c>
      <c r="AB7" s="2742">
        <f>ROUND(SUMPRODUCT(PRODUCT(1+Q7:Q$28)),4)</f>
        <v>1.3713</v>
      </c>
      <c r="AC7" s="2739"/>
      <c r="AD7" s="2743">
        <f>ROUND(AVERAGE(I7:I$29)/100,4)</f>
        <v>2.07E-2</v>
      </c>
      <c r="AE7" s="2743">
        <f>ROUND(AVERAGE(J7:J$29)/100,4)</f>
        <v>1.47E-2</v>
      </c>
      <c r="AF7" s="2743">
        <f t="shared" ref="AF7" si="32">AE7</f>
        <v>1.47E-2</v>
      </c>
      <c r="AG7" s="2743">
        <f>ROUND(AVERAGE(K7:K$29)/100,4)</f>
        <v>2.2599999999999999E-2</v>
      </c>
      <c r="AH7" s="2743">
        <f>ROUND(AVERAGE(L7:L$29)/100,4)</f>
        <v>1.44E-2</v>
      </c>
    </row>
    <row r="8" spans="1:34" s="2744" customFormat="1" ht="14.45" customHeight="1">
      <c r="A8" s="1559" t="s">
        <v>2814</v>
      </c>
      <c r="B8" s="2738">
        <f t="shared" si="13"/>
        <v>474.30670301923408</v>
      </c>
      <c r="C8" s="2738">
        <f t="shared" ref="C8" si="33">C9*(1+O8)</f>
        <v>349.50705005996491</v>
      </c>
      <c r="D8" s="2738">
        <f t="shared" ref="D8" si="34">C8</f>
        <v>349.50705005996491</v>
      </c>
      <c r="E8" s="2738">
        <f t="shared" ref="E8" si="35">E9*(1+P8)</f>
        <v>678.22831959706957</v>
      </c>
      <c r="F8" s="2738">
        <f t="shared" ref="F8" si="36">F9*(1+Q8)</f>
        <v>312.0556832169558</v>
      </c>
      <c r="G8" s="2737">
        <v>2019</v>
      </c>
      <c r="H8" s="1560">
        <v>2</v>
      </c>
      <c r="I8" s="1560">
        <v>1.53</v>
      </c>
      <c r="J8" s="1560">
        <v>1.01</v>
      </c>
      <c r="K8" s="1560">
        <v>1.62</v>
      </c>
      <c r="L8" s="1561">
        <v>1.25</v>
      </c>
      <c r="M8" s="2739"/>
      <c r="N8" s="2740">
        <f t="shared" si="18"/>
        <v>1.5300000000000001E-2</v>
      </c>
      <c r="O8" s="2741">
        <f t="shared" ref="O8" si="37">J8/100</f>
        <v>1.01E-2</v>
      </c>
      <c r="P8" s="2741">
        <f t="shared" ref="P8" si="38">K8/100</f>
        <v>1.6200000000000003E-2</v>
      </c>
      <c r="Q8" s="2741">
        <f t="shared" ref="Q8" si="39">L8/100</f>
        <v>1.2500000000000001E-2</v>
      </c>
      <c r="R8" s="2739"/>
      <c r="S8" s="2740"/>
      <c r="T8" s="2741"/>
      <c r="U8" s="2741"/>
      <c r="V8" s="2741"/>
      <c r="W8" s="2739"/>
      <c r="X8" s="2742">
        <f>ROUND(SUMPRODUCT(PRODUCT(1+N8:N$28)),4)</f>
        <v>1.5422</v>
      </c>
      <c r="Y8" s="2742">
        <f>ROUND(SUMPRODUCT(PRODUCT(1+O8:O$28)),4)</f>
        <v>1.3557999999999999</v>
      </c>
      <c r="Z8" s="2742">
        <f t="shared" ref="Z8" si="40">Y8</f>
        <v>1.3557999999999999</v>
      </c>
      <c r="AA8" s="2742">
        <f>ROUND(SUMPRODUCT(PRODUCT(1+P8:P$28)),4)</f>
        <v>1.6036999999999999</v>
      </c>
      <c r="AB8" s="2742">
        <f>ROUND(SUMPRODUCT(PRODUCT(1+Q8:Q$28)),4)</f>
        <v>1.3573</v>
      </c>
      <c r="AC8" s="2739"/>
      <c r="AD8" s="2743">
        <f>ROUND(AVERAGE(I8:I$29)/100,4)</f>
        <v>2.1299999999999999E-2</v>
      </c>
      <c r="AE8" s="2743">
        <f>ROUND(AVERAGE(J8:J$29)/100,4)</f>
        <v>1.4999999999999999E-2</v>
      </c>
      <c r="AF8" s="2743">
        <f t="shared" ref="AF8" si="41">AE8</f>
        <v>1.4999999999999999E-2</v>
      </c>
      <c r="AG8" s="2743">
        <f>ROUND(AVERAGE(K8:K$29)/100,4)</f>
        <v>2.3300000000000001E-2</v>
      </c>
      <c r="AH8" s="2743">
        <f>ROUND(AVERAGE(L8:L$29)/100,4)</f>
        <v>1.46E-2</v>
      </c>
    </row>
    <row r="9" spans="1:34" s="2744" customFormat="1" ht="14.45" customHeight="1" thickBot="1">
      <c r="A9" s="1559" t="s">
        <v>2815</v>
      </c>
      <c r="B9" s="2738">
        <f t="shared" si="13"/>
        <v>467.15916775261894</v>
      </c>
      <c r="C9" s="2738">
        <f t="shared" ref="C9" si="42">C10*(1+O9)</f>
        <v>346.01232557169084</v>
      </c>
      <c r="D9" s="2738">
        <f t="shared" ref="D9" si="43">C9</f>
        <v>346.01232557169084</v>
      </c>
      <c r="E9" s="2738">
        <f t="shared" ref="E9" si="44">E10*(1+P9)</f>
        <v>667.41617752122568</v>
      </c>
      <c r="F9" s="2738">
        <f t="shared" ref="F9" si="45">F10*(1+Q9)</f>
        <v>308.20314391798104</v>
      </c>
      <c r="G9" s="2718">
        <v>2019</v>
      </c>
      <c r="H9" s="1562">
        <v>1</v>
      </c>
      <c r="I9" s="1562">
        <v>0.6</v>
      </c>
      <c r="J9" s="1562">
        <v>0.37</v>
      </c>
      <c r="K9" s="1562">
        <v>0.63</v>
      </c>
      <c r="L9" s="1577">
        <v>1.1299999999999999</v>
      </c>
      <c r="M9" s="2739"/>
      <c r="N9" s="2740">
        <f t="shared" si="18"/>
        <v>6.0000000000000001E-3</v>
      </c>
      <c r="O9" s="2741">
        <f t="shared" ref="O9" si="46">J9/100</f>
        <v>3.7000000000000002E-3</v>
      </c>
      <c r="P9" s="2741">
        <f t="shared" ref="P9" si="47">K9/100</f>
        <v>6.3E-3</v>
      </c>
      <c r="Q9" s="2741">
        <f t="shared" ref="Q9" si="48">L9/100</f>
        <v>1.1299999999999999E-2</v>
      </c>
      <c r="R9" s="2739"/>
      <c r="S9" s="2740">
        <f>B9/B10-1</f>
        <v>6.0000000000000053E-3</v>
      </c>
      <c r="T9" s="2741">
        <f>C9/C10-1</f>
        <v>3.7000000000000366E-3</v>
      </c>
      <c r="U9" s="2741">
        <f>E9/E10-1</f>
        <v>6.2999999999999723E-3</v>
      </c>
      <c r="V9" s="2741">
        <f>F9/F10-1</f>
        <v>1.1300000000000088E-2</v>
      </c>
      <c r="W9" s="2739"/>
      <c r="X9" s="2742">
        <f>ROUND(SUMPRODUCT(PRODUCT(1+N9:N$28)),4)</f>
        <v>1.5189999999999999</v>
      </c>
      <c r="Y9" s="2742">
        <f>ROUND(SUMPRODUCT(PRODUCT(1+O9:O$28)),4)</f>
        <v>1.3423</v>
      </c>
      <c r="Z9" s="2742">
        <f t="shared" ref="Z9" si="49">Y9</f>
        <v>1.3423</v>
      </c>
      <c r="AA9" s="2742">
        <f>ROUND(SUMPRODUCT(PRODUCT(1+P9:P$28)),4)</f>
        <v>1.5782</v>
      </c>
      <c r="AB9" s="2742">
        <f>ROUND(SUMPRODUCT(PRODUCT(1+Q9:Q$28)),4)</f>
        <v>1.3405</v>
      </c>
      <c r="AC9" s="2739"/>
      <c r="AD9" s="2743">
        <f>ROUND(AVERAGE(I9:I$29)/100,4)</f>
        <v>2.1600000000000001E-2</v>
      </c>
      <c r="AE9" s="2743">
        <f>ROUND(AVERAGE(J9:J$29)/100,4)</f>
        <v>1.5299999999999999E-2</v>
      </c>
      <c r="AF9" s="2743">
        <f t="shared" ref="AF9" si="50">AE9</f>
        <v>1.5299999999999999E-2</v>
      </c>
      <c r="AG9" s="2743">
        <f>ROUND(AVERAGE(K9:K$29)/100,4)</f>
        <v>2.3699999999999999E-2</v>
      </c>
      <c r="AH9" s="2743">
        <f>ROUND(AVERAGE(L9:L$29)/100,4)</f>
        <v>1.47E-2</v>
      </c>
    </row>
    <row r="10" spans="1:34">
      <c r="A10" s="1559" t="s">
        <v>2809</v>
      </c>
      <c r="B10" s="1568">
        <f t="shared" si="13"/>
        <v>464.37293017158942</v>
      </c>
      <c r="C10" s="1568">
        <f t="shared" ref="C10" si="51">C11*(1+O10)</f>
        <v>344.73679941385956</v>
      </c>
      <c r="D10" s="1568">
        <f t="shared" ref="D10" si="52">C10</f>
        <v>344.73679941385956</v>
      </c>
      <c r="E10" s="1568">
        <f t="shared" ref="E10" si="53">E11*(1+P10)</f>
        <v>663.2377795103107</v>
      </c>
      <c r="F10" s="1569">
        <f t="shared" ref="F10" si="54">F11*(1+Q10)</f>
        <v>304.75936311478398</v>
      </c>
      <c r="G10" s="3286">
        <v>2018</v>
      </c>
      <c r="H10" s="1560">
        <v>4</v>
      </c>
      <c r="I10" s="1560">
        <v>0.96</v>
      </c>
      <c r="J10" s="1560">
        <v>1.03</v>
      </c>
      <c r="K10" s="1560">
        <v>0.92</v>
      </c>
      <c r="L10" s="1561">
        <v>1.29</v>
      </c>
      <c r="N10" s="1583">
        <f t="shared" si="18"/>
        <v>9.5999999999999992E-3</v>
      </c>
      <c r="O10" s="1584">
        <f t="shared" ref="O10" si="55">J10/100</f>
        <v>1.03E-2</v>
      </c>
      <c r="P10" s="1584">
        <f t="shared" ref="P10" si="56">K10/100</f>
        <v>9.1999999999999998E-3</v>
      </c>
      <c r="Q10" s="1584">
        <f t="shared" ref="Q10" si="57">L10/100</f>
        <v>1.29E-2</v>
      </c>
      <c r="R10" s="1573"/>
      <c r="S10" s="1574"/>
      <c r="T10" s="1575"/>
      <c r="U10" s="1575"/>
      <c r="V10" s="1575"/>
      <c r="X10" s="1557">
        <f>ROUND(SUMPRODUCT(PRODUCT(1+N10:N$28)),4)</f>
        <v>1.5099</v>
      </c>
      <c r="Y10" s="1557">
        <f>ROUND(SUMPRODUCT(PRODUCT(1+O10:O$28)),4)</f>
        <v>1.3372999999999999</v>
      </c>
      <c r="Z10" s="1557">
        <f t="shared" ref="Z10" si="58">Y10</f>
        <v>1.3372999999999999</v>
      </c>
      <c r="AA10" s="1557">
        <f>ROUND(SUMPRODUCT(PRODUCT(1+P10:P$28)),4)</f>
        <v>1.5683</v>
      </c>
      <c r="AB10" s="1557">
        <f>ROUND(SUMPRODUCT(PRODUCT(1+Q10:Q$28)),4)</f>
        <v>1.3255999999999999</v>
      </c>
      <c r="AD10" s="1558">
        <f>ROUND(AVERAGE(I10:I$29)/100,4)</f>
        <v>2.24E-2</v>
      </c>
      <c r="AE10" s="1558">
        <f>ROUND(AVERAGE(J10:J$29)/100,4)</f>
        <v>1.5800000000000002E-2</v>
      </c>
      <c r="AF10" s="1558">
        <f t="shared" ref="AF10" si="59">AE10</f>
        <v>1.5800000000000002E-2</v>
      </c>
      <c r="AG10" s="1558">
        <f>ROUND(AVERAGE(K10:K$29)/100,4)</f>
        <v>2.4500000000000001E-2</v>
      </c>
      <c r="AH10" s="1558">
        <f>ROUND(AVERAGE(L10:L$29)/100,4)</f>
        <v>1.49E-2</v>
      </c>
    </row>
    <row r="11" spans="1:34" s="1565" customFormat="1" ht="14.45" customHeight="1">
      <c r="A11" s="1559" t="s">
        <v>2804</v>
      </c>
      <c r="B11" s="1576">
        <f t="shared" si="13"/>
        <v>459.95733971036987</v>
      </c>
      <c r="C11" s="1576">
        <f t="shared" ref="C11" si="60">C12*(1+O11)</f>
        <v>341.22221064422405</v>
      </c>
      <c r="D11" s="1576">
        <f t="shared" ref="D11" si="61">C11</f>
        <v>341.22221064422405</v>
      </c>
      <c r="E11" s="1576">
        <f t="shared" ref="E11" si="62">E12*(1+P11)</f>
        <v>657.19161663724799</v>
      </c>
      <c r="F11" s="1576">
        <f t="shared" ref="F11" si="63">F12*(1+Q11)</f>
        <v>300.87803644464805</v>
      </c>
      <c r="G11" s="3286"/>
      <c r="H11" s="1562">
        <v>3</v>
      </c>
      <c r="I11" s="1562">
        <v>1.51</v>
      </c>
      <c r="J11" s="1562">
        <v>1.41</v>
      </c>
      <c r="K11" s="1562">
        <v>1.52</v>
      </c>
      <c r="L11" s="1577">
        <v>1.74</v>
      </c>
      <c r="M11" s="1570"/>
      <c r="N11" s="1571">
        <f t="shared" si="18"/>
        <v>1.5100000000000001E-2</v>
      </c>
      <c r="O11" s="1572">
        <f t="shared" ref="O11" si="64">J11/100</f>
        <v>1.41E-2</v>
      </c>
      <c r="P11" s="1572">
        <f t="shared" ref="P11" si="65">K11/100</f>
        <v>1.52E-2</v>
      </c>
      <c r="Q11" s="1572">
        <f t="shared" ref="Q11" si="66">L11/100</f>
        <v>1.7399999999999999E-2</v>
      </c>
      <c r="R11" s="1570"/>
      <c r="S11" s="1571"/>
      <c r="T11" s="1572"/>
      <c r="U11" s="1572"/>
      <c r="V11" s="1572"/>
      <c r="W11" s="1570"/>
      <c r="X11" s="1557">
        <f>ROUND(SUMPRODUCT(PRODUCT(1+N11:N$28)),4)</f>
        <v>1.4956</v>
      </c>
      <c r="Y11" s="1557">
        <f>ROUND(SUMPRODUCT(PRODUCT(1+O11:O$28)),4)</f>
        <v>1.3237000000000001</v>
      </c>
      <c r="Z11" s="1557">
        <f t="shared" ref="Z11" si="67">Y11</f>
        <v>1.3237000000000001</v>
      </c>
      <c r="AA11" s="1557">
        <f>ROUND(SUMPRODUCT(PRODUCT(1+P11:P$28)),4)</f>
        <v>1.554</v>
      </c>
      <c r="AB11" s="1557">
        <f>ROUND(SUMPRODUCT(PRODUCT(1+Q11:Q$28)),4)</f>
        <v>1.3087</v>
      </c>
      <c r="AC11" s="1570"/>
      <c r="AD11" s="1558">
        <f>ROUND(AVERAGE(I11:I$29)/100,4)</f>
        <v>2.3099999999999999E-2</v>
      </c>
      <c r="AE11" s="1558">
        <f>ROUND(AVERAGE(J11:J$29)/100,4)</f>
        <v>1.61E-2</v>
      </c>
      <c r="AF11" s="1558">
        <f t="shared" ref="AF11" si="68">AE11</f>
        <v>1.61E-2</v>
      </c>
      <c r="AG11" s="1558">
        <f>ROUND(AVERAGE(K11:K$29)/100,4)</f>
        <v>2.53E-2</v>
      </c>
      <c r="AH11" s="1558">
        <f>ROUND(AVERAGE(L11:L$29)/100,4)</f>
        <v>1.4999999999999999E-2</v>
      </c>
    </row>
    <row r="12" spans="1:34" s="1565" customFormat="1" ht="14.45" customHeight="1">
      <c r="A12" s="1559" t="s">
        <v>2803</v>
      </c>
      <c r="B12" s="1576">
        <f t="shared" ref="B12:B17" si="69">B13*(1+N12)</f>
        <v>453.11529869999993</v>
      </c>
      <c r="C12" s="1576">
        <f t="shared" ref="C12" si="70">C13*(1+O12)</f>
        <v>336.47787264000004</v>
      </c>
      <c r="D12" s="1576">
        <f t="shared" ref="D12" si="71">C12</f>
        <v>336.47787264000004</v>
      </c>
      <c r="E12" s="1576">
        <f t="shared" ref="E12" si="72">E13*(1+P12)</f>
        <v>647.35186823999993</v>
      </c>
      <c r="F12" s="1576">
        <f t="shared" ref="F12" si="73">F13*(1+Q12)</f>
        <v>295.73229452000004</v>
      </c>
      <c r="G12" s="3286"/>
      <c r="H12" s="1563">
        <v>2</v>
      </c>
      <c r="I12" s="1563">
        <v>1.49</v>
      </c>
      <c r="J12" s="1563">
        <v>0.96</v>
      </c>
      <c r="K12" s="1563">
        <v>1.58</v>
      </c>
      <c r="L12" s="1578">
        <v>2.44</v>
      </c>
      <c r="M12" s="1570"/>
      <c r="N12" s="1571">
        <f t="shared" ref="N12" si="74">I12/100</f>
        <v>1.49E-2</v>
      </c>
      <c r="O12" s="1572">
        <f t="shared" ref="O12" si="75">J12/100</f>
        <v>9.5999999999999992E-3</v>
      </c>
      <c r="P12" s="1572">
        <f t="shared" ref="P12" si="76">K12/100</f>
        <v>1.5800000000000002E-2</v>
      </c>
      <c r="Q12" s="1572">
        <f t="shared" ref="Q12" si="77">L12/100</f>
        <v>2.4399999999999998E-2</v>
      </c>
      <c r="R12" s="1570"/>
      <c r="S12" s="1571"/>
      <c r="T12" s="1572"/>
      <c r="U12" s="1572"/>
      <c r="V12" s="1572"/>
      <c r="W12" s="1570"/>
      <c r="X12" s="1557">
        <f>ROUND(SUMPRODUCT(PRODUCT(1+N12:N$28)),4)</f>
        <v>1.4733000000000001</v>
      </c>
      <c r="Y12" s="1557">
        <f>ROUND(SUMPRODUCT(PRODUCT(1+O12:O$28)),4)</f>
        <v>1.3052999999999999</v>
      </c>
      <c r="Z12" s="1557">
        <f t="shared" ref="Z12" si="78">Y12</f>
        <v>1.3052999999999999</v>
      </c>
      <c r="AA12" s="1557">
        <f>ROUND(SUMPRODUCT(PRODUCT(1+P12:P$28)),4)</f>
        <v>1.5306999999999999</v>
      </c>
      <c r="AB12" s="1557">
        <f>ROUND(SUMPRODUCT(PRODUCT(1+Q12:Q$28)),4)</f>
        <v>1.2863</v>
      </c>
      <c r="AC12" s="1570"/>
      <c r="AD12" s="1558">
        <f>ROUND(AVERAGE(I12:I$29)/100,4)</f>
        <v>2.35E-2</v>
      </c>
      <c r="AE12" s="1558">
        <f>ROUND(AVERAGE(J12:J$29)/100,4)</f>
        <v>1.6199999999999999E-2</v>
      </c>
      <c r="AF12" s="1558">
        <f t="shared" ref="AF12" si="79">AE12</f>
        <v>1.6199999999999999E-2</v>
      </c>
      <c r="AG12" s="1558">
        <f>ROUND(AVERAGE(K12:K$29)/100,4)</f>
        <v>2.5899999999999999E-2</v>
      </c>
      <c r="AH12" s="1558">
        <f>ROUND(AVERAGE(L12:L$29)/100,4)</f>
        <v>1.49E-2</v>
      </c>
    </row>
    <row r="13" spans="1:34" s="1565" customFormat="1" ht="15" customHeight="1" thickBot="1">
      <c r="A13" s="1559" t="s">
        <v>2800</v>
      </c>
      <c r="B13" s="1576">
        <f t="shared" si="69"/>
        <v>446.46299999999997</v>
      </c>
      <c r="C13" s="1576">
        <f t="shared" ref="C13" si="80">C14*(1+O13)</f>
        <v>333.27840000000003</v>
      </c>
      <c r="D13" s="1576">
        <f t="shared" ref="D13:D18" si="81">C13</f>
        <v>333.27840000000003</v>
      </c>
      <c r="E13" s="1576">
        <f t="shared" ref="E13" si="82">E14*(1+P13)</f>
        <v>637.28279999999995</v>
      </c>
      <c r="F13" s="1576">
        <f t="shared" ref="F13" si="83">F14*(1+Q13)</f>
        <v>288.68830000000003</v>
      </c>
      <c r="G13" s="3293"/>
      <c r="H13" s="1562">
        <v>1</v>
      </c>
      <c r="I13" s="1562">
        <v>1.7</v>
      </c>
      <c r="J13" s="1562">
        <v>1.92</v>
      </c>
      <c r="K13" s="1562">
        <v>1.64</v>
      </c>
      <c r="L13" s="1577">
        <v>2.0099999999999998</v>
      </c>
      <c r="M13" s="1570"/>
      <c r="N13" s="1571">
        <f t="shared" ref="N13:N18" si="84">I13/100</f>
        <v>1.7000000000000001E-2</v>
      </c>
      <c r="O13" s="1572">
        <f t="shared" ref="O13" si="85">J13/100</f>
        <v>1.9199999999999998E-2</v>
      </c>
      <c r="P13" s="1572">
        <f t="shared" ref="P13" si="86">K13/100</f>
        <v>1.6399999999999998E-2</v>
      </c>
      <c r="Q13" s="1572">
        <f t="shared" ref="Q13" si="87">L13/100</f>
        <v>2.0099999999999996E-2</v>
      </c>
      <c r="R13" s="1570"/>
      <c r="S13" s="1579">
        <f>B13/B14-1</f>
        <v>1.6999999999999904E-2</v>
      </c>
      <c r="T13" s="1580">
        <f>C13/C14-1</f>
        <v>1.9200000000000106E-2</v>
      </c>
      <c r="U13" s="1580">
        <f>E13/E14-1</f>
        <v>1.639999999999997E-2</v>
      </c>
      <c r="V13" s="1580">
        <f>F13/F14-1</f>
        <v>2.0100000000000007E-2</v>
      </c>
      <c r="W13" s="1570"/>
      <c r="X13" s="1557">
        <f>ROUND(SUMPRODUCT(PRODUCT(1+N13:N$28)),4)</f>
        <v>1.4517</v>
      </c>
      <c r="Y13" s="1557">
        <f>ROUND(SUMPRODUCT(PRODUCT(1+O13:O$28)),4)</f>
        <v>1.2928999999999999</v>
      </c>
      <c r="Z13" s="1557">
        <f t="shared" ref="Z13" si="88">Y13</f>
        <v>1.2928999999999999</v>
      </c>
      <c r="AA13" s="1557">
        <f>ROUND(SUMPRODUCT(PRODUCT(1+P13:P$28)),4)</f>
        <v>1.5068999999999999</v>
      </c>
      <c r="AB13" s="1557">
        <f>ROUND(SUMPRODUCT(PRODUCT(1+Q13:Q$28)),4)</f>
        <v>1.2557</v>
      </c>
      <c r="AC13" s="1570"/>
      <c r="AD13" s="1558">
        <f>ROUND(AVERAGE(I13:I$29)/100,4)</f>
        <v>2.4E-2</v>
      </c>
      <c r="AE13" s="1558">
        <f>ROUND(AVERAGE(J13:J$29)/100,4)</f>
        <v>1.66E-2</v>
      </c>
      <c r="AF13" s="1558">
        <f t="shared" ref="AF13" si="89">AE13</f>
        <v>1.66E-2</v>
      </c>
      <c r="AG13" s="1558">
        <f>ROUND(AVERAGE(K13:K$29)/100,4)</f>
        <v>2.6499999999999999E-2</v>
      </c>
      <c r="AH13" s="1558">
        <f>ROUND(AVERAGE(L13:L$29)/100,4)</f>
        <v>1.43E-2</v>
      </c>
    </row>
    <row r="14" spans="1:34">
      <c r="A14" s="1559" t="s">
        <v>2797</v>
      </c>
      <c r="B14" s="1568">
        <v>439</v>
      </c>
      <c r="C14" s="1568">
        <v>327</v>
      </c>
      <c r="D14" s="1568">
        <f t="shared" si="81"/>
        <v>327</v>
      </c>
      <c r="E14" s="1568">
        <v>627</v>
      </c>
      <c r="F14" s="1569">
        <v>283</v>
      </c>
      <c r="G14" s="3289">
        <v>2017</v>
      </c>
      <c r="H14" s="1560">
        <v>4</v>
      </c>
      <c r="I14" s="1560">
        <v>1.71</v>
      </c>
      <c r="J14" s="1560">
        <v>1.78</v>
      </c>
      <c r="K14" s="1560">
        <v>1.71</v>
      </c>
      <c r="L14" s="1561">
        <v>1.43</v>
      </c>
      <c r="N14" s="1583">
        <f t="shared" si="84"/>
        <v>1.7100000000000001E-2</v>
      </c>
      <c r="O14" s="1584">
        <f t="shared" ref="O14" si="90">J14/100</f>
        <v>1.78E-2</v>
      </c>
      <c r="P14" s="1584">
        <f t="shared" ref="P14" si="91">K14/100</f>
        <v>1.7100000000000001E-2</v>
      </c>
      <c r="Q14" s="1584">
        <f t="shared" ref="Q14" si="92">L14/100</f>
        <v>1.43E-2</v>
      </c>
      <c r="R14" s="1573"/>
      <c r="S14" s="1574"/>
      <c r="T14" s="1575"/>
      <c r="U14" s="1575"/>
      <c r="V14" s="1575"/>
      <c r="X14" s="1557">
        <f>ROUND(SUMPRODUCT(PRODUCT(1+N14:N$28)),4)</f>
        <v>1.4274</v>
      </c>
      <c r="Y14" s="1557">
        <f>ROUND(SUMPRODUCT(PRODUCT(1+O14:O$28)),4)</f>
        <v>1.2685</v>
      </c>
      <c r="Z14" s="1557">
        <f t="shared" si="0"/>
        <v>1.2685</v>
      </c>
      <c r="AA14" s="1557">
        <f>ROUND(SUMPRODUCT(PRODUCT(1+P14:P$28)),4)</f>
        <v>1.4825999999999999</v>
      </c>
      <c r="AB14" s="1557">
        <f>ROUND(SUMPRODUCT(PRODUCT(1+Q14:Q$28)),4)</f>
        <v>1.2309000000000001</v>
      </c>
      <c r="AD14" s="1558">
        <f>ROUND(AVERAGE(I14:I$29)/100,4)</f>
        <v>2.4500000000000001E-2</v>
      </c>
      <c r="AE14" s="1558">
        <f>ROUND(AVERAGE(J14:J$29)/100,4)</f>
        <v>1.6500000000000001E-2</v>
      </c>
      <c r="AF14" s="1558">
        <f t="shared" si="1"/>
        <v>1.6500000000000001E-2</v>
      </c>
      <c r="AG14" s="1558">
        <f>ROUND(AVERAGE(K14:K$29)/100,4)</f>
        <v>2.7099999999999999E-2</v>
      </c>
      <c r="AH14" s="1558">
        <f>ROUND(AVERAGE(L14:L$29)/100,4)</f>
        <v>1.3899999999999999E-2</v>
      </c>
    </row>
    <row r="15" spans="1:34" s="1565" customFormat="1" ht="14.45" customHeight="1">
      <c r="A15" s="1559" t="s">
        <v>2792</v>
      </c>
      <c r="B15" s="1576">
        <f t="shared" si="69"/>
        <v>431.80730811680002</v>
      </c>
      <c r="C15" s="1576">
        <f t="shared" ref="C15" si="93">C16*(1+O15)</f>
        <v>320.57880516480003</v>
      </c>
      <c r="D15" s="1576">
        <f t="shared" si="81"/>
        <v>320.57880516480003</v>
      </c>
      <c r="E15" s="1576">
        <f t="shared" ref="E15:F17" si="94">E16*(1+P15)</f>
        <v>615.96110553196797</v>
      </c>
      <c r="F15" s="1576">
        <f t="shared" si="94"/>
        <v>279.46777300108801</v>
      </c>
      <c r="G15" s="3286"/>
      <c r="H15" s="1562">
        <v>3</v>
      </c>
      <c r="I15" s="1562">
        <v>2.98</v>
      </c>
      <c r="J15" s="1562">
        <v>2.11</v>
      </c>
      <c r="K15" s="1562">
        <v>3.24</v>
      </c>
      <c r="L15" s="1577">
        <v>1.72</v>
      </c>
      <c r="M15" s="1570"/>
      <c r="N15" s="1571">
        <f t="shared" si="84"/>
        <v>2.98E-2</v>
      </c>
      <c r="O15" s="1588">
        <f t="shared" ref="O15" si="95">J15/100</f>
        <v>2.1099999999999997E-2</v>
      </c>
      <c r="P15" s="1588">
        <f t="shared" ref="P15" si="96">K15/100</f>
        <v>3.2400000000000005E-2</v>
      </c>
      <c r="Q15" s="1588">
        <f t="shared" ref="Q15" si="97">L15/100</f>
        <v>1.72E-2</v>
      </c>
      <c r="R15" s="1570"/>
      <c r="S15" s="1571"/>
      <c r="T15" s="1572"/>
      <c r="U15" s="1572"/>
      <c r="V15" s="1572"/>
      <c r="W15" s="1570"/>
      <c r="X15" s="1557">
        <f>ROUND(SUMPRODUCT(PRODUCT(1+N15:N$28)),4)</f>
        <v>1.4034</v>
      </c>
      <c r="Y15" s="1557">
        <f>ROUND(SUMPRODUCT(PRODUCT(1+O15:O$28)),4)</f>
        <v>1.2463</v>
      </c>
      <c r="Z15" s="1557">
        <f t="shared" si="0"/>
        <v>1.2463</v>
      </c>
      <c r="AA15" s="1557">
        <f>ROUND(SUMPRODUCT(PRODUCT(1+P15:P$28)),4)</f>
        <v>1.4577</v>
      </c>
      <c r="AB15" s="1557">
        <f>ROUND(SUMPRODUCT(PRODUCT(1+Q15:Q$28)),4)</f>
        <v>1.2136</v>
      </c>
      <c r="AC15" s="1570"/>
      <c r="AD15" s="1558">
        <f>ROUND(AVERAGE(I15:I$29)/100,4)</f>
        <v>2.4899999999999999E-2</v>
      </c>
      <c r="AE15" s="1558">
        <f>ROUND(AVERAGE(J15:J$29)/100,4)</f>
        <v>1.6400000000000001E-2</v>
      </c>
      <c r="AF15" s="1558">
        <f t="shared" si="1"/>
        <v>1.6400000000000001E-2</v>
      </c>
      <c r="AG15" s="1558">
        <f>ROUND(AVERAGE(K15:K$29)/100,4)</f>
        <v>2.7799999999999998E-2</v>
      </c>
      <c r="AH15" s="1558">
        <f>ROUND(AVERAGE(L15:L$29)/100,4)</f>
        <v>1.3899999999999999E-2</v>
      </c>
    </row>
    <row r="16" spans="1:34" s="1818" customFormat="1" ht="14.45" customHeight="1">
      <c r="A16" s="1559" t="s">
        <v>1252</v>
      </c>
      <c r="B16" s="1576">
        <f t="shared" si="69"/>
        <v>419.31181600000002</v>
      </c>
      <c r="C16" s="1576">
        <f t="shared" ref="C16" si="98">C17*(1+O16)</f>
        <v>313.95436800000004</v>
      </c>
      <c r="D16" s="1576">
        <f t="shared" si="81"/>
        <v>313.95436800000004</v>
      </c>
      <c r="E16" s="1576">
        <f t="shared" si="94"/>
        <v>596.63028431999999</v>
      </c>
      <c r="F16" s="1576">
        <f t="shared" si="94"/>
        <v>274.74220703999998</v>
      </c>
      <c r="G16" s="3286"/>
      <c r="H16" s="1563">
        <v>2</v>
      </c>
      <c r="I16" s="1563">
        <v>3.4</v>
      </c>
      <c r="J16" s="1563">
        <v>2</v>
      </c>
      <c r="K16" s="1563">
        <v>3.82</v>
      </c>
      <c r="L16" s="1578">
        <v>1.68</v>
      </c>
      <c r="M16" s="1570"/>
      <c r="N16" s="1571">
        <f t="shared" si="84"/>
        <v>3.4000000000000002E-2</v>
      </c>
      <c r="O16" s="1588">
        <f t="shared" ref="O16" si="99">J16/100</f>
        <v>0.02</v>
      </c>
      <c r="P16" s="1588">
        <f t="shared" ref="P16" si="100">K16/100</f>
        <v>3.8199999999999998E-2</v>
      </c>
      <c r="Q16" s="1588">
        <f t="shared" ref="Q16" si="101">L16/100</f>
        <v>1.6799999999999999E-2</v>
      </c>
      <c r="R16" s="1570"/>
      <c r="S16" s="1571"/>
      <c r="T16" s="1572"/>
      <c r="U16" s="1572"/>
      <c r="V16" s="1572"/>
      <c r="W16" s="1570"/>
      <c r="X16" s="1871">
        <f>ROUND(SUMPRODUCT(PRODUCT(1+N16:N$28)),4)</f>
        <v>1.3628</v>
      </c>
      <c r="Y16" s="1871">
        <f>ROUND(SUMPRODUCT(PRODUCT(1+O16:O$28)),4)</f>
        <v>1.2205999999999999</v>
      </c>
      <c r="Z16" s="1871">
        <f t="shared" si="0"/>
        <v>1.2205999999999999</v>
      </c>
      <c r="AA16" s="1871">
        <f>ROUND(SUMPRODUCT(PRODUCT(1+P16:P$28)),4)</f>
        <v>1.4118999999999999</v>
      </c>
      <c r="AB16" s="1871">
        <f>ROUND(SUMPRODUCT(PRODUCT(1+Q16:Q$28)),4)</f>
        <v>1.1930000000000001</v>
      </c>
      <c r="AC16" s="1551"/>
      <c r="AD16" s="1872">
        <f>ROUND(AVERAGE(I16:I$29)/100,4)</f>
        <v>2.46E-2</v>
      </c>
      <c r="AE16" s="1872">
        <f>ROUND(AVERAGE(J16:J$29)/100,4)</f>
        <v>1.6E-2</v>
      </c>
      <c r="AF16" s="1872">
        <f t="shared" si="1"/>
        <v>1.6E-2</v>
      </c>
      <c r="AG16" s="1872">
        <f>ROUND(AVERAGE(K16:K$29)/100,4)</f>
        <v>2.75E-2</v>
      </c>
      <c r="AH16" s="1872">
        <f>ROUND(AVERAGE(L16:L$29)/100,4)</f>
        <v>1.37E-2</v>
      </c>
    </row>
    <row r="17" spans="1:34" s="1565" customFormat="1" ht="15" customHeight="1" thickBot="1">
      <c r="A17" s="1559" t="s">
        <v>1043</v>
      </c>
      <c r="B17" s="1576">
        <f t="shared" si="69"/>
        <v>405.524</v>
      </c>
      <c r="C17" s="1576">
        <f t="shared" ref="C17" si="102">C18*(1+O17)</f>
        <v>307.79840000000002</v>
      </c>
      <c r="D17" s="1576">
        <f t="shared" si="81"/>
        <v>307.79840000000002</v>
      </c>
      <c r="E17" s="1576">
        <f t="shared" si="94"/>
        <v>574.67759999999998</v>
      </c>
      <c r="F17" s="1576">
        <f t="shared" si="94"/>
        <v>270.20280000000002</v>
      </c>
      <c r="G17" s="3293"/>
      <c r="H17" s="1562">
        <v>1</v>
      </c>
      <c r="I17" s="1562">
        <v>3.45</v>
      </c>
      <c r="J17" s="1562">
        <v>1.92</v>
      </c>
      <c r="K17" s="1562">
        <v>3.92</v>
      </c>
      <c r="L17" s="1577">
        <v>1.58</v>
      </c>
      <c r="M17" s="1570"/>
      <c r="N17" s="1579">
        <f t="shared" si="84"/>
        <v>3.4500000000000003E-2</v>
      </c>
      <c r="O17" s="1580">
        <f t="shared" ref="O17:Q32" si="103">J17/100</f>
        <v>1.9199999999999998E-2</v>
      </c>
      <c r="P17" s="1580">
        <f t="shared" si="103"/>
        <v>3.9199999999999999E-2</v>
      </c>
      <c r="Q17" s="1580">
        <f t="shared" si="103"/>
        <v>1.5800000000000002E-2</v>
      </c>
      <c r="R17" s="1570"/>
      <c r="S17" s="1579">
        <f>B17/B18-1</f>
        <v>3.4499999999999975E-2</v>
      </c>
      <c r="T17" s="1580">
        <f>C17/C18-1</f>
        <v>1.9200000000000106E-2</v>
      </c>
      <c r="U17" s="1580">
        <f>E17/E18-1</f>
        <v>3.9199999999999902E-2</v>
      </c>
      <c r="V17" s="1580">
        <f>F17/F18-1</f>
        <v>1.5800000000000036E-2</v>
      </c>
      <c r="W17" s="1570"/>
      <c r="X17" s="1557">
        <f>ROUND(SUMPRODUCT(PRODUCT(1+N17:N$28)),4)</f>
        <v>1.3180000000000001</v>
      </c>
      <c r="Y17" s="1557">
        <f>ROUND(SUMPRODUCT(PRODUCT(1+O17:O$28)),4)</f>
        <v>1.1966000000000001</v>
      </c>
      <c r="Z17" s="1557">
        <f t="shared" si="0"/>
        <v>1.1966000000000001</v>
      </c>
      <c r="AA17" s="1557">
        <f>ROUND(SUMPRODUCT(PRODUCT(1+P17:P$28)),4)</f>
        <v>1.36</v>
      </c>
      <c r="AB17" s="1557">
        <f>ROUND(SUMPRODUCT(PRODUCT(1+Q17:Q$28)),4)</f>
        <v>1.1733</v>
      </c>
      <c r="AC17" s="1570"/>
      <c r="AD17" s="1558">
        <f>ROUND(AVERAGE(I17:I$29)/100,4)</f>
        <v>2.3900000000000001E-2</v>
      </c>
      <c r="AE17" s="1558">
        <f>ROUND(AVERAGE(J17:J$29)/100,4)</f>
        <v>1.5699999999999999E-2</v>
      </c>
      <c r="AF17" s="1558">
        <f t="shared" si="1"/>
        <v>1.5699999999999999E-2</v>
      </c>
      <c r="AG17" s="1558">
        <f>ROUND(AVERAGE(K17:K$29)/100,4)</f>
        <v>2.6599999999999999E-2</v>
      </c>
      <c r="AH17" s="1558">
        <f>ROUND(AVERAGE(L17:L$29)/100,4)</f>
        <v>1.34E-2</v>
      </c>
    </row>
    <row r="18" spans="1:34">
      <c r="A18" s="1559" t="s">
        <v>1044</v>
      </c>
      <c r="B18" s="1568">
        <v>392</v>
      </c>
      <c r="C18" s="1568">
        <v>302</v>
      </c>
      <c r="D18" s="1568">
        <f t="shared" si="81"/>
        <v>302</v>
      </c>
      <c r="E18" s="1568">
        <v>553</v>
      </c>
      <c r="F18" s="1569">
        <v>266</v>
      </c>
      <c r="G18" s="3289">
        <v>2016</v>
      </c>
      <c r="H18" s="1560">
        <v>4</v>
      </c>
      <c r="I18" s="1560">
        <v>4.5599999999999996</v>
      </c>
      <c r="J18" s="1560">
        <v>2.15</v>
      </c>
      <c r="K18" s="1560">
        <v>5.32</v>
      </c>
      <c r="L18" s="1561">
        <v>1.57</v>
      </c>
      <c r="N18" s="1571">
        <f t="shared" si="84"/>
        <v>4.5599999999999995E-2</v>
      </c>
      <c r="O18" s="1572">
        <f t="shared" si="103"/>
        <v>2.1499999999999998E-2</v>
      </c>
      <c r="P18" s="1572">
        <f t="shared" si="103"/>
        <v>5.3200000000000004E-2</v>
      </c>
      <c r="Q18" s="1572">
        <f t="shared" si="103"/>
        <v>1.5700000000000002E-2</v>
      </c>
      <c r="R18" s="1573"/>
      <c r="S18" s="1574"/>
      <c r="T18" s="1575"/>
      <c r="U18" s="1575"/>
      <c r="V18" s="1575"/>
      <c r="X18" s="1557">
        <f>ROUND(SUMPRODUCT(PRODUCT(1+N18:N$28)),4)</f>
        <v>1.274</v>
      </c>
      <c r="Y18" s="1557">
        <f>ROUND(SUMPRODUCT(PRODUCT(1+O18:O$28)),4)</f>
        <v>1.1740999999999999</v>
      </c>
      <c r="Z18" s="1557">
        <f t="shared" si="0"/>
        <v>1.1740999999999999</v>
      </c>
      <c r="AA18" s="1557">
        <f>ROUND(SUMPRODUCT(PRODUCT(1+P18:P$28)),4)</f>
        <v>1.3087</v>
      </c>
      <c r="AB18" s="1557">
        <f>ROUND(SUMPRODUCT(PRODUCT(1+Q18:Q$28)),4)</f>
        <v>1.1551</v>
      </c>
      <c r="AD18" s="1558">
        <f>ROUND(AVERAGE(I18:I$29)/100,4)</f>
        <v>2.3E-2</v>
      </c>
      <c r="AE18" s="1558">
        <f>ROUND(AVERAGE(J18:J$29)/100,4)</f>
        <v>1.55E-2</v>
      </c>
      <c r="AF18" s="1558">
        <f t="shared" ref="AF18:AF27" si="104">AE18</f>
        <v>1.55E-2</v>
      </c>
      <c r="AG18" s="1558">
        <f>ROUND(AVERAGE(K18:K$29)/100,4)</f>
        <v>2.5600000000000001E-2</v>
      </c>
      <c r="AH18" s="1558">
        <f>ROUND(AVERAGE(L18:L$29)/100,4)</f>
        <v>1.32E-2</v>
      </c>
    </row>
    <row r="19" spans="1:34">
      <c r="A19" s="1559" t="s">
        <v>103</v>
      </c>
      <c r="B19" s="1576">
        <f t="shared" ref="B19:C21" si="105">B18/(1+N18)</f>
        <v>374.90436113236416</v>
      </c>
      <c r="C19" s="1576">
        <f t="shared" si="105"/>
        <v>295.64366128242779</v>
      </c>
      <c r="D19" s="1576">
        <f t="shared" ref="D19:D78" si="106">C19</f>
        <v>295.64366128242779</v>
      </c>
      <c r="E19" s="1576">
        <f t="shared" ref="E19:F21" si="107">E18/(1+P18)</f>
        <v>525.06646410938095</v>
      </c>
      <c r="F19" s="1576">
        <f t="shared" si="107"/>
        <v>261.88835286009646</v>
      </c>
      <c r="G19" s="3286"/>
      <c r="H19" s="1562">
        <v>3</v>
      </c>
      <c r="I19" s="1562">
        <v>4.12</v>
      </c>
      <c r="J19" s="1562">
        <v>2</v>
      </c>
      <c r="K19" s="1562">
        <v>4.79</v>
      </c>
      <c r="L19" s="1577">
        <v>1.97</v>
      </c>
      <c r="N19" s="1571">
        <f t="shared" ref="N19:Q53" si="108">I19/100</f>
        <v>4.1200000000000001E-2</v>
      </c>
      <c r="O19" s="1572">
        <f t="shared" si="103"/>
        <v>0.02</v>
      </c>
      <c r="P19" s="1572">
        <f t="shared" si="103"/>
        <v>4.7899999999999998E-2</v>
      </c>
      <c r="Q19" s="1572">
        <f t="shared" si="103"/>
        <v>1.9699999999999999E-2</v>
      </c>
      <c r="R19" s="1573"/>
      <c r="S19" s="1571"/>
      <c r="T19" s="1572"/>
      <c r="U19" s="1572"/>
      <c r="V19" s="1572"/>
      <c r="X19" s="1557">
        <f>ROUND(SUMPRODUCT(PRODUCT(1+N19:N$28)),4)</f>
        <v>1.2184999999999999</v>
      </c>
      <c r="Y19" s="1557">
        <f>ROUND(SUMPRODUCT(PRODUCT(1+O19:O$28)),4)</f>
        <v>1.1494</v>
      </c>
      <c r="Z19" s="1557">
        <f t="shared" si="0"/>
        <v>1.1494</v>
      </c>
      <c r="AA19" s="1557">
        <f>ROUND(SUMPRODUCT(PRODUCT(1+P19:P$28)),4)</f>
        <v>1.2425999999999999</v>
      </c>
      <c r="AB19" s="1557">
        <f>ROUND(SUMPRODUCT(PRODUCT(1+Q19:Q$28)),4)</f>
        <v>1.1372</v>
      </c>
      <c r="AD19" s="1558">
        <f>ROUND(AVERAGE(I19:I$29)/100,4)</f>
        <v>2.0899999999999998E-2</v>
      </c>
      <c r="AE19" s="1558">
        <f>ROUND(AVERAGE(J19:J$29)/100,4)</f>
        <v>1.49E-2</v>
      </c>
      <c r="AF19" s="1558">
        <f t="shared" si="104"/>
        <v>1.49E-2</v>
      </c>
      <c r="AG19" s="1558">
        <f>ROUND(AVERAGE(K19:K$29)/100,4)</f>
        <v>2.3099999999999999E-2</v>
      </c>
      <c r="AH19" s="1558">
        <f>ROUND(AVERAGE(L19:L$29)/100,4)</f>
        <v>1.2999999999999999E-2</v>
      </c>
    </row>
    <row r="20" spans="1:34">
      <c r="A20" s="1559" t="s">
        <v>93</v>
      </c>
      <c r="B20" s="1576">
        <f t="shared" si="105"/>
        <v>360.06949782209392</v>
      </c>
      <c r="C20" s="1576">
        <f t="shared" si="105"/>
        <v>289.84672674747821</v>
      </c>
      <c r="D20" s="1576">
        <f t="shared" si="106"/>
        <v>289.84672674747821</v>
      </c>
      <c r="E20" s="1576">
        <f t="shared" si="107"/>
        <v>501.06543001181495</v>
      </c>
      <c r="F20" s="1576">
        <f t="shared" si="107"/>
        <v>256.82882500744967</v>
      </c>
      <c r="G20" s="3286"/>
      <c r="H20" s="1563">
        <v>2</v>
      </c>
      <c r="I20" s="1563">
        <v>3.85</v>
      </c>
      <c r="J20" s="1563">
        <v>1.95</v>
      </c>
      <c r="K20" s="1563">
        <v>4.4800000000000004</v>
      </c>
      <c r="L20" s="1578">
        <v>1.41</v>
      </c>
      <c r="N20" s="1571">
        <f t="shared" si="108"/>
        <v>3.85E-2</v>
      </c>
      <c r="O20" s="1572">
        <f t="shared" si="103"/>
        <v>1.95E-2</v>
      </c>
      <c r="P20" s="1572">
        <f t="shared" si="103"/>
        <v>4.4800000000000006E-2</v>
      </c>
      <c r="Q20" s="1572">
        <f t="shared" si="103"/>
        <v>1.41E-2</v>
      </c>
      <c r="R20" s="1573"/>
      <c r="S20" s="1571"/>
      <c r="T20" s="1572"/>
      <c r="U20" s="1572"/>
      <c r="V20" s="1572"/>
      <c r="X20" s="1557">
        <f>ROUND(SUMPRODUCT(PRODUCT(1+N20:N$28)),4)</f>
        <v>1.1702999999999999</v>
      </c>
      <c r="Y20" s="1557">
        <f>ROUND(SUMPRODUCT(PRODUCT(1+O20:O$28)),4)</f>
        <v>1.1269</v>
      </c>
      <c r="Z20" s="1557">
        <f t="shared" si="0"/>
        <v>1.1269</v>
      </c>
      <c r="AA20" s="1557">
        <f>ROUND(SUMPRODUCT(PRODUCT(1+P20:P$28)),4)</f>
        <v>1.1858</v>
      </c>
      <c r="AB20" s="1557">
        <f>ROUND(SUMPRODUCT(PRODUCT(1+Q20:Q$28)),4)</f>
        <v>1.1152</v>
      </c>
      <c r="AD20" s="1558">
        <f>ROUND(AVERAGE(I20:I$29)/100,4)</f>
        <v>1.89E-2</v>
      </c>
      <c r="AE20" s="1558">
        <f>ROUND(AVERAGE(J20:J$29)/100,4)</f>
        <v>1.44E-2</v>
      </c>
      <c r="AF20" s="1558">
        <f t="shared" si="104"/>
        <v>1.44E-2</v>
      </c>
      <c r="AG20" s="1558">
        <f>ROUND(AVERAGE(K20:K$29)/100,4)</f>
        <v>2.06E-2</v>
      </c>
      <c r="AH20" s="1558">
        <f>ROUND(AVERAGE(L20:L$29)/100,4)</f>
        <v>1.23E-2</v>
      </c>
    </row>
    <row r="21" spans="1:34" ht="13.5" thickBot="1">
      <c r="A21" s="1559" t="s">
        <v>102</v>
      </c>
      <c r="B21" s="1576">
        <f t="shared" si="105"/>
        <v>346.720748986128</v>
      </c>
      <c r="C21" s="1576">
        <f t="shared" si="105"/>
        <v>284.30282172386285</v>
      </c>
      <c r="D21" s="1576">
        <f t="shared" si="106"/>
        <v>284.30282172386285</v>
      </c>
      <c r="E21" s="1576">
        <f t="shared" si="107"/>
        <v>479.58023546306947</v>
      </c>
      <c r="F21" s="1576">
        <f t="shared" si="107"/>
        <v>253.25788877571213</v>
      </c>
      <c r="G21" s="3287"/>
      <c r="H21" s="1562">
        <v>1</v>
      </c>
      <c r="I21" s="1562">
        <v>4.09</v>
      </c>
      <c r="J21" s="1562">
        <v>2.93</v>
      </c>
      <c r="K21" s="1562">
        <v>4.54</v>
      </c>
      <c r="L21" s="1577">
        <v>1.48</v>
      </c>
      <c r="N21" s="1571">
        <f t="shared" si="108"/>
        <v>4.0899999999999999E-2</v>
      </c>
      <c r="O21" s="1572">
        <f t="shared" si="103"/>
        <v>2.9300000000000003E-2</v>
      </c>
      <c r="P21" s="1572">
        <f t="shared" si="103"/>
        <v>4.5400000000000003E-2</v>
      </c>
      <c r="Q21" s="1572">
        <f t="shared" si="103"/>
        <v>1.4800000000000001E-2</v>
      </c>
      <c r="R21" s="1573"/>
      <c r="S21" s="1579">
        <f>B21/B22-1</f>
        <v>4.1203450408792808E-2</v>
      </c>
      <c r="T21" s="1580">
        <f>C21/C22-1</f>
        <v>2.6363977342465095E-2</v>
      </c>
      <c r="U21" s="1580">
        <f>E21/E22-1</f>
        <v>4.4837114298626357E-2</v>
      </c>
      <c r="V21" s="1580">
        <f>F21/F22-1</f>
        <v>1.7099954922538574E-2</v>
      </c>
      <c r="X21" s="1557">
        <f>ROUND(SUMPRODUCT(PRODUCT(1+N21:N$28)),4)</f>
        <v>1.1269</v>
      </c>
      <c r="Y21" s="1557">
        <f>ROUND(SUMPRODUCT(PRODUCT(1+O21:O$28)),4)</f>
        <v>1.1052999999999999</v>
      </c>
      <c r="Z21" s="1557">
        <f t="shared" si="0"/>
        <v>1.1052999999999999</v>
      </c>
      <c r="AA21" s="1557">
        <f>ROUND(SUMPRODUCT(PRODUCT(1+P21:P$28)),4)</f>
        <v>1.1349</v>
      </c>
      <c r="AB21" s="1557">
        <f>ROUND(SUMPRODUCT(PRODUCT(1+Q21:Q$28)),4)</f>
        <v>1.0996999999999999</v>
      </c>
      <c r="AD21" s="1558">
        <f>ROUND(AVERAGE(I21:I$29)/100,4)</f>
        <v>1.67E-2</v>
      </c>
      <c r="AE21" s="1558">
        <f>ROUND(AVERAGE(J21:J$29)/100,4)</f>
        <v>1.38E-2</v>
      </c>
      <c r="AF21" s="1558">
        <f t="shared" si="104"/>
        <v>1.38E-2</v>
      </c>
      <c r="AG21" s="1558">
        <f>ROUND(AVERAGE(K21:K$29)/100,4)</f>
        <v>1.7899999999999999E-2</v>
      </c>
      <c r="AH21" s="1558">
        <f>ROUND(AVERAGE(L21:L$29)/100,4)</f>
        <v>1.21E-2</v>
      </c>
    </row>
    <row r="22" spans="1:34" ht="13.5" thickBot="1">
      <c r="A22" s="1559" t="s">
        <v>101</v>
      </c>
      <c r="B22" s="1568">
        <v>333</v>
      </c>
      <c r="C22" s="1568">
        <v>277</v>
      </c>
      <c r="D22" s="1568">
        <f t="shared" si="106"/>
        <v>277</v>
      </c>
      <c r="E22" s="1568">
        <v>459</v>
      </c>
      <c r="F22" s="1569">
        <v>249</v>
      </c>
      <c r="G22" s="3285">
        <v>2015</v>
      </c>
      <c r="H22" s="1581">
        <v>4</v>
      </c>
      <c r="I22" s="1581">
        <v>1.63</v>
      </c>
      <c r="J22" s="1581">
        <v>1.1100000000000001</v>
      </c>
      <c r="K22" s="1581">
        <v>1.77</v>
      </c>
      <c r="L22" s="1582">
        <v>1.89</v>
      </c>
      <c r="N22" s="1583">
        <f t="shared" si="108"/>
        <v>1.6299999999999999E-2</v>
      </c>
      <c r="O22" s="1584">
        <f t="shared" si="103"/>
        <v>1.11E-2</v>
      </c>
      <c r="P22" s="1584">
        <f t="shared" si="103"/>
        <v>1.77E-2</v>
      </c>
      <c r="Q22" s="1584">
        <f t="shared" si="103"/>
        <v>1.89E-2</v>
      </c>
      <c r="R22" s="1573"/>
      <c r="X22" s="1557">
        <f>ROUND(SUMPRODUCT(PRODUCT(1+N22:N$28)),4)</f>
        <v>1.0826</v>
      </c>
      <c r="Y22" s="1557">
        <f>ROUND(SUMPRODUCT(PRODUCT(1+O22:O$28)),4)</f>
        <v>1.0738000000000001</v>
      </c>
      <c r="Z22" s="1557">
        <f t="shared" si="0"/>
        <v>1.0738000000000001</v>
      </c>
      <c r="AA22" s="1557">
        <f>ROUND(SUMPRODUCT(PRODUCT(1+P22:P$28)),4)</f>
        <v>1.0855999999999999</v>
      </c>
      <c r="AB22" s="1557">
        <f>ROUND(SUMPRODUCT(PRODUCT(1+Q22:Q$28)),4)</f>
        <v>1.0837000000000001</v>
      </c>
      <c r="AD22" s="1558">
        <f>ROUND(AVERAGE(I22:I$29)/100,4)</f>
        <v>1.37E-2</v>
      </c>
      <c r="AE22" s="1558">
        <f>ROUND(AVERAGE(J22:J$29)/100,4)</f>
        <v>1.1900000000000001E-2</v>
      </c>
      <c r="AF22" s="1558">
        <f t="shared" si="104"/>
        <v>1.1900000000000001E-2</v>
      </c>
      <c r="AG22" s="1558">
        <f>ROUND(AVERAGE(K22:K$29)/100,4)</f>
        <v>1.4500000000000001E-2</v>
      </c>
      <c r="AH22" s="1558">
        <f>ROUND(AVERAGE(L22:L$29)/100,4)</f>
        <v>1.18E-2</v>
      </c>
    </row>
    <row r="23" spans="1:34">
      <c r="A23" s="1559" t="s">
        <v>100</v>
      </c>
      <c r="B23" s="1576">
        <f t="shared" ref="B23:C25" si="109">B22/(1+N22)</f>
        <v>327.65915576109415</v>
      </c>
      <c r="C23" s="1576">
        <f t="shared" si="109"/>
        <v>273.95905449510434</v>
      </c>
      <c r="D23" s="1576">
        <f t="shared" si="106"/>
        <v>273.95905449510434</v>
      </c>
      <c r="E23" s="1576">
        <f t="shared" ref="E23:F25" si="110">E22/(1+P22)</f>
        <v>451.01699911565294</v>
      </c>
      <c r="F23" s="1576">
        <f t="shared" si="110"/>
        <v>244.38119540681129</v>
      </c>
      <c r="G23" s="3286"/>
      <c r="H23" s="1586">
        <v>3</v>
      </c>
      <c r="I23" s="1586">
        <v>1.65</v>
      </c>
      <c r="J23" s="1586">
        <v>0.92</v>
      </c>
      <c r="K23" s="1586">
        <v>1.88</v>
      </c>
      <c r="L23" s="1587">
        <v>1.26</v>
      </c>
      <c r="N23" s="1571">
        <f t="shared" si="108"/>
        <v>1.6500000000000001E-2</v>
      </c>
      <c r="O23" s="1588">
        <f t="shared" si="103"/>
        <v>9.1999999999999998E-3</v>
      </c>
      <c r="P23" s="1588">
        <f t="shared" si="103"/>
        <v>1.8799999999999997E-2</v>
      </c>
      <c r="Q23" s="1588">
        <f t="shared" si="103"/>
        <v>1.26E-2</v>
      </c>
      <c r="R23" s="1573"/>
      <c r="S23" s="1571"/>
      <c r="T23" s="1572"/>
      <c r="U23" s="1572"/>
      <c r="V23" s="1572"/>
      <c r="X23" s="1557">
        <f>ROUND(SUMPRODUCT(PRODUCT(1+N23:N$28)),4)</f>
        <v>1.0651999999999999</v>
      </c>
      <c r="Y23" s="1557">
        <f>ROUND(SUMPRODUCT(PRODUCT(1+O23:O$28)),4)</f>
        <v>1.0621</v>
      </c>
      <c r="Z23" s="1557">
        <f t="shared" si="0"/>
        <v>1.0621</v>
      </c>
      <c r="AA23" s="1557">
        <f>ROUND(SUMPRODUCT(PRODUCT(1+P23:P$28)),4)</f>
        <v>1.0668</v>
      </c>
      <c r="AB23" s="1557">
        <f>ROUND(SUMPRODUCT(PRODUCT(1+Q23:Q$28)),4)</f>
        <v>1.0636000000000001</v>
      </c>
      <c r="AD23" s="1558">
        <f>ROUND(AVERAGE(I23:I$29)/100,4)</f>
        <v>1.3299999999999999E-2</v>
      </c>
      <c r="AE23" s="1558">
        <f>ROUND(AVERAGE(J23:J$29)/100,4)</f>
        <v>1.2E-2</v>
      </c>
      <c r="AF23" s="1558">
        <f t="shared" si="104"/>
        <v>1.2E-2</v>
      </c>
      <c r="AG23" s="1558">
        <f>ROUND(AVERAGE(K23:K$29)/100,4)</f>
        <v>1.4E-2</v>
      </c>
      <c r="AH23" s="1558">
        <f>ROUND(AVERAGE(L23:L$29)/100,4)</f>
        <v>1.0800000000000001E-2</v>
      </c>
    </row>
    <row r="24" spans="1:34">
      <c r="A24" s="1559" t="s">
        <v>99</v>
      </c>
      <c r="B24" s="1576">
        <f t="shared" si="109"/>
        <v>322.34053690220776</v>
      </c>
      <c r="C24" s="1576">
        <f t="shared" si="109"/>
        <v>271.46160770422546</v>
      </c>
      <c r="D24" s="1576">
        <f t="shared" si="106"/>
        <v>271.46160770422546</v>
      </c>
      <c r="E24" s="1576">
        <f t="shared" si="110"/>
        <v>442.69434542172456</v>
      </c>
      <c r="F24" s="1576">
        <f t="shared" si="110"/>
        <v>241.34030753190925</v>
      </c>
      <c r="G24" s="3286"/>
      <c r="H24" s="1563">
        <v>2</v>
      </c>
      <c r="I24" s="1563">
        <v>0.77</v>
      </c>
      <c r="J24" s="1563">
        <v>0.69</v>
      </c>
      <c r="K24" s="1563">
        <v>0.8</v>
      </c>
      <c r="L24" s="1578">
        <v>0.88</v>
      </c>
      <c r="N24" s="1571">
        <f t="shared" si="108"/>
        <v>7.7000000000000002E-3</v>
      </c>
      <c r="O24" s="1588">
        <f t="shared" si="103"/>
        <v>6.8999999999999999E-3</v>
      </c>
      <c r="P24" s="1588">
        <f t="shared" si="103"/>
        <v>8.0000000000000002E-3</v>
      </c>
      <c r="Q24" s="1588">
        <f t="shared" si="103"/>
        <v>8.8000000000000005E-3</v>
      </c>
      <c r="R24" s="1573"/>
      <c r="S24" s="1571"/>
      <c r="T24" s="1572"/>
      <c r="U24" s="1572"/>
      <c r="V24" s="1572"/>
      <c r="X24" s="1557">
        <f>ROUND(SUMPRODUCT(PRODUCT(1+N24:N$28)),4)</f>
        <v>1.048</v>
      </c>
      <c r="Y24" s="1557">
        <f>ROUND(SUMPRODUCT(PRODUCT(1+O24:O$28)),4)</f>
        <v>1.0524</v>
      </c>
      <c r="Z24" s="1557">
        <f t="shared" si="0"/>
        <v>1.0524</v>
      </c>
      <c r="AA24" s="1557">
        <f>ROUND(SUMPRODUCT(PRODUCT(1+P24:P$28)),4)</f>
        <v>1.0470999999999999</v>
      </c>
      <c r="AB24" s="1557">
        <f>ROUND(SUMPRODUCT(PRODUCT(1+Q24:Q$28)),4)</f>
        <v>1.0504</v>
      </c>
      <c r="AD24" s="1558">
        <f>ROUND(AVERAGE(I24:I$29)/100,4)</f>
        <v>1.2800000000000001E-2</v>
      </c>
      <c r="AE24" s="1558">
        <f>ROUND(AVERAGE(J24:J$29)/100,4)</f>
        <v>1.2500000000000001E-2</v>
      </c>
      <c r="AF24" s="1558">
        <f t="shared" si="104"/>
        <v>1.2500000000000001E-2</v>
      </c>
      <c r="AG24" s="1558">
        <f>ROUND(AVERAGE(K24:K$29)/100,4)</f>
        <v>1.32E-2</v>
      </c>
      <c r="AH24" s="1558">
        <f>ROUND(AVERAGE(L24:L$29)/100,4)</f>
        <v>1.0500000000000001E-2</v>
      </c>
    </row>
    <row r="25" spans="1:34">
      <c r="A25" s="1559" t="s">
        <v>98</v>
      </c>
      <c r="B25" s="1576">
        <f t="shared" si="109"/>
        <v>319.87748030386797</v>
      </c>
      <c r="C25" s="1576">
        <f t="shared" si="109"/>
        <v>269.60135833173649</v>
      </c>
      <c r="D25" s="1576">
        <f t="shared" si="106"/>
        <v>269.60135833173649</v>
      </c>
      <c r="E25" s="1576">
        <f t="shared" si="110"/>
        <v>439.18089823583784</v>
      </c>
      <c r="F25" s="1576">
        <f t="shared" si="110"/>
        <v>239.23503918706311</v>
      </c>
      <c r="G25" s="3287"/>
      <c r="H25" s="1562">
        <v>1</v>
      </c>
      <c r="I25" s="1562">
        <v>0.51</v>
      </c>
      <c r="J25" s="1562">
        <v>0.54</v>
      </c>
      <c r="K25" s="1562">
        <v>0.48</v>
      </c>
      <c r="L25" s="1577">
        <v>0.93</v>
      </c>
      <c r="N25" s="1579">
        <f t="shared" si="108"/>
        <v>5.1000000000000004E-3</v>
      </c>
      <c r="O25" s="1580">
        <f t="shared" si="103"/>
        <v>5.4000000000000003E-3</v>
      </c>
      <c r="P25" s="1580">
        <f t="shared" si="103"/>
        <v>4.7999999999999996E-3</v>
      </c>
      <c r="Q25" s="1580">
        <f t="shared" si="103"/>
        <v>9.300000000000001E-3</v>
      </c>
      <c r="R25" s="1573"/>
      <c r="S25" s="1579">
        <f>B25/B26-1</f>
        <v>5.9040261127922822E-3</v>
      </c>
      <c r="T25" s="1580">
        <f>C25/C26-1</f>
        <v>5.9752176557332781E-3</v>
      </c>
      <c r="U25" s="1580">
        <f>E25/E26-1</f>
        <v>4.9906138119859556E-3</v>
      </c>
      <c r="V25" s="1580">
        <f>F25/F26-1</f>
        <v>9.4305450930933787E-3</v>
      </c>
      <c r="X25" s="1557">
        <f>ROUND(SUMPRODUCT(PRODUCT(1+N25:N$28)),4)</f>
        <v>1.0399</v>
      </c>
      <c r="Y25" s="1557">
        <f>ROUND(SUMPRODUCT(PRODUCT(1+O25:O$28)),4)</f>
        <v>1.0451999999999999</v>
      </c>
      <c r="Z25" s="1557">
        <f t="shared" si="0"/>
        <v>1.0451999999999999</v>
      </c>
      <c r="AA25" s="1557">
        <f>ROUND(SUMPRODUCT(PRODUCT(1+P25:P$28)),4)</f>
        <v>1.0387999999999999</v>
      </c>
      <c r="AB25" s="1557">
        <f>ROUND(SUMPRODUCT(PRODUCT(1+Q25:Q$28)),4)</f>
        <v>1.0411999999999999</v>
      </c>
      <c r="AD25" s="1558">
        <f>ROUND(AVERAGE(I25:I$29)/100,4)</f>
        <v>1.38E-2</v>
      </c>
      <c r="AE25" s="1558">
        <f>ROUND(AVERAGE(J25:J$29)/100,4)</f>
        <v>1.3599999999999999E-2</v>
      </c>
      <c r="AF25" s="1558">
        <f t="shared" si="104"/>
        <v>1.3599999999999999E-2</v>
      </c>
      <c r="AG25" s="1558">
        <f>ROUND(AVERAGE(K25:K$29)/100,4)</f>
        <v>1.4200000000000001E-2</v>
      </c>
      <c r="AH25" s="1558">
        <f>ROUND(AVERAGE(L25:L$29)/100,4)</f>
        <v>1.0800000000000001E-2</v>
      </c>
    </row>
    <row r="26" spans="1:34" ht="13.5" thickBot="1">
      <c r="A26" s="1559" t="s">
        <v>97</v>
      </c>
      <c r="B26" s="1589">
        <v>318</v>
      </c>
      <c r="C26" s="1589">
        <v>268</v>
      </c>
      <c r="D26" s="1589">
        <f t="shared" si="106"/>
        <v>268</v>
      </c>
      <c r="E26" s="1589">
        <v>437</v>
      </c>
      <c r="F26" s="1590">
        <v>237</v>
      </c>
      <c r="G26" s="3285">
        <v>2014</v>
      </c>
      <c r="H26" s="1581">
        <v>4</v>
      </c>
      <c r="I26" s="1581">
        <v>0.21</v>
      </c>
      <c r="J26" s="1581">
        <v>0.41</v>
      </c>
      <c r="K26" s="1581">
        <v>0.12</v>
      </c>
      <c r="L26" s="1582">
        <v>0.89</v>
      </c>
      <c r="N26" s="1571">
        <f t="shared" si="108"/>
        <v>2.0999999999999999E-3</v>
      </c>
      <c r="O26" s="1572">
        <f t="shared" si="103"/>
        <v>4.0999999999999995E-3</v>
      </c>
      <c r="P26" s="1572">
        <f t="shared" si="103"/>
        <v>1.1999999999999999E-3</v>
      </c>
      <c r="Q26" s="1572">
        <f t="shared" si="103"/>
        <v>8.8999999999999999E-3</v>
      </c>
      <c r="R26" s="1573"/>
      <c r="S26" s="1574"/>
      <c r="T26" s="1575"/>
      <c r="U26" s="1575"/>
      <c r="V26" s="1575"/>
      <c r="X26" s="1557">
        <f>ROUND(SUMPRODUCT(PRODUCT(1+N26:N$28)),4)</f>
        <v>1.0347</v>
      </c>
      <c r="Y26" s="1557">
        <f>ROUND(SUMPRODUCT(PRODUCT(1+O26:O$28)),4)</f>
        <v>1.0395000000000001</v>
      </c>
      <c r="Z26" s="1557">
        <f t="shared" si="0"/>
        <v>1.0395000000000001</v>
      </c>
      <c r="AA26" s="1557">
        <f>ROUND(SUMPRODUCT(PRODUCT(1+P26:P$28)),4)</f>
        <v>1.0338000000000001</v>
      </c>
      <c r="AB26" s="1557">
        <f>ROUND(SUMPRODUCT(PRODUCT(1+Q26:Q$28)),4)</f>
        <v>1.0316000000000001</v>
      </c>
      <c r="AD26" s="1558">
        <f>ROUND(AVERAGE(I26:I$29)/100,4)</f>
        <v>1.6E-2</v>
      </c>
      <c r="AE26" s="1558">
        <f>ROUND(AVERAGE(J26:J$29)/100,4)</f>
        <v>1.5599999999999999E-2</v>
      </c>
      <c r="AF26" s="1558">
        <f t="shared" si="104"/>
        <v>1.5599999999999999E-2</v>
      </c>
      <c r="AG26" s="1558">
        <f>ROUND(AVERAGE(K26:K$29)/100,4)</f>
        <v>1.66E-2</v>
      </c>
      <c r="AH26" s="1558">
        <f>ROUND(AVERAGE(L26:L$29)/100,4)</f>
        <v>1.12E-2</v>
      </c>
    </row>
    <row r="27" spans="1:34">
      <c r="A27" s="1559" t="s">
        <v>96</v>
      </c>
      <c r="B27" s="1576">
        <f t="shared" ref="B27:C29" si="111">B26/(1+N26)</f>
        <v>317.33359944117353</v>
      </c>
      <c r="C27" s="1576">
        <f t="shared" si="111"/>
        <v>266.90568668459315</v>
      </c>
      <c r="D27" s="1576">
        <f t="shared" si="106"/>
        <v>266.90568668459315</v>
      </c>
      <c r="E27" s="1576">
        <f t="shared" ref="E27:F29" si="112">E26/(1+P26)</f>
        <v>436.47622852576905</v>
      </c>
      <c r="F27" s="1576">
        <f t="shared" si="112"/>
        <v>234.90930716622066</v>
      </c>
      <c r="G27" s="3286"/>
      <c r="H27" s="1591">
        <v>3</v>
      </c>
      <c r="I27" s="1591">
        <v>0.83</v>
      </c>
      <c r="J27" s="1591">
        <v>1.47</v>
      </c>
      <c r="K27" s="1591">
        <v>0.65</v>
      </c>
      <c r="L27" s="1592">
        <v>0.72</v>
      </c>
      <c r="N27" s="1571">
        <f t="shared" si="108"/>
        <v>8.3000000000000001E-3</v>
      </c>
      <c r="O27" s="1572">
        <f t="shared" si="103"/>
        <v>1.47E-2</v>
      </c>
      <c r="P27" s="1572">
        <f t="shared" si="103"/>
        <v>6.5000000000000006E-3</v>
      </c>
      <c r="Q27" s="1572">
        <f t="shared" si="103"/>
        <v>7.1999999999999998E-3</v>
      </c>
      <c r="R27" s="1573"/>
      <c r="S27" s="1571"/>
      <c r="T27" s="1572"/>
      <c r="U27" s="1572"/>
      <c r="V27" s="1572"/>
      <c r="X27" s="1557">
        <f>ROUND(SUMPRODUCT(PRODUCT(1+N27:N$28)),4)</f>
        <v>1.0325</v>
      </c>
      <c r="Y27" s="1557">
        <f>ROUND(SUMPRODUCT(PRODUCT(1+O27:O$28)),4)</f>
        <v>1.0353000000000001</v>
      </c>
      <c r="Z27" s="1557">
        <f t="shared" ref="Z27:Z28" si="113">Y27</f>
        <v>1.0353000000000001</v>
      </c>
      <c r="AA27" s="1557">
        <f>ROUND(SUMPRODUCT(PRODUCT(1+P27:P$28)),4)</f>
        <v>1.0326</v>
      </c>
      <c r="AB27" s="1557">
        <f>ROUND(SUMPRODUCT(PRODUCT(1+Q27:Q$28)),4)</f>
        <v>1.0225</v>
      </c>
      <c r="AD27" s="1558">
        <f>ROUND(AVERAGE(I27:I$29)/100,4)</f>
        <v>2.07E-2</v>
      </c>
      <c r="AE27" s="1558">
        <f>ROUND(AVERAGE(J27:J$29)/100,4)</f>
        <v>1.95E-2</v>
      </c>
      <c r="AF27" s="1558">
        <f t="shared" si="104"/>
        <v>1.95E-2</v>
      </c>
      <c r="AG27" s="1558">
        <f>ROUND(AVERAGE(K27:K$29)/100,4)</f>
        <v>2.1700000000000001E-2</v>
      </c>
      <c r="AH27" s="1558">
        <f>ROUND(AVERAGE(L27:L$29)/100,4)</f>
        <v>1.2E-2</v>
      </c>
    </row>
    <row r="28" spans="1:34" ht="13.5" thickBot="1">
      <c r="A28" s="1559" t="s">
        <v>95</v>
      </c>
      <c r="B28" s="1576">
        <f t="shared" si="111"/>
        <v>314.72141172386546</v>
      </c>
      <c r="C28" s="1576">
        <f t="shared" si="111"/>
        <v>263.03901319069001</v>
      </c>
      <c r="D28" s="1576">
        <f t="shared" si="106"/>
        <v>263.03901319069001</v>
      </c>
      <c r="E28" s="1576">
        <f t="shared" si="112"/>
        <v>433.65745506782821</v>
      </c>
      <c r="F28" s="1576">
        <f t="shared" si="112"/>
        <v>233.23005080045735</v>
      </c>
      <c r="G28" s="3286"/>
      <c r="H28" s="1581">
        <v>2</v>
      </c>
      <c r="I28" s="1581">
        <v>2.4</v>
      </c>
      <c r="J28" s="1581">
        <v>2.0299999999999998</v>
      </c>
      <c r="K28" s="1581">
        <v>2.59</v>
      </c>
      <c r="L28" s="1582">
        <v>1.52</v>
      </c>
      <c r="N28" s="1571">
        <f t="shared" si="108"/>
        <v>2.4E-2</v>
      </c>
      <c r="O28" s="1572">
        <f t="shared" si="103"/>
        <v>2.0299999999999999E-2</v>
      </c>
      <c r="P28" s="1572">
        <f t="shared" si="103"/>
        <v>2.5899999999999999E-2</v>
      </c>
      <c r="Q28" s="1572">
        <f t="shared" si="103"/>
        <v>1.52E-2</v>
      </c>
      <c r="R28" s="1573"/>
      <c r="S28" s="1571"/>
      <c r="T28" s="1572"/>
      <c r="U28" s="1572"/>
      <c r="V28" s="1572"/>
      <c r="X28" s="1557">
        <f>1+N28</f>
        <v>1.024</v>
      </c>
      <c r="Y28" s="1557">
        <f>1+O28</f>
        <v>1.0203</v>
      </c>
      <c r="Z28" s="1557">
        <f t="shared" si="113"/>
        <v>1.0203</v>
      </c>
      <c r="AA28" s="1557">
        <f>1+P28</f>
        <v>1.0259</v>
      </c>
      <c r="AB28" s="1557">
        <f>1+Q28</f>
        <v>1.0152000000000001</v>
      </c>
      <c r="AD28" s="1558">
        <f>ROUND(AVERAGE(I28:I$29)/100,4)</f>
        <v>2.69E-2</v>
      </c>
      <c r="AE28" s="1558">
        <f>ROUND(AVERAGE(J28:J$29)/100,4)</f>
        <v>2.1899999999999999E-2</v>
      </c>
      <c r="AF28" s="1558">
        <f t="shared" ref="AF28" si="114">AE28</f>
        <v>2.1899999999999999E-2</v>
      </c>
      <c r="AG28" s="1558">
        <f>ROUND(AVERAGE(K28:K$29)/100,4)</f>
        <v>2.9399999999999999E-2</v>
      </c>
      <c r="AH28" s="1558">
        <f>ROUND(AVERAGE(L28:L$29)/100,4)</f>
        <v>1.44E-2</v>
      </c>
    </row>
    <row r="29" spans="1:34" s="1597" customFormat="1" ht="13.5" thickBot="1">
      <c r="A29" s="1593" t="s">
        <v>94</v>
      </c>
      <c r="B29" s="1594">
        <f t="shared" si="111"/>
        <v>307.34512863658733</v>
      </c>
      <c r="C29" s="1594">
        <f t="shared" si="111"/>
        <v>257.80556031626975</v>
      </c>
      <c r="D29" s="1594">
        <f t="shared" si="106"/>
        <v>257.80556031626975</v>
      </c>
      <c r="E29" s="1594">
        <f t="shared" si="112"/>
        <v>422.70928459677179</v>
      </c>
      <c r="F29" s="1594">
        <f t="shared" si="112"/>
        <v>229.73803270336617</v>
      </c>
      <c r="G29" s="3287"/>
      <c r="H29" s="1595">
        <v>1</v>
      </c>
      <c r="I29" s="1595">
        <v>2.97</v>
      </c>
      <c r="J29" s="1595">
        <v>2.34</v>
      </c>
      <c r="K29" s="1595">
        <v>3.28</v>
      </c>
      <c r="L29" s="1596">
        <v>1.36</v>
      </c>
      <c r="N29" s="1598">
        <f t="shared" si="108"/>
        <v>2.9700000000000001E-2</v>
      </c>
      <c r="O29" s="1599">
        <f t="shared" si="103"/>
        <v>2.3399999999999997E-2</v>
      </c>
      <c r="P29" s="1599">
        <f t="shared" si="103"/>
        <v>3.2799999999999996E-2</v>
      </c>
      <c r="Q29" s="1599">
        <f t="shared" si="103"/>
        <v>1.3600000000000001E-2</v>
      </c>
      <c r="R29" s="1600"/>
      <c r="S29" s="1601">
        <f>B29/B30-1</f>
        <v>2.7910129219355539E-2</v>
      </c>
      <c r="T29" s="1602">
        <f>C29/C30-1</f>
        <v>2.3037937762975247E-2</v>
      </c>
      <c r="U29" s="1602">
        <f>E29/E30-1</f>
        <v>3.3519033243940788E-2</v>
      </c>
      <c r="V29" s="1602">
        <f>F29/F30-1</f>
        <v>1.2061818076502862E-2</v>
      </c>
      <c r="W29" s="1603" t="s">
        <v>1212</v>
      </c>
      <c r="X29" s="1604">
        <v>1</v>
      </c>
      <c r="Y29" s="1604">
        <v>1</v>
      </c>
      <c r="Z29" s="1604">
        <v>1</v>
      </c>
      <c r="AA29" s="1604">
        <v>1</v>
      </c>
      <c r="AB29" s="1604">
        <v>1</v>
      </c>
      <c r="AD29" s="1811">
        <f>I29/100</f>
        <v>2.9700000000000001E-2</v>
      </c>
      <c r="AE29" s="1811">
        <f>J29/100</f>
        <v>2.3399999999999997E-2</v>
      </c>
      <c r="AF29" s="1811">
        <f>AE29</f>
        <v>2.3399999999999997E-2</v>
      </c>
      <c r="AG29" s="1811">
        <f>K29/100</f>
        <v>3.2799999999999996E-2</v>
      </c>
      <c r="AH29" s="1811">
        <f>L29/100</f>
        <v>1.3600000000000001E-2</v>
      </c>
    </row>
    <row r="30" spans="1:34" ht="13.5" thickBot="1">
      <c r="A30" s="1559" t="s">
        <v>1045</v>
      </c>
      <c r="B30" s="1568">
        <v>299</v>
      </c>
      <c r="C30" s="1568">
        <v>252</v>
      </c>
      <c r="D30" s="1568">
        <f t="shared" si="106"/>
        <v>252</v>
      </c>
      <c r="E30" s="1568">
        <v>409</v>
      </c>
      <c r="F30" s="1569">
        <v>227</v>
      </c>
      <c r="G30" s="3290">
        <v>2013</v>
      </c>
      <c r="H30" s="1605">
        <v>4</v>
      </c>
      <c r="I30" s="1605">
        <v>1.83</v>
      </c>
      <c r="J30" s="1605">
        <v>1.68</v>
      </c>
      <c r="K30" s="1605">
        <v>1.97</v>
      </c>
      <c r="L30" s="1606">
        <v>0.87</v>
      </c>
      <c r="N30" s="1583">
        <f t="shared" si="108"/>
        <v>1.83E-2</v>
      </c>
      <c r="O30" s="1584">
        <f t="shared" si="103"/>
        <v>1.6799999999999999E-2</v>
      </c>
      <c r="P30" s="1584">
        <f t="shared" si="103"/>
        <v>1.9699999999999999E-2</v>
      </c>
      <c r="Q30" s="1584">
        <f t="shared" si="103"/>
        <v>8.6999999999999994E-3</v>
      </c>
      <c r="R30" s="1573"/>
      <c r="S30" s="1574"/>
      <c r="T30" s="1575"/>
      <c r="U30" s="1575"/>
      <c r="V30" s="1575"/>
      <c r="X30" s="1575"/>
      <c r="Y30" s="1575"/>
      <c r="Z30" s="1575"/>
    </row>
    <row r="31" spans="1:34">
      <c r="A31" s="1559" t="s">
        <v>1046</v>
      </c>
      <c r="B31" s="1576">
        <f t="shared" ref="B31:C33" si="115">B30/(1+N30)</f>
        <v>293.62663262299913</v>
      </c>
      <c r="C31" s="1576">
        <f t="shared" si="115"/>
        <v>247.83634933123525</v>
      </c>
      <c r="D31" s="1576">
        <f t="shared" si="106"/>
        <v>247.83634933123525</v>
      </c>
      <c r="E31" s="1576">
        <f t="shared" ref="E31:F33" si="116">E30/(1+P30)</f>
        <v>401.09836226341076</v>
      </c>
      <c r="F31" s="1576">
        <f t="shared" si="116"/>
        <v>225.04213343908003</v>
      </c>
      <c r="G31" s="3291"/>
      <c r="H31" s="1586">
        <v>3</v>
      </c>
      <c r="I31" s="1586">
        <v>1.86</v>
      </c>
      <c r="J31" s="1586">
        <v>1.72</v>
      </c>
      <c r="K31" s="1586">
        <v>1.98</v>
      </c>
      <c r="L31" s="1587">
        <v>0.88</v>
      </c>
      <c r="N31" s="1571">
        <f t="shared" si="108"/>
        <v>1.8600000000000002E-2</v>
      </c>
      <c r="O31" s="1588">
        <f t="shared" si="103"/>
        <v>1.72E-2</v>
      </c>
      <c r="P31" s="1588">
        <f t="shared" si="103"/>
        <v>1.9799999999999998E-2</v>
      </c>
      <c r="Q31" s="1588">
        <f t="shared" si="103"/>
        <v>8.8000000000000005E-3</v>
      </c>
      <c r="R31" s="1573"/>
      <c r="S31" s="1571"/>
      <c r="T31" s="1572"/>
      <c r="U31" s="1572"/>
      <c r="V31" s="1572"/>
    </row>
    <row r="32" spans="1:34">
      <c r="A32" s="1559" t="s">
        <v>1047</v>
      </c>
      <c r="B32" s="1576">
        <f t="shared" si="115"/>
        <v>288.2649053828776</v>
      </c>
      <c r="C32" s="1576">
        <f t="shared" si="115"/>
        <v>243.64564425013293</v>
      </c>
      <c r="D32" s="1576">
        <f t="shared" si="106"/>
        <v>243.64564425013293</v>
      </c>
      <c r="E32" s="1576">
        <f t="shared" si="116"/>
        <v>393.31080825986544</v>
      </c>
      <c r="F32" s="1576">
        <f t="shared" si="116"/>
        <v>223.07903790551154</v>
      </c>
      <c r="G32" s="3291"/>
      <c r="H32" s="1563">
        <v>2</v>
      </c>
      <c r="I32" s="1563">
        <v>2.04</v>
      </c>
      <c r="J32" s="1563">
        <v>2.33</v>
      </c>
      <c r="K32" s="1563">
        <v>2.0699999999999998</v>
      </c>
      <c r="L32" s="1578">
        <v>0.69</v>
      </c>
      <c r="N32" s="1571">
        <f t="shared" si="108"/>
        <v>2.0400000000000001E-2</v>
      </c>
      <c r="O32" s="1588">
        <f t="shared" si="103"/>
        <v>2.3300000000000001E-2</v>
      </c>
      <c r="P32" s="1588">
        <f t="shared" si="103"/>
        <v>2.07E-2</v>
      </c>
      <c r="Q32" s="1588">
        <f t="shared" si="103"/>
        <v>6.8999999999999999E-3</v>
      </c>
      <c r="R32" s="1573"/>
      <c r="S32" s="1571"/>
      <c r="T32" s="1572"/>
      <c r="U32" s="1572"/>
      <c r="V32" s="1572"/>
      <c r="X32" s="1607"/>
      <c r="Y32" s="1608"/>
    </row>
    <row r="33" spans="1:26">
      <c r="A33" s="1559" t="s">
        <v>1048</v>
      </c>
      <c r="B33" s="1576">
        <f t="shared" si="115"/>
        <v>282.50186729015837</v>
      </c>
      <c r="C33" s="1576">
        <f t="shared" si="115"/>
        <v>238.09796174155468</v>
      </c>
      <c r="D33" s="1576">
        <f t="shared" si="106"/>
        <v>238.09796174155468</v>
      </c>
      <c r="E33" s="1576">
        <f t="shared" si="116"/>
        <v>385.33438646014054</v>
      </c>
      <c r="F33" s="1576">
        <f t="shared" si="116"/>
        <v>221.55034055567739</v>
      </c>
      <c r="G33" s="3292"/>
      <c r="H33" s="1562">
        <v>1</v>
      </c>
      <c r="I33" s="1562">
        <v>1.67</v>
      </c>
      <c r="J33" s="1562">
        <v>1.31</v>
      </c>
      <c r="K33" s="1562">
        <v>1.85</v>
      </c>
      <c r="L33" s="1577">
        <v>0.96</v>
      </c>
      <c r="N33" s="1579">
        <f t="shared" si="108"/>
        <v>1.67E-2</v>
      </c>
      <c r="O33" s="1580">
        <f t="shared" si="108"/>
        <v>1.3100000000000001E-2</v>
      </c>
      <c r="P33" s="1580">
        <f t="shared" si="108"/>
        <v>1.8500000000000003E-2</v>
      </c>
      <c r="Q33" s="1580">
        <f t="shared" si="108"/>
        <v>9.5999999999999992E-3</v>
      </c>
      <c r="R33" s="1573"/>
      <c r="S33" s="1579">
        <f>B33/B34-1</f>
        <v>1.6193767230785472E-2</v>
      </c>
      <c r="T33" s="1580">
        <f>C33/C34-1</f>
        <v>1.7512657015190891E-2</v>
      </c>
      <c r="U33" s="1580">
        <f>E33/E34-1</f>
        <v>1.6713420739157048E-2</v>
      </c>
      <c r="V33" s="1580">
        <f>F33/F34-1</f>
        <v>7.0470025258062563E-3</v>
      </c>
      <c r="X33" s="1609"/>
      <c r="Y33" s="1558"/>
      <c r="Z33" s="1558"/>
    </row>
    <row r="34" spans="1:26" ht="13.5" thickBot="1">
      <c r="A34" s="1559" t="s">
        <v>1049</v>
      </c>
      <c r="B34" s="1610">
        <v>278</v>
      </c>
      <c r="C34" s="1610">
        <v>234</v>
      </c>
      <c r="D34" s="1610">
        <f t="shared" si="106"/>
        <v>234</v>
      </c>
      <c r="E34" s="1610">
        <v>379</v>
      </c>
      <c r="F34" s="1611">
        <v>220</v>
      </c>
      <c r="G34" s="3285">
        <v>2012</v>
      </c>
      <c r="H34" s="1581">
        <v>4</v>
      </c>
      <c r="I34" s="1581">
        <v>0.91</v>
      </c>
      <c r="J34" s="1581">
        <v>0.68</v>
      </c>
      <c r="K34" s="1581">
        <v>0.98</v>
      </c>
      <c r="L34" s="1582">
        <v>0.9</v>
      </c>
      <c r="N34" s="1571">
        <f t="shared" si="108"/>
        <v>9.1000000000000004E-3</v>
      </c>
      <c r="O34" s="1572">
        <f t="shared" si="108"/>
        <v>6.8000000000000005E-3</v>
      </c>
      <c r="P34" s="1572">
        <f t="shared" si="108"/>
        <v>9.7999999999999997E-3</v>
      </c>
      <c r="Q34" s="1572">
        <f t="shared" si="108"/>
        <v>9.0000000000000011E-3</v>
      </c>
      <c r="R34" s="1573"/>
      <c r="S34" s="1574"/>
      <c r="T34" s="1575"/>
      <c r="U34" s="1575"/>
      <c r="V34" s="1575"/>
      <c r="X34" s="1575"/>
      <c r="Y34" s="1575"/>
      <c r="Z34" s="1575"/>
    </row>
    <row r="35" spans="1:26">
      <c r="A35" s="1559" t="s">
        <v>1050</v>
      </c>
      <c r="B35" s="1576">
        <f>B34/(1+N34)</f>
        <v>275.49301357645425</v>
      </c>
      <c r="C35" s="1576">
        <f>C34/(1+O34)</f>
        <v>232.41954707985698</v>
      </c>
      <c r="D35" s="1576">
        <f t="shared" si="106"/>
        <v>232.41954707985698</v>
      </c>
      <c r="E35" s="1576">
        <f t="shared" ref="E35:F37" si="117">E34/(1+P34)</f>
        <v>375.32184591008121</v>
      </c>
      <c r="F35" s="1576">
        <f t="shared" si="117"/>
        <v>218.03766105054513</v>
      </c>
      <c r="G35" s="3286"/>
      <c r="H35" s="1586">
        <v>3</v>
      </c>
      <c r="I35" s="1586">
        <v>0.09</v>
      </c>
      <c r="J35" s="1586">
        <v>0.28999999999999998</v>
      </c>
      <c r="K35" s="1586">
        <v>-0.01</v>
      </c>
      <c r="L35" s="1587">
        <v>0.57999999999999996</v>
      </c>
      <c r="N35" s="1571">
        <f t="shared" si="108"/>
        <v>8.9999999999999998E-4</v>
      </c>
      <c r="O35" s="1572">
        <f t="shared" si="108"/>
        <v>2.8999999999999998E-3</v>
      </c>
      <c r="P35" s="1572">
        <f t="shared" si="108"/>
        <v>-1E-4</v>
      </c>
      <c r="Q35" s="1572">
        <f t="shared" si="108"/>
        <v>5.7999999999999996E-3</v>
      </c>
      <c r="R35" s="1573"/>
      <c r="S35" s="1571"/>
      <c r="T35" s="1572"/>
      <c r="U35" s="1572"/>
      <c r="V35" s="1572"/>
    </row>
    <row r="36" spans="1:26">
      <c r="A36" s="1559" t="s">
        <v>1051</v>
      </c>
      <c r="B36" s="1576">
        <f>B35/(1+N35)</f>
        <v>275.24529281292263</v>
      </c>
      <c r="C36" s="1576">
        <f>C35/(1+O35)</f>
        <v>231.74747938962707</v>
      </c>
      <c r="D36" s="1576">
        <f t="shared" si="106"/>
        <v>231.74747938962707</v>
      </c>
      <c r="E36" s="1576">
        <f t="shared" si="117"/>
        <v>375.35938184826603</v>
      </c>
      <c r="F36" s="1576">
        <f t="shared" si="117"/>
        <v>216.78033510692495</v>
      </c>
      <c r="G36" s="3286"/>
      <c r="H36" s="1563">
        <v>2</v>
      </c>
      <c r="I36" s="1563">
        <v>0.02</v>
      </c>
      <c r="J36" s="1563">
        <v>0.12</v>
      </c>
      <c r="K36" s="1563">
        <v>-0.08</v>
      </c>
      <c r="L36" s="1578">
        <v>1.24</v>
      </c>
      <c r="N36" s="1571">
        <f t="shared" si="108"/>
        <v>2.0000000000000001E-4</v>
      </c>
      <c r="O36" s="1572">
        <f t="shared" si="108"/>
        <v>1.1999999999999999E-3</v>
      </c>
      <c r="P36" s="1572">
        <f t="shared" si="108"/>
        <v>-8.0000000000000004E-4</v>
      </c>
      <c r="Q36" s="1572">
        <f t="shared" si="108"/>
        <v>1.24E-2</v>
      </c>
      <c r="R36" s="1573"/>
      <c r="S36" s="1571"/>
      <c r="T36" s="1572"/>
      <c r="U36" s="1572"/>
      <c r="V36" s="1572"/>
    </row>
    <row r="37" spans="1:26" ht="13.5" thickBot="1">
      <c r="A37" s="1559" t="s">
        <v>1052</v>
      </c>
      <c r="B37" s="1576">
        <f>B36/(1+N36)</f>
        <v>275.19025476197027</v>
      </c>
      <c r="C37" s="1612">
        <v>232</v>
      </c>
      <c r="D37" s="1612">
        <f t="shared" si="106"/>
        <v>232</v>
      </c>
      <c r="E37" s="1576">
        <f t="shared" si="117"/>
        <v>375.65990977608692</v>
      </c>
      <c r="F37" s="1576">
        <f t="shared" si="117"/>
        <v>214.12518283971252</v>
      </c>
      <c r="G37" s="3287"/>
      <c r="H37" s="1562">
        <v>1</v>
      </c>
      <c r="I37" s="1562">
        <v>0.02</v>
      </c>
      <c r="J37" s="1562">
        <v>0.13</v>
      </c>
      <c r="K37" s="1562">
        <v>-0.04</v>
      </c>
      <c r="L37" s="1577">
        <v>0.46</v>
      </c>
      <c r="N37" s="1571">
        <f t="shared" si="108"/>
        <v>2.0000000000000001E-4</v>
      </c>
      <c r="O37" s="1572">
        <f t="shared" si="108"/>
        <v>1.2999999999999999E-3</v>
      </c>
      <c r="P37" s="1572">
        <f t="shared" si="108"/>
        <v>-4.0000000000000002E-4</v>
      </c>
      <c r="Q37" s="1572">
        <f t="shared" si="108"/>
        <v>4.5999999999999999E-3</v>
      </c>
      <c r="R37" s="1573"/>
      <c r="S37" s="1579">
        <f>B37/B38-1</f>
        <v>6.9183549807361189E-4</v>
      </c>
      <c r="T37" s="1580">
        <f>C37/C38-1</f>
        <v>0</v>
      </c>
      <c r="U37" s="1580">
        <f>E37/E38-1</f>
        <v>-9.0449527636460303E-4</v>
      </c>
      <c r="V37" s="1580">
        <f>F37/F38-1</f>
        <v>5.2825485432512753E-3</v>
      </c>
      <c r="X37" s="1558"/>
      <c r="Y37" s="1558"/>
      <c r="Z37" s="1558"/>
    </row>
    <row r="38" spans="1:26" ht="13.5" thickBot="1">
      <c r="A38" s="1559" t="s">
        <v>1053</v>
      </c>
      <c r="B38" s="1568">
        <v>275</v>
      </c>
      <c r="C38" s="1568">
        <v>232</v>
      </c>
      <c r="D38" s="1568">
        <f t="shared" si="106"/>
        <v>232</v>
      </c>
      <c r="E38" s="1568">
        <v>376</v>
      </c>
      <c r="F38" s="1569">
        <v>213</v>
      </c>
      <c r="G38" s="3285">
        <v>2011</v>
      </c>
      <c r="H38" s="1581">
        <v>4</v>
      </c>
      <c r="I38" s="1581">
        <v>-0.2</v>
      </c>
      <c r="J38" s="1581">
        <v>0.04</v>
      </c>
      <c r="K38" s="1581">
        <v>-0.34</v>
      </c>
      <c r="L38" s="1582">
        <v>0.46</v>
      </c>
      <c r="N38" s="1583">
        <f t="shared" si="108"/>
        <v>-2E-3</v>
      </c>
      <c r="O38" s="1584">
        <f t="shared" si="108"/>
        <v>4.0000000000000002E-4</v>
      </c>
      <c r="P38" s="1584">
        <f t="shared" si="108"/>
        <v>-3.4000000000000002E-3</v>
      </c>
      <c r="Q38" s="1584">
        <f t="shared" si="108"/>
        <v>4.5999999999999999E-3</v>
      </c>
      <c r="R38" s="1573"/>
      <c r="S38" s="1574"/>
      <c r="T38" s="1575"/>
      <c r="U38" s="1575"/>
      <c r="V38" s="1575"/>
      <c r="X38" s="1575"/>
      <c r="Y38" s="1575"/>
      <c r="Z38" s="1575"/>
    </row>
    <row r="39" spans="1:26">
      <c r="A39" s="1559" t="s">
        <v>1054</v>
      </c>
      <c r="B39" s="1576">
        <f t="shared" ref="B39:C41" si="118">B38/(1+N38)</f>
        <v>275.55110220440883</v>
      </c>
      <c r="C39" s="1576">
        <f t="shared" si="118"/>
        <v>231.90723710515795</v>
      </c>
      <c r="D39" s="1576">
        <f t="shared" si="106"/>
        <v>231.90723710515795</v>
      </c>
      <c r="E39" s="1576">
        <f t="shared" ref="E39:F41" si="119">E38/(1+P38)</f>
        <v>377.28276138872161</v>
      </c>
      <c r="F39" s="1576">
        <f t="shared" si="119"/>
        <v>212.02468644236512</v>
      </c>
      <c r="G39" s="3286">
        <v>2011</v>
      </c>
      <c r="H39" s="1586">
        <v>3</v>
      </c>
      <c r="I39" s="1586">
        <v>0.13</v>
      </c>
      <c r="J39" s="1586">
        <v>0.75</v>
      </c>
      <c r="K39" s="1586">
        <v>-0.08</v>
      </c>
      <c r="L39" s="1587">
        <v>0.53</v>
      </c>
      <c r="N39" s="1571">
        <f t="shared" si="108"/>
        <v>1.2999999999999999E-3</v>
      </c>
      <c r="O39" s="1588">
        <f t="shared" si="108"/>
        <v>7.4999999999999997E-3</v>
      </c>
      <c r="P39" s="1588">
        <f t="shared" si="108"/>
        <v>-8.0000000000000004E-4</v>
      </c>
      <c r="Q39" s="1588">
        <f t="shared" si="108"/>
        <v>5.3E-3</v>
      </c>
      <c r="R39" s="1573"/>
      <c r="S39" s="1571"/>
      <c r="T39" s="1572"/>
      <c r="U39" s="1572"/>
      <c r="V39" s="1572"/>
    </row>
    <row r="40" spans="1:26">
      <c r="A40" s="1559" t="s">
        <v>1055</v>
      </c>
      <c r="B40" s="1576">
        <f t="shared" si="118"/>
        <v>275.19335084830601</v>
      </c>
      <c r="C40" s="1576">
        <f t="shared" si="118"/>
        <v>230.18088050139744</v>
      </c>
      <c r="D40" s="1576">
        <f t="shared" si="106"/>
        <v>230.18088050139744</v>
      </c>
      <c r="E40" s="1576">
        <f t="shared" si="119"/>
        <v>377.58482925212331</v>
      </c>
      <c r="F40" s="1576">
        <f t="shared" si="119"/>
        <v>210.90687997847917</v>
      </c>
      <c r="G40" s="3286">
        <v>2011</v>
      </c>
      <c r="H40" s="1563">
        <v>2</v>
      </c>
      <c r="I40" s="1563">
        <v>-0.4</v>
      </c>
      <c r="J40" s="1563">
        <v>0.17</v>
      </c>
      <c r="K40" s="1563">
        <v>-0.57999999999999996</v>
      </c>
      <c r="L40" s="1578">
        <v>-0.2</v>
      </c>
      <c r="N40" s="1571">
        <f t="shared" si="108"/>
        <v>-4.0000000000000001E-3</v>
      </c>
      <c r="O40" s="1588">
        <f t="shared" si="108"/>
        <v>1.7000000000000001E-3</v>
      </c>
      <c r="P40" s="1588">
        <f t="shared" si="108"/>
        <v>-5.7999999999999996E-3</v>
      </c>
      <c r="Q40" s="1588">
        <f t="shared" si="108"/>
        <v>-2E-3</v>
      </c>
      <c r="R40" s="1573"/>
      <c r="S40" s="1571"/>
      <c r="T40" s="1572"/>
      <c r="U40" s="1572"/>
      <c r="V40" s="1572"/>
    </row>
    <row r="41" spans="1:26" ht="13.5" thickBot="1">
      <c r="A41" s="1559" t="s">
        <v>1056</v>
      </c>
      <c r="B41" s="1576">
        <f t="shared" si="118"/>
        <v>276.29854502841971</v>
      </c>
      <c r="C41" s="1576">
        <f t="shared" si="118"/>
        <v>229.79023709833027</v>
      </c>
      <c r="D41" s="1576">
        <f t="shared" si="106"/>
        <v>229.79023709833027</v>
      </c>
      <c r="E41" s="1576">
        <f t="shared" si="119"/>
        <v>379.78759731655936</v>
      </c>
      <c r="F41" s="1576">
        <f t="shared" si="119"/>
        <v>211.32953905659235</v>
      </c>
      <c r="G41" s="3287">
        <v>2011</v>
      </c>
      <c r="H41" s="1562">
        <v>1</v>
      </c>
      <c r="I41" s="1562">
        <v>2.65</v>
      </c>
      <c r="J41" s="1562">
        <v>3.76</v>
      </c>
      <c r="K41" s="1562">
        <v>1.89</v>
      </c>
      <c r="L41" s="1577">
        <v>7.95</v>
      </c>
      <c r="N41" s="1579">
        <f t="shared" si="108"/>
        <v>2.6499999999999999E-2</v>
      </c>
      <c r="O41" s="1580">
        <f t="shared" si="108"/>
        <v>3.7599999999999995E-2</v>
      </c>
      <c r="P41" s="1580">
        <f t="shared" si="108"/>
        <v>1.89E-2</v>
      </c>
      <c r="Q41" s="1580">
        <f t="shared" si="108"/>
        <v>7.9500000000000001E-2</v>
      </c>
      <c r="R41" s="1573"/>
      <c r="S41" s="1579">
        <f>B41/B42-1</f>
        <v>2.713213765211786E-2</v>
      </c>
      <c r="T41" s="1580">
        <f>C41/C42-1</f>
        <v>3.9774828499231862E-2</v>
      </c>
      <c r="U41" s="1580">
        <f>E41/E42-1</f>
        <v>1.8197311840641772E-2</v>
      </c>
      <c r="V41" s="1580">
        <f>F41/F42-1</f>
        <v>7.8211933962205826E-2</v>
      </c>
      <c r="X41" s="1558"/>
      <c r="Y41" s="1558"/>
      <c r="Z41" s="1558"/>
    </row>
    <row r="42" spans="1:26" ht="13.5" thickBot="1">
      <c r="A42" s="1559" t="s">
        <v>1057</v>
      </c>
      <c r="B42" s="1568">
        <v>269</v>
      </c>
      <c r="C42" s="1568">
        <v>221</v>
      </c>
      <c r="D42" s="1568">
        <f t="shared" si="106"/>
        <v>221</v>
      </c>
      <c r="E42" s="1568">
        <v>373</v>
      </c>
      <c r="F42" s="1569">
        <v>196</v>
      </c>
      <c r="G42" s="3285">
        <v>2010</v>
      </c>
      <c r="H42" s="1581">
        <v>4</v>
      </c>
      <c r="I42" s="1581">
        <v>5.72</v>
      </c>
      <c r="J42" s="1581">
        <v>6.57</v>
      </c>
      <c r="K42" s="1581">
        <v>5.72</v>
      </c>
      <c r="L42" s="1582">
        <v>2.72</v>
      </c>
      <c r="N42" s="1571">
        <f t="shared" si="108"/>
        <v>5.7200000000000001E-2</v>
      </c>
      <c r="O42" s="1572">
        <f t="shared" si="108"/>
        <v>6.5700000000000008E-2</v>
      </c>
      <c r="P42" s="1572">
        <f t="shared" si="108"/>
        <v>5.7200000000000001E-2</v>
      </c>
      <c r="Q42" s="1572">
        <f t="shared" si="108"/>
        <v>2.7200000000000002E-2</v>
      </c>
      <c r="R42" s="1573"/>
      <c r="S42" s="1574"/>
      <c r="T42" s="1575"/>
      <c r="U42" s="1575"/>
      <c r="V42" s="1575"/>
      <c r="X42" s="1575"/>
      <c r="Y42" s="1575"/>
      <c r="Z42" s="1575"/>
    </row>
    <row r="43" spans="1:26">
      <c r="A43" s="1559" t="s">
        <v>1058</v>
      </c>
      <c r="B43" s="1576">
        <f t="shared" ref="B43:C45" si="120">B42/(1+N42)</f>
        <v>254.44570563753314</v>
      </c>
      <c r="C43" s="1576">
        <f t="shared" si="120"/>
        <v>207.37543398705074</v>
      </c>
      <c r="D43" s="1576">
        <f t="shared" si="106"/>
        <v>207.37543398705074</v>
      </c>
      <c r="E43" s="1576">
        <f t="shared" ref="E43:F45" si="121">E42/(1+P42)</f>
        <v>352.81876655315932</v>
      </c>
      <c r="F43" s="1576">
        <f t="shared" si="121"/>
        <v>190.809968847352</v>
      </c>
      <c r="G43" s="3286">
        <v>2010</v>
      </c>
      <c r="H43" s="1586">
        <v>3</v>
      </c>
      <c r="I43" s="1586">
        <v>4.7300000000000004</v>
      </c>
      <c r="J43" s="1586">
        <v>3.9</v>
      </c>
      <c r="K43" s="1586">
        <v>5.03</v>
      </c>
      <c r="L43" s="1587">
        <v>4.21</v>
      </c>
      <c r="N43" s="1571">
        <f t="shared" si="108"/>
        <v>4.7300000000000002E-2</v>
      </c>
      <c r="O43" s="1572">
        <f t="shared" si="108"/>
        <v>3.9E-2</v>
      </c>
      <c r="P43" s="1572">
        <f t="shared" si="108"/>
        <v>5.0300000000000004E-2</v>
      </c>
      <c r="Q43" s="1572">
        <f t="shared" si="108"/>
        <v>4.2099999999999999E-2</v>
      </c>
      <c r="R43" s="1573"/>
      <c r="S43" s="1571"/>
      <c r="T43" s="1572"/>
      <c r="U43" s="1572"/>
      <c r="V43" s="1572"/>
    </row>
    <row r="44" spans="1:26">
      <c r="A44" s="1559" t="s">
        <v>1059</v>
      </c>
      <c r="B44" s="1576">
        <f t="shared" si="120"/>
        <v>242.95398227588385</v>
      </c>
      <c r="C44" s="1576">
        <f t="shared" si="120"/>
        <v>199.59137053614126</v>
      </c>
      <c r="D44" s="1576">
        <f t="shared" si="106"/>
        <v>199.59137053614126</v>
      </c>
      <c r="E44" s="1576">
        <f t="shared" si="121"/>
        <v>335.92189522342125</v>
      </c>
      <c r="F44" s="1576">
        <f t="shared" si="121"/>
        <v>183.10139991109489</v>
      </c>
      <c r="G44" s="3286">
        <v>2010</v>
      </c>
      <c r="H44" s="1563">
        <v>2</v>
      </c>
      <c r="I44" s="1563">
        <v>4.6900000000000004</v>
      </c>
      <c r="J44" s="1563">
        <v>3.55</v>
      </c>
      <c r="K44" s="1563">
        <v>5.07</v>
      </c>
      <c r="L44" s="1578">
        <v>4.2300000000000004</v>
      </c>
      <c r="N44" s="1571">
        <f t="shared" si="108"/>
        <v>4.6900000000000004E-2</v>
      </c>
      <c r="O44" s="1572">
        <f t="shared" si="108"/>
        <v>3.5499999999999997E-2</v>
      </c>
      <c r="P44" s="1572">
        <f t="shared" si="108"/>
        <v>5.0700000000000002E-2</v>
      </c>
      <c r="Q44" s="1572">
        <f t="shared" si="108"/>
        <v>4.2300000000000004E-2</v>
      </c>
      <c r="R44" s="1573"/>
      <c r="S44" s="1571"/>
      <c r="T44" s="1572"/>
      <c r="U44" s="1572"/>
      <c r="V44" s="1572"/>
    </row>
    <row r="45" spans="1:26" ht="13.5" thickBot="1">
      <c r="A45" s="1559" t="s">
        <v>1060</v>
      </c>
      <c r="B45" s="1576">
        <f t="shared" si="120"/>
        <v>232.06990378821649</v>
      </c>
      <c r="C45" s="1576">
        <f t="shared" si="120"/>
        <v>192.74878854286936</v>
      </c>
      <c r="D45" s="1576">
        <f t="shared" si="106"/>
        <v>192.74878854286936</v>
      </c>
      <c r="E45" s="1576">
        <f t="shared" si="121"/>
        <v>319.71247284992984</v>
      </c>
      <c r="F45" s="1576">
        <f t="shared" si="121"/>
        <v>175.67053622862409</v>
      </c>
      <c r="G45" s="3287">
        <v>2010</v>
      </c>
      <c r="H45" s="1562">
        <v>1</v>
      </c>
      <c r="I45" s="1562">
        <v>5.4</v>
      </c>
      <c r="J45" s="1562">
        <v>3.2</v>
      </c>
      <c r="K45" s="1562">
        <v>6.16</v>
      </c>
      <c r="L45" s="1577">
        <v>4.51</v>
      </c>
      <c r="N45" s="1571">
        <f t="shared" si="108"/>
        <v>5.4000000000000006E-2</v>
      </c>
      <c r="O45" s="1572">
        <f t="shared" si="108"/>
        <v>3.2000000000000001E-2</v>
      </c>
      <c r="P45" s="1572">
        <f t="shared" si="108"/>
        <v>6.1600000000000002E-2</v>
      </c>
      <c r="Q45" s="1572">
        <f t="shared" si="108"/>
        <v>4.5100000000000001E-2</v>
      </c>
      <c r="R45" s="1573"/>
      <c r="S45" s="1579">
        <f>B45/B46-1</f>
        <v>5.4863199037347599E-2</v>
      </c>
      <c r="T45" s="1580">
        <f>C45/C46-1</f>
        <v>3.0742184721226584E-2</v>
      </c>
      <c r="U45" s="1580">
        <f>E45/E46-1</f>
        <v>6.2167683886810154E-2</v>
      </c>
      <c r="V45" s="1580">
        <f>F45/F46-1</f>
        <v>4.5657953741810031E-2</v>
      </c>
      <c r="X45" s="1558"/>
      <c r="Y45" s="1558"/>
      <c r="Z45" s="1558"/>
    </row>
    <row r="46" spans="1:26" ht="13.5" thickBot="1">
      <c r="A46" s="1559" t="s">
        <v>1061</v>
      </c>
      <c r="B46" s="1568">
        <v>220</v>
      </c>
      <c r="C46" s="1568">
        <v>187</v>
      </c>
      <c r="D46" s="1568">
        <f t="shared" si="106"/>
        <v>187</v>
      </c>
      <c r="E46" s="1568">
        <v>301</v>
      </c>
      <c r="F46" s="1569">
        <v>168</v>
      </c>
      <c r="G46" s="3285">
        <v>2009</v>
      </c>
      <c r="H46" s="1581">
        <v>4</v>
      </c>
      <c r="I46" s="1581">
        <v>2.2999999999999998</v>
      </c>
      <c r="J46" s="1581">
        <v>1.04</v>
      </c>
      <c r="K46" s="1581">
        <v>2.84</v>
      </c>
      <c r="L46" s="1582">
        <v>0.67</v>
      </c>
      <c r="N46" s="1583">
        <f t="shared" si="108"/>
        <v>2.3E-2</v>
      </c>
      <c r="O46" s="1584">
        <f t="shared" si="108"/>
        <v>1.04E-2</v>
      </c>
      <c r="P46" s="1584">
        <f t="shared" si="108"/>
        <v>2.8399999999999998E-2</v>
      </c>
      <c r="Q46" s="1584">
        <f t="shared" si="108"/>
        <v>6.7000000000000002E-3</v>
      </c>
      <c r="R46" s="1573"/>
      <c r="S46" s="1574"/>
      <c r="T46" s="1575"/>
      <c r="U46" s="1575"/>
      <c r="V46" s="1575"/>
      <c r="X46" s="1575"/>
      <c r="Y46" s="1575"/>
      <c r="Z46" s="1575"/>
    </row>
    <row r="47" spans="1:26">
      <c r="A47" s="1559" t="s">
        <v>1062</v>
      </c>
      <c r="B47" s="1576">
        <f t="shared" ref="B47:C49" si="122">B46/(1+N46)</f>
        <v>215.05376344086022</v>
      </c>
      <c r="C47" s="1576">
        <f t="shared" si="122"/>
        <v>185.0752177355503</v>
      </c>
      <c r="D47" s="1576">
        <f t="shared" si="106"/>
        <v>185.0752177355503</v>
      </c>
      <c r="E47" s="1576">
        <f t="shared" ref="E47:F49" si="123">E46/(1+P46)</f>
        <v>292.68767016725008</v>
      </c>
      <c r="F47" s="1576">
        <f t="shared" si="123"/>
        <v>166.88189132810174</v>
      </c>
      <c r="G47" s="3286">
        <v>2009</v>
      </c>
      <c r="H47" s="1586">
        <v>3</v>
      </c>
      <c r="I47" s="1586">
        <v>2.1</v>
      </c>
      <c r="J47" s="1586">
        <v>1.86</v>
      </c>
      <c r="K47" s="1586">
        <v>2.29</v>
      </c>
      <c r="L47" s="1587">
        <v>0.85</v>
      </c>
      <c r="N47" s="1571">
        <f t="shared" si="108"/>
        <v>2.1000000000000001E-2</v>
      </c>
      <c r="O47" s="1588">
        <f t="shared" si="108"/>
        <v>1.8600000000000002E-2</v>
      </c>
      <c r="P47" s="1588">
        <f t="shared" si="108"/>
        <v>2.29E-2</v>
      </c>
      <c r="Q47" s="1588">
        <f t="shared" si="108"/>
        <v>8.5000000000000006E-3</v>
      </c>
      <c r="R47" s="1573"/>
      <c r="S47" s="1571"/>
      <c r="T47" s="1572"/>
      <c r="U47" s="1572"/>
      <c r="V47" s="1572"/>
    </row>
    <row r="48" spans="1:26">
      <c r="A48" s="1559" t="s">
        <v>1063</v>
      </c>
      <c r="B48" s="1576">
        <f t="shared" si="122"/>
        <v>210.630522469011</v>
      </c>
      <c r="C48" s="1576">
        <f t="shared" si="122"/>
        <v>181.69567812247232</v>
      </c>
      <c r="D48" s="1576">
        <f t="shared" si="106"/>
        <v>181.69567812247232</v>
      </c>
      <c r="E48" s="1576">
        <f t="shared" si="123"/>
        <v>286.13517466736738</v>
      </c>
      <c r="F48" s="1576">
        <f t="shared" si="123"/>
        <v>165.47535084591149</v>
      </c>
      <c r="G48" s="3286">
        <v>2009</v>
      </c>
      <c r="H48" s="1563">
        <v>2</v>
      </c>
      <c r="I48" s="1563">
        <v>0.86</v>
      </c>
      <c r="J48" s="1563">
        <v>-1.1299999999999999</v>
      </c>
      <c r="K48" s="1563">
        <v>1.79</v>
      </c>
      <c r="L48" s="1578">
        <v>-2.0699999999999998</v>
      </c>
      <c r="N48" s="1571">
        <f t="shared" si="108"/>
        <v>8.6E-3</v>
      </c>
      <c r="O48" s="1588">
        <f t="shared" si="108"/>
        <v>-1.1299999999999999E-2</v>
      </c>
      <c r="P48" s="1588">
        <f t="shared" si="108"/>
        <v>1.7899999999999999E-2</v>
      </c>
      <c r="Q48" s="1588">
        <f t="shared" si="108"/>
        <v>-2.07E-2</v>
      </c>
      <c r="R48" s="1573"/>
      <c r="S48" s="1571"/>
      <c r="T48" s="1572"/>
      <c r="U48" s="1572"/>
      <c r="V48" s="1572"/>
    </row>
    <row r="49" spans="1:26">
      <c r="A49" s="1559" t="s">
        <v>1064</v>
      </c>
      <c r="B49" s="1576">
        <f t="shared" si="122"/>
        <v>208.83454537875372</v>
      </c>
      <c r="C49" s="1576">
        <f t="shared" si="122"/>
        <v>183.77230517090351</v>
      </c>
      <c r="D49" s="1576">
        <f t="shared" si="106"/>
        <v>183.77230517090351</v>
      </c>
      <c r="E49" s="1576">
        <f t="shared" si="123"/>
        <v>281.10342338870947</v>
      </c>
      <c r="F49" s="1576">
        <f t="shared" si="123"/>
        <v>168.97309388942256</v>
      </c>
      <c r="G49" s="3287">
        <v>2009</v>
      </c>
      <c r="H49" s="1562">
        <v>1</v>
      </c>
      <c r="I49" s="1562">
        <v>-2.64</v>
      </c>
      <c r="J49" s="1562">
        <v>-2.5299999999999998</v>
      </c>
      <c r="K49" s="1562">
        <v>-3.02</v>
      </c>
      <c r="L49" s="1577">
        <v>1.52</v>
      </c>
      <c r="N49" s="1579">
        <f t="shared" si="108"/>
        <v>-2.64E-2</v>
      </c>
      <c r="O49" s="1580">
        <f t="shared" si="108"/>
        <v>-2.53E-2</v>
      </c>
      <c r="P49" s="1580">
        <f t="shared" si="108"/>
        <v>-3.0200000000000001E-2</v>
      </c>
      <c r="Q49" s="1580">
        <f t="shared" si="108"/>
        <v>1.52E-2</v>
      </c>
      <c r="R49" s="1573"/>
      <c r="S49" s="1579">
        <f>B49/B50-1</f>
        <v>-2.4137638417038754E-2</v>
      </c>
      <c r="T49" s="1580">
        <f>C49/C50-1</f>
        <v>-2.248773845264096E-2</v>
      </c>
      <c r="U49" s="1580">
        <f>E49/E50-1</f>
        <v>-2.7323794502735366E-2</v>
      </c>
      <c r="V49" s="1580">
        <f>F49/F50-1</f>
        <v>1.7910204153148035E-2</v>
      </c>
      <c r="X49" s="1558"/>
      <c r="Y49" s="1558"/>
      <c r="Z49" s="1558"/>
    </row>
    <row r="50" spans="1:26" ht="13.5" thickBot="1">
      <c r="A50" s="1559" t="s">
        <v>1065</v>
      </c>
      <c r="B50" s="1610">
        <v>214</v>
      </c>
      <c r="C50" s="1610">
        <v>188</v>
      </c>
      <c r="D50" s="1610">
        <f t="shared" si="106"/>
        <v>188</v>
      </c>
      <c r="E50" s="1610">
        <v>289</v>
      </c>
      <c r="F50" s="1611">
        <v>166</v>
      </c>
      <c r="G50" s="3285">
        <v>2008</v>
      </c>
      <c r="H50" s="1581">
        <v>4</v>
      </c>
      <c r="I50" s="1581">
        <v>1.73</v>
      </c>
      <c r="J50" s="1581">
        <v>0.03</v>
      </c>
      <c r="K50" s="1581">
        <v>2.59</v>
      </c>
      <c r="L50" s="1582">
        <v>-1.66</v>
      </c>
      <c r="N50" s="1571">
        <f t="shared" si="108"/>
        <v>1.7299999999999999E-2</v>
      </c>
      <c r="O50" s="1572">
        <f t="shared" si="108"/>
        <v>2.9999999999999997E-4</v>
      </c>
      <c r="P50" s="1572">
        <f t="shared" si="108"/>
        <v>2.5899999999999999E-2</v>
      </c>
      <c r="Q50" s="1572">
        <f t="shared" si="108"/>
        <v>-1.66E-2</v>
      </c>
      <c r="R50" s="1573"/>
      <c r="S50" s="1574"/>
      <c r="T50" s="1575"/>
      <c r="U50" s="1575"/>
      <c r="V50" s="1575"/>
      <c r="X50" s="1575"/>
      <c r="Y50" s="1575"/>
      <c r="Z50" s="1575"/>
    </row>
    <row r="51" spans="1:26">
      <c r="A51" s="1559" t="s">
        <v>1066</v>
      </c>
      <c r="B51" s="1576">
        <f t="shared" ref="B51:C53" si="124">B50/(1+N50)</f>
        <v>210.36075887152265</v>
      </c>
      <c r="C51" s="1576">
        <f t="shared" si="124"/>
        <v>187.94361691492554</v>
      </c>
      <c r="D51" s="1576">
        <f t="shared" si="106"/>
        <v>187.94361691492554</v>
      </c>
      <c r="E51" s="1576">
        <f t="shared" ref="E51:F53" si="125">E50/(1+P50)</f>
        <v>281.70386977288234</v>
      </c>
      <c r="F51" s="1576">
        <f t="shared" si="125"/>
        <v>168.80211511083994</v>
      </c>
      <c r="G51" s="3286">
        <v>2008</v>
      </c>
      <c r="H51" s="1586">
        <v>3</v>
      </c>
      <c r="I51" s="1586">
        <v>1.96</v>
      </c>
      <c r="J51" s="1586">
        <v>2.36</v>
      </c>
      <c r="K51" s="1586">
        <v>1.82</v>
      </c>
      <c r="L51" s="1587">
        <v>2.2200000000000002</v>
      </c>
      <c r="N51" s="1571">
        <f t="shared" si="108"/>
        <v>1.9599999999999999E-2</v>
      </c>
      <c r="O51" s="1572">
        <f t="shared" si="108"/>
        <v>2.3599999999999999E-2</v>
      </c>
      <c r="P51" s="1572">
        <f t="shared" si="108"/>
        <v>1.8200000000000001E-2</v>
      </c>
      <c r="Q51" s="1572">
        <f t="shared" si="108"/>
        <v>2.2200000000000001E-2</v>
      </c>
      <c r="R51" s="1573"/>
      <c r="S51" s="1571"/>
      <c r="T51" s="1572"/>
      <c r="U51" s="1572"/>
      <c r="V51" s="1572"/>
    </row>
    <row r="52" spans="1:26">
      <c r="A52" s="1559" t="s">
        <v>1067</v>
      </c>
      <c r="B52" s="1576">
        <f t="shared" si="124"/>
        <v>206.31694671589116</v>
      </c>
      <c r="C52" s="1576">
        <f t="shared" si="124"/>
        <v>183.61041121036101</v>
      </c>
      <c r="D52" s="1576">
        <f t="shared" si="106"/>
        <v>183.61041121036101</v>
      </c>
      <c r="E52" s="1576">
        <f t="shared" si="125"/>
        <v>276.66850301795557</v>
      </c>
      <c r="F52" s="1576">
        <f t="shared" si="125"/>
        <v>165.1360938278614</v>
      </c>
      <c r="G52" s="3286">
        <v>2008</v>
      </c>
      <c r="H52" s="1563">
        <v>2</v>
      </c>
      <c r="I52" s="1563">
        <v>4.93</v>
      </c>
      <c r="J52" s="1563">
        <v>7.38</v>
      </c>
      <c r="K52" s="1563">
        <v>3.98</v>
      </c>
      <c r="L52" s="1578">
        <v>6.86</v>
      </c>
      <c r="N52" s="1571">
        <f t="shared" si="108"/>
        <v>4.9299999999999997E-2</v>
      </c>
      <c r="O52" s="1572">
        <f t="shared" si="108"/>
        <v>7.3800000000000004E-2</v>
      </c>
      <c r="P52" s="1572">
        <f t="shared" si="108"/>
        <v>3.9800000000000002E-2</v>
      </c>
      <c r="Q52" s="1572">
        <f t="shared" si="108"/>
        <v>6.8600000000000008E-2</v>
      </c>
      <c r="R52" s="1573"/>
      <c r="S52" s="1571"/>
      <c r="T52" s="1572"/>
      <c r="U52" s="1572"/>
      <c r="V52" s="1572"/>
    </row>
    <row r="53" spans="1:26" s="1616" customFormat="1" ht="13.5" thickBot="1">
      <c r="A53" s="1559" t="s">
        <v>1068</v>
      </c>
      <c r="B53" s="1613">
        <f t="shared" si="124"/>
        <v>196.62341248059772</v>
      </c>
      <c r="C53" s="1613">
        <f t="shared" si="124"/>
        <v>170.99125648199012</v>
      </c>
      <c r="D53" s="1613">
        <f t="shared" si="106"/>
        <v>170.99125648199012</v>
      </c>
      <c r="E53" s="1613">
        <f t="shared" si="125"/>
        <v>266.07857570490052</v>
      </c>
      <c r="F53" s="1613">
        <f t="shared" si="125"/>
        <v>154.53499328828505</v>
      </c>
      <c r="G53" s="3287">
        <v>2008</v>
      </c>
      <c r="H53" s="1614">
        <v>1</v>
      </c>
      <c r="I53" s="1614">
        <v>4.1399999999999997</v>
      </c>
      <c r="J53" s="1614">
        <v>3.45</v>
      </c>
      <c r="K53" s="1614">
        <v>4.95</v>
      </c>
      <c r="L53" s="1615">
        <v>4.82</v>
      </c>
      <c r="N53" s="1617">
        <f t="shared" si="108"/>
        <v>4.1399999999999999E-2</v>
      </c>
      <c r="O53" s="1618">
        <f t="shared" si="108"/>
        <v>3.4500000000000003E-2</v>
      </c>
      <c r="P53" s="1618">
        <f t="shared" si="108"/>
        <v>4.9500000000000002E-2</v>
      </c>
      <c r="Q53" s="1618">
        <f t="shared" si="108"/>
        <v>4.82E-2</v>
      </c>
      <c r="R53" s="1619"/>
      <c r="S53" s="1617">
        <f>B53/B54-1</f>
        <v>4.5869215322328349E-2</v>
      </c>
      <c r="T53" s="1618">
        <f>C53/C54-1</f>
        <v>3.6310645345394743E-2</v>
      </c>
      <c r="U53" s="1618">
        <f>E53/E54-1</f>
        <v>4.7553447657088688E-2</v>
      </c>
      <c r="V53" s="1618">
        <f>F53/F54-1</f>
        <v>4.4155360055980086E-2</v>
      </c>
      <c r="X53" s="1620"/>
      <c r="Y53" s="1620"/>
      <c r="Z53" s="1620"/>
    </row>
    <row r="54" spans="1:26" ht="13.5" thickBot="1">
      <c r="A54" s="1559" t="s">
        <v>1069</v>
      </c>
      <c r="B54" s="1568">
        <v>188</v>
      </c>
      <c r="C54" s="1568">
        <v>165</v>
      </c>
      <c r="D54" s="1568">
        <f t="shared" si="106"/>
        <v>165</v>
      </c>
      <c r="E54" s="1568">
        <v>254</v>
      </c>
      <c r="F54" s="1569">
        <v>148</v>
      </c>
      <c r="G54" s="3285">
        <v>2007</v>
      </c>
      <c r="H54" s="1621">
        <v>4</v>
      </c>
      <c r="I54" s="1621">
        <v>5.51</v>
      </c>
      <c r="J54" s="1621">
        <v>4.8899999999999997</v>
      </c>
      <c r="K54" s="1621">
        <v>6.43</v>
      </c>
      <c r="L54" s="1622">
        <v>5.36</v>
      </c>
      <c r="N54" s="1623">
        <f t="shared" ref="N54:O57" si="126">B54/B55-1</f>
        <v>4.1339718365245526E-2</v>
      </c>
      <c r="O54" s="1624">
        <f t="shared" si="126"/>
        <v>4.0324492593776018E-2</v>
      </c>
      <c r="P54" s="1624">
        <f t="shared" ref="P54:Q57" si="127">E54/E55-1</f>
        <v>6.1625555347990968E-2</v>
      </c>
      <c r="Q54" s="1624">
        <f t="shared" si="127"/>
        <v>4.6757569250590603E-2</v>
      </c>
      <c r="R54" s="1573"/>
      <c r="S54" s="1574"/>
      <c r="T54" s="1575"/>
      <c r="U54" s="1575"/>
      <c r="V54" s="1575"/>
      <c r="X54" s="1575"/>
      <c r="Y54" s="1575"/>
      <c r="Z54" s="1575"/>
    </row>
    <row r="55" spans="1:26">
      <c r="A55" s="1559" t="s">
        <v>1070</v>
      </c>
      <c r="B55" s="1576">
        <f t="shared" ref="B55:C57" si="128">B56+(B$54-B$58)*I55/SUM(I$54:I$57)</f>
        <v>180.5366651097618</v>
      </c>
      <c r="C55" s="1576">
        <f t="shared" si="128"/>
        <v>158.60435967302453</v>
      </c>
      <c r="D55" s="1576">
        <f t="shared" si="106"/>
        <v>158.60435967302453</v>
      </c>
      <c r="E55" s="1576">
        <f t="shared" ref="E55:F57" si="129">E56+(E$54-E$58)*K55/SUM(K$54:K$57)</f>
        <v>239.25573260785075</v>
      </c>
      <c r="F55" s="1576">
        <f t="shared" si="129"/>
        <v>141.38899430740037</v>
      </c>
      <c r="G55" s="3286">
        <v>2007</v>
      </c>
      <c r="H55" s="1586">
        <v>3</v>
      </c>
      <c r="I55" s="1586">
        <v>8.65</v>
      </c>
      <c r="J55" s="1586">
        <v>8.06</v>
      </c>
      <c r="K55" s="1586">
        <v>9.94</v>
      </c>
      <c r="L55" s="1587">
        <v>5.8</v>
      </c>
      <c r="N55" s="1623">
        <f t="shared" si="126"/>
        <v>6.940217571740015E-2</v>
      </c>
      <c r="O55" s="1624">
        <f t="shared" si="126"/>
        <v>7.1197482471153428E-2</v>
      </c>
      <c r="P55" s="1624">
        <f t="shared" si="127"/>
        <v>0.10529679922579582</v>
      </c>
      <c r="Q55" s="1624">
        <f t="shared" si="127"/>
        <v>5.3292245059512133E-2</v>
      </c>
      <c r="R55" s="1573"/>
      <c r="S55" s="1571"/>
      <c r="T55" s="1572"/>
      <c r="U55" s="1572"/>
      <c r="V55" s="1572"/>
      <c r="X55" s="1625"/>
      <c r="Y55" s="1625"/>
      <c r="Z55" s="1625"/>
    </row>
    <row r="56" spans="1:26">
      <c r="A56" s="1559" t="s">
        <v>1071</v>
      </c>
      <c r="B56" s="1576">
        <f t="shared" si="128"/>
        <v>168.82017748715555</v>
      </c>
      <c r="C56" s="1576">
        <f t="shared" si="128"/>
        <v>148.06267029972753</v>
      </c>
      <c r="D56" s="1576">
        <f t="shared" si="106"/>
        <v>148.06267029972753</v>
      </c>
      <c r="E56" s="1576">
        <f t="shared" si="129"/>
        <v>216.46288379323747</v>
      </c>
      <c r="F56" s="1576">
        <f t="shared" si="129"/>
        <v>134.23529411764704</v>
      </c>
      <c r="G56" s="3286">
        <v>2007</v>
      </c>
      <c r="H56" s="1563">
        <v>2</v>
      </c>
      <c r="I56" s="1563">
        <v>3.67</v>
      </c>
      <c r="J56" s="1563">
        <v>2.3199999999999998</v>
      </c>
      <c r="K56" s="1563">
        <v>5.0199999999999996</v>
      </c>
      <c r="L56" s="1578">
        <v>6.71</v>
      </c>
      <c r="N56" s="1623">
        <f t="shared" si="126"/>
        <v>3.0339138143848032E-2</v>
      </c>
      <c r="O56" s="1624">
        <f t="shared" si="126"/>
        <v>2.0922341588790472E-2</v>
      </c>
      <c r="P56" s="1624">
        <f t="shared" si="127"/>
        <v>5.6164796592717003E-2</v>
      </c>
      <c r="Q56" s="1624">
        <f t="shared" si="127"/>
        <v>6.5704536723887319E-2</v>
      </c>
      <c r="R56" s="1573"/>
      <c r="S56" s="1571"/>
      <c r="T56" s="1572"/>
      <c r="U56" s="1572"/>
      <c r="V56" s="1572"/>
      <c r="X56" s="1625"/>
      <c r="Y56" s="1625"/>
      <c r="Z56" s="1625"/>
    </row>
    <row r="57" spans="1:26">
      <c r="A57" s="1559" t="s">
        <v>1072</v>
      </c>
      <c r="B57" s="1576">
        <f t="shared" si="128"/>
        <v>163.84913591779542</v>
      </c>
      <c r="C57" s="1576">
        <f t="shared" si="128"/>
        <v>145.0283378746594</v>
      </c>
      <c r="D57" s="1576">
        <f t="shared" si="106"/>
        <v>145.0283378746594</v>
      </c>
      <c r="E57" s="1576">
        <f t="shared" si="129"/>
        <v>204.95180722891567</v>
      </c>
      <c r="F57" s="1576">
        <f t="shared" si="129"/>
        <v>125.95920303605313</v>
      </c>
      <c r="G57" s="3287">
        <v>2007</v>
      </c>
      <c r="H57" s="1562">
        <v>1</v>
      </c>
      <c r="I57" s="1562">
        <v>3.58</v>
      </c>
      <c r="J57" s="1562">
        <v>3.08</v>
      </c>
      <c r="K57" s="1562">
        <v>4.34</v>
      </c>
      <c r="L57" s="1577">
        <v>3.21</v>
      </c>
      <c r="N57" s="1626">
        <f t="shared" si="126"/>
        <v>3.0497710174814063E-2</v>
      </c>
      <c r="O57" s="1627">
        <f t="shared" si="126"/>
        <v>2.8569772160704998E-2</v>
      </c>
      <c r="P57" s="1627">
        <f t="shared" si="127"/>
        <v>5.1034908866234296E-2</v>
      </c>
      <c r="Q57" s="1627">
        <f t="shared" si="127"/>
        <v>3.245248390207478E-2</v>
      </c>
      <c r="R57" s="1573"/>
      <c r="S57" s="1579">
        <f>B57/B58-1</f>
        <v>3.0497710174814063E-2</v>
      </c>
      <c r="T57" s="1580">
        <f>C57/C58-1</f>
        <v>2.8569772160704998E-2</v>
      </c>
      <c r="U57" s="1580">
        <f>E57/E58-1</f>
        <v>5.1034908866234296E-2</v>
      </c>
      <c r="V57" s="1580">
        <f>F57/F58-1</f>
        <v>3.245248390207478E-2</v>
      </c>
      <c r="X57" s="1625"/>
      <c r="Y57" s="1625"/>
      <c r="Z57" s="1625"/>
    </row>
    <row r="58" spans="1:26" ht="13.5" thickBot="1">
      <c r="A58" s="1559" t="s">
        <v>1073</v>
      </c>
      <c r="B58" s="1589">
        <v>159</v>
      </c>
      <c r="C58" s="1589">
        <v>141</v>
      </c>
      <c r="D58" s="1589">
        <f t="shared" si="106"/>
        <v>141</v>
      </c>
      <c r="E58" s="1589">
        <v>195</v>
      </c>
      <c r="F58" s="1590">
        <v>122</v>
      </c>
      <c r="G58" s="3285">
        <v>2006</v>
      </c>
      <c r="H58" s="1581">
        <v>4</v>
      </c>
      <c r="I58" s="1581">
        <v>3.79</v>
      </c>
      <c r="J58" s="1581">
        <v>2.21</v>
      </c>
      <c r="K58" s="1581">
        <v>5.65</v>
      </c>
      <c r="L58" s="1582">
        <v>5.41</v>
      </c>
      <c r="N58" s="1623">
        <f t="shared" ref="N58:O61" si="130">I58/SUM(I$58:I$61)*(B$58/B$62-1)</f>
        <v>7.245466462748526E-2</v>
      </c>
      <c r="O58" s="1624">
        <f t="shared" si="130"/>
        <v>2.3237230038062766E-2</v>
      </c>
      <c r="P58" s="1624">
        <f t="shared" ref="P58:Q61" si="131">K58/SUM(K$58:K$61)*(E$58/E$62-1)</f>
        <v>0.16146893866323722</v>
      </c>
      <c r="Q58" s="1624">
        <f t="shared" si="131"/>
        <v>5.0755230321793784E-2</v>
      </c>
      <c r="R58" s="1573"/>
      <c r="S58" s="1574"/>
      <c r="T58" s="1575"/>
      <c r="U58" s="1575"/>
      <c r="V58" s="1575"/>
      <c r="X58" s="1625"/>
      <c r="Y58" s="1625"/>
      <c r="Z58" s="1625"/>
    </row>
    <row r="59" spans="1:26">
      <c r="A59" s="1559" t="s">
        <v>1074</v>
      </c>
      <c r="B59" s="1576">
        <f t="shared" ref="B59:C61" si="132">B60+(B$58-B$62)*I59/SUM(I$58:I$61)</f>
        <v>149.00125628140702</v>
      </c>
      <c r="C59" s="1576">
        <f t="shared" si="132"/>
        <v>137.95592286501378</v>
      </c>
      <c r="D59" s="1576">
        <f t="shared" si="106"/>
        <v>137.95592286501378</v>
      </c>
      <c r="E59" s="1576">
        <f t="shared" ref="E59:F61" si="133">E60+(E$58-E$62)*K59/SUM(K$58:K$61)</f>
        <v>169.97231450719823</v>
      </c>
      <c r="F59" s="1576">
        <f t="shared" si="133"/>
        <v>116.21390374331551</v>
      </c>
      <c r="G59" s="3286">
        <v>2006</v>
      </c>
      <c r="H59" s="1586">
        <v>3</v>
      </c>
      <c r="I59" s="1586">
        <v>0.92</v>
      </c>
      <c r="J59" s="1586">
        <v>1.08</v>
      </c>
      <c r="K59" s="1586">
        <v>0.73</v>
      </c>
      <c r="L59" s="1587">
        <v>1.08</v>
      </c>
      <c r="N59" s="1623">
        <f t="shared" si="130"/>
        <v>1.7587939698492462E-2</v>
      </c>
      <c r="O59" s="1624">
        <f t="shared" si="130"/>
        <v>1.1355750425840628E-2</v>
      </c>
      <c r="P59" s="1624">
        <f t="shared" si="131"/>
        <v>2.0862358446754544E-2</v>
      </c>
      <c r="Q59" s="1624">
        <f t="shared" si="131"/>
        <v>1.0132282578103011E-2</v>
      </c>
      <c r="R59" s="1573"/>
      <c r="S59" s="1571"/>
      <c r="T59" s="1572"/>
      <c r="U59" s="1572"/>
      <c r="V59" s="1572"/>
      <c r="X59" s="1625"/>
      <c r="Y59" s="1625"/>
      <c r="Z59" s="1625"/>
    </row>
    <row r="60" spans="1:26">
      <c r="A60" s="1559" t="s">
        <v>1075</v>
      </c>
      <c r="B60" s="1576">
        <f t="shared" si="132"/>
        <v>146.57412060301507</v>
      </c>
      <c r="C60" s="1576">
        <f t="shared" si="132"/>
        <v>136.46831955922866</v>
      </c>
      <c r="D60" s="1576">
        <f t="shared" si="106"/>
        <v>136.46831955922866</v>
      </c>
      <c r="E60" s="1576">
        <f t="shared" si="133"/>
        <v>166.73864894795128</v>
      </c>
      <c r="F60" s="1576">
        <f t="shared" si="133"/>
        <v>115.05882352941177</v>
      </c>
      <c r="G60" s="3286">
        <v>2006</v>
      </c>
      <c r="H60" s="1563">
        <v>2</v>
      </c>
      <c r="I60" s="1563">
        <v>0.96</v>
      </c>
      <c r="J60" s="1563">
        <v>0.25</v>
      </c>
      <c r="K60" s="1563">
        <v>1.9</v>
      </c>
      <c r="L60" s="1578">
        <v>0.95</v>
      </c>
      <c r="N60" s="1623">
        <f t="shared" si="130"/>
        <v>1.8352632728861701E-2</v>
      </c>
      <c r="O60" s="1624">
        <f t="shared" si="130"/>
        <v>2.6286459319075526E-3</v>
      </c>
      <c r="P60" s="1624">
        <f t="shared" si="131"/>
        <v>5.4299289107991269E-2</v>
      </c>
      <c r="Q60" s="1624">
        <f t="shared" si="131"/>
        <v>8.9126559714794995E-3</v>
      </c>
      <c r="R60" s="1573"/>
      <c r="S60" s="1571"/>
      <c r="T60" s="1572"/>
      <c r="U60" s="1572"/>
      <c r="V60" s="1572"/>
      <c r="X60" s="1625"/>
      <c r="Y60" s="1625"/>
      <c r="Z60" s="1625"/>
    </row>
    <row r="61" spans="1:26">
      <c r="A61" s="1559" t="s">
        <v>1076</v>
      </c>
      <c r="B61" s="1576">
        <f t="shared" si="132"/>
        <v>144.04145728643215</v>
      </c>
      <c r="C61" s="1576">
        <f t="shared" si="132"/>
        <v>136.12396694214877</v>
      </c>
      <c r="D61" s="1576">
        <f t="shared" si="106"/>
        <v>136.12396694214877</v>
      </c>
      <c r="E61" s="1576">
        <f t="shared" si="133"/>
        <v>158.32225913621264</v>
      </c>
      <c r="F61" s="1576">
        <f t="shared" si="133"/>
        <v>114.04278074866311</v>
      </c>
      <c r="G61" s="3287">
        <v>2006</v>
      </c>
      <c r="H61" s="1562">
        <v>1</v>
      </c>
      <c r="I61" s="1562">
        <v>2.29</v>
      </c>
      <c r="J61" s="1562">
        <v>3.72</v>
      </c>
      <c r="K61" s="1562">
        <v>0.75</v>
      </c>
      <c r="L61" s="1577">
        <v>0.04</v>
      </c>
      <c r="N61" s="1626">
        <f t="shared" si="130"/>
        <v>4.3778675988638847E-2</v>
      </c>
      <c r="O61" s="1627">
        <f t="shared" si="130"/>
        <v>3.9114251466784385E-2</v>
      </c>
      <c r="P61" s="1627">
        <f t="shared" si="131"/>
        <v>2.1433929911049188E-2</v>
      </c>
      <c r="Q61" s="1627">
        <f t="shared" si="131"/>
        <v>3.7526972511492629E-4</v>
      </c>
      <c r="R61" s="1573"/>
      <c r="S61" s="1579">
        <f>B61/B62-1</f>
        <v>4.3778675988638716E-2</v>
      </c>
      <c r="T61" s="1580">
        <f>C61/C62-1</f>
        <v>3.91142514667846E-2</v>
      </c>
      <c r="U61" s="1580">
        <f>E61/E62-1</f>
        <v>2.143392991104931E-2</v>
      </c>
      <c r="V61" s="1580">
        <f>F61/F62-1</f>
        <v>3.7526972511492396E-4</v>
      </c>
      <c r="X61" s="1625"/>
      <c r="Y61" s="1625"/>
      <c r="Z61" s="1625"/>
    </row>
    <row r="62" spans="1:26" ht="13.5" thickBot="1">
      <c r="A62" s="1559" t="s">
        <v>1077</v>
      </c>
      <c r="B62" s="1589">
        <v>138</v>
      </c>
      <c r="C62" s="1589">
        <v>131</v>
      </c>
      <c r="D62" s="1589">
        <f t="shared" si="106"/>
        <v>131</v>
      </c>
      <c r="E62" s="1589">
        <v>155</v>
      </c>
      <c r="F62" s="1590">
        <v>114</v>
      </c>
      <c r="G62" s="3285">
        <v>2005</v>
      </c>
      <c r="H62" s="1581">
        <v>4</v>
      </c>
      <c r="I62" s="1581">
        <v>3.29</v>
      </c>
      <c r="J62" s="1581">
        <v>1.44</v>
      </c>
      <c r="K62" s="1581">
        <v>0.66</v>
      </c>
      <c r="L62" s="1582">
        <v>7.78</v>
      </c>
      <c r="N62" s="1623">
        <f t="shared" ref="N62:O65" si="134">I62/SUM(I$62:I$65)*(B$62/B$66-1)</f>
        <v>9.9404603216919935E-2</v>
      </c>
      <c r="O62" s="1624">
        <f t="shared" si="134"/>
        <v>4.7636550760861554E-2</v>
      </c>
      <c r="P62" s="1624">
        <f t="shared" ref="P62:Q65" si="135">K62/SUM(K$62:K$65)*(E$62/E$66-1)</f>
        <v>8.3756345177664976E-2</v>
      </c>
      <c r="Q62" s="1624">
        <f t="shared" si="135"/>
        <v>5.2148766661559584E-2</v>
      </c>
      <c r="R62" s="1573"/>
      <c r="S62" s="1574"/>
      <c r="T62" s="1575"/>
      <c r="U62" s="1575"/>
      <c r="V62" s="1575"/>
      <c r="X62" s="1625"/>
      <c r="Y62" s="1625"/>
      <c r="Z62" s="1625"/>
    </row>
    <row r="63" spans="1:26">
      <c r="A63" s="1559" t="s">
        <v>1078</v>
      </c>
      <c r="B63" s="1576">
        <f t="shared" ref="B63:C65" si="136">B64+(B$62-B$66)*I63/SUM(I$62:I$65)</f>
        <v>125.9720430107527</v>
      </c>
      <c r="C63" s="1576">
        <f t="shared" si="136"/>
        <v>125.1883408071749</v>
      </c>
      <c r="D63" s="1576">
        <f t="shared" si="106"/>
        <v>125.1883408071749</v>
      </c>
      <c r="E63" s="1576">
        <f t="shared" ref="E63:F65" si="137">E64+(E$62-E$66)*K63/SUM(K$62:K$65)</f>
        <v>144.61421319796952</v>
      </c>
      <c r="F63" s="1576">
        <f t="shared" si="137"/>
        <v>108.42008196721311</v>
      </c>
      <c r="G63" s="3286">
        <v>2005</v>
      </c>
      <c r="H63" s="1586">
        <v>3</v>
      </c>
      <c r="I63" s="1586">
        <v>0.46</v>
      </c>
      <c r="J63" s="1586">
        <v>0.32</v>
      </c>
      <c r="K63" s="1586">
        <v>0.42</v>
      </c>
      <c r="L63" s="1587">
        <v>0.64</v>
      </c>
      <c r="N63" s="1623">
        <f t="shared" si="134"/>
        <v>1.3898515951301874E-2</v>
      </c>
      <c r="O63" s="1624">
        <f t="shared" si="134"/>
        <v>1.0585900169080346E-2</v>
      </c>
      <c r="P63" s="1624">
        <f t="shared" si="135"/>
        <v>5.3299492385786795E-2</v>
      </c>
      <c r="Q63" s="1624">
        <f t="shared" si="135"/>
        <v>4.2898728359123568E-3</v>
      </c>
      <c r="R63" s="1573"/>
      <c r="S63" s="1571"/>
      <c r="T63" s="1572"/>
      <c r="U63" s="1572"/>
      <c r="V63" s="1572"/>
      <c r="X63" s="1625"/>
      <c r="Y63" s="1625"/>
      <c r="Z63" s="1625"/>
    </row>
    <row r="64" spans="1:26">
      <c r="A64" s="1559" t="s">
        <v>1079</v>
      </c>
      <c r="B64" s="1576">
        <f t="shared" si="136"/>
        <v>124.29032258064517</v>
      </c>
      <c r="C64" s="1576">
        <f t="shared" si="136"/>
        <v>123.8968609865471</v>
      </c>
      <c r="D64" s="1576">
        <f t="shared" si="106"/>
        <v>123.8968609865471</v>
      </c>
      <c r="E64" s="1576">
        <f t="shared" si="137"/>
        <v>138.00507614213197</v>
      </c>
      <c r="F64" s="1576">
        <f t="shared" si="137"/>
        <v>107.96106557377048</v>
      </c>
      <c r="G64" s="3286">
        <v>2005</v>
      </c>
      <c r="H64" s="1563">
        <v>2</v>
      </c>
      <c r="I64" s="1563">
        <v>0.47</v>
      </c>
      <c r="J64" s="1563">
        <v>0.1</v>
      </c>
      <c r="K64" s="1563">
        <v>0.52</v>
      </c>
      <c r="L64" s="1578">
        <v>0.79</v>
      </c>
      <c r="N64" s="1623">
        <f t="shared" si="134"/>
        <v>1.420065760241713E-2</v>
      </c>
      <c r="O64" s="1624">
        <f t="shared" si="134"/>
        <v>3.3080938028376083E-3</v>
      </c>
      <c r="P64" s="1624">
        <f t="shared" si="135"/>
        <v>6.598984771573603E-2</v>
      </c>
      <c r="Q64" s="1624">
        <f t="shared" si="135"/>
        <v>5.2953117818293153E-3</v>
      </c>
      <c r="R64" s="1573"/>
      <c r="S64" s="1571"/>
      <c r="T64" s="1572"/>
      <c r="U64" s="1572"/>
      <c r="V64" s="1572"/>
      <c r="X64" s="1625"/>
      <c r="Y64" s="1625"/>
      <c r="Z64" s="1625"/>
    </row>
    <row r="65" spans="1:26">
      <c r="A65" s="1559" t="s">
        <v>1080</v>
      </c>
      <c r="B65" s="1576">
        <f t="shared" si="136"/>
        <v>122.57204301075269</v>
      </c>
      <c r="C65" s="1576">
        <f t="shared" si="136"/>
        <v>123.4932735426009</v>
      </c>
      <c r="D65" s="1576">
        <f t="shared" si="106"/>
        <v>123.4932735426009</v>
      </c>
      <c r="E65" s="1576">
        <f t="shared" si="137"/>
        <v>129.82233502538071</v>
      </c>
      <c r="F65" s="1576">
        <f t="shared" si="137"/>
        <v>107.39446721311475</v>
      </c>
      <c r="G65" s="3287">
        <v>2005</v>
      </c>
      <c r="H65" s="1562">
        <v>1</v>
      </c>
      <c r="I65" s="1562">
        <v>0.43</v>
      </c>
      <c r="J65" s="1562">
        <v>0.37</v>
      </c>
      <c r="K65" s="1562">
        <v>0.37</v>
      </c>
      <c r="L65" s="1577">
        <v>0.55000000000000004</v>
      </c>
      <c r="N65" s="1626">
        <f t="shared" si="134"/>
        <v>1.2992090997956099E-2</v>
      </c>
      <c r="O65" s="1627">
        <f t="shared" si="134"/>
        <v>1.2239947070499151E-2</v>
      </c>
      <c r="P65" s="1627">
        <f t="shared" si="135"/>
        <v>4.6954314720812178E-2</v>
      </c>
      <c r="Q65" s="1627">
        <f t="shared" si="135"/>
        <v>3.6866094683621815E-3</v>
      </c>
      <c r="R65" s="1573"/>
      <c r="S65" s="1579">
        <f>B65/B66-1</f>
        <v>1.2992090997956174E-2</v>
      </c>
      <c r="T65" s="1580">
        <f>C65/C66-1</f>
        <v>1.2239947070499246E-2</v>
      </c>
      <c r="U65" s="1580">
        <f>E65/E66-1</f>
        <v>4.695431472081224E-2</v>
      </c>
      <c r="V65" s="1580">
        <f>F65/F66-1</f>
        <v>3.6866094683620787E-3</v>
      </c>
      <c r="X65" s="1625"/>
      <c r="Y65" s="1625"/>
      <c r="Z65" s="1625"/>
    </row>
    <row r="66" spans="1:26" ht="13.5" thickBot="1">
      <c r="A66" s="1559" t="s">
        <v>1081</v>
      </c>
      <c r="B66" s="1610">
        <v>121</v>
      </c>
      <c r="C66" s="1610">
        <v>122</v>
      </c>
      <c r="D66" s="1610">
        <f t="shared" si="106"/>
        <v>122</v>
      </c>
      <c r="E66" s="1610">
        <v>124</v>
      </c>
      <c r="F66" s="1611">
        <v>107</v>
      </c>
      <c r="G66" s="3285">
        <v>2004</v>
      </c>
      <c r="H66" s="1581">
        <v>4</v>
      </c>
      <c r="I66" s="1581">
        <v>0.33</v>
      </c>
      <c r="J66" s="1581">
        <v>0.5</v>
      </c>
      <c r="K66" s="1581">
        <v>0.5</v>
      </c>
      <c r="L66" s="1582">
        <v>0</v>
      </c>
      <c r="N66" s="1623">
        <f t="shared" ref="N66:O69" si="138">I66/SUM(I$66:I$69)*(B$66/B$70-1)</f>
        <v>1.3391770148526898E-2</v>
      </c>
      <c r="O66" s="1624">
        <f t="shared" si="138"/>
        <v>1.063264221158958E-2</v>
      </c>
      <c r="P66" s="1624">
        <f t="shared" ref="P66:Q69" si="139">K66/SUM(K$66:K$69)*(E$66/E$70-1)</f>
        <v>2.2244466688911134E-2</v>
      </c>
      <c r="Q66" s="1624">
        <f t="shared" si="139"/>
        <v>0</v>
      </c>
      <c r="R66" s="1573"/>
      <c r="S66" s="1574"/>
      <c r="T66" s="1575"/>
      <c r="U66" s="1575"/>
      <c r="V66" s="1575"/>
      <c r="X66" s="1625"/>
      <c r="Y66" s="1625"/>
      <c r="Z66" s="1625"/>
    </row>
    <row r="67" spans="1:26">
      <c r="A67" s="1559" t="s">
        <v>1082</v>
      </c>
      <c r="B67" s="1576">
        <f t="shared" ref="B67:C69" si="140">B68+(B$66-B$70)*I67/SUM(I$66:I$69)</f>
        <v>119.51351351351352</v>
      </c>
      <c r="C67" s="1576">
        <f t="shared" si="140"/>
        <v>120.7878787878788</v>
      </c>
      <c r="D67" s="1576">
        <f t="shared" si="106"/>
        <v>120.7878787878788</v>
      </c>
      <c r="E67" s="1576">
        <f t="shared" ref="E67:F69" si="141">E68+(E$66-E$70)*K67/SUM(K$66:K$69)</f>
        <v>121.5975975975976</v>
      </c>
      <c r="F67" s="1576">
        <f t="shared" si="141"/>
        <v>107</v>
      </c>
      <c r="G67" s="3286">
        <v>2004</v>
      </c>
      <c r="H67" s="1586">
        <v>3</v>
      </c>
      <c r="I67" s="1586">
        <v>0.56000000000000005</v>
      </c>
      <c r="J67" s="1586">
        <v>0.8</v>
      </c>
      <c r="K67" s="1586">
        <v>0.83</v>
      </c>
      <c r="L67" s="1587">
        <v>0.06</v>
      </c>
      <c r="N67" s="1623">
        <f t="shared" si="138"/>
        <v>2.2725428130833527E-2</v>
      </c>
      <c r="O67" s="1624">
        <f t="shared" si="138"/>
        <v>1.7012227538543329E-2</v>
      </c>
      <c r="P67" s="1624">
        <f t="shared" si="139"/>
        <v>3.6925814703592477E-2</v>
      </c>
      <c r="Q67" s="1624">
        <f t="shared" si="139"/>
        <v>2.8846153846153744E-2</v>
      </c>
      <c r="R67" s="1573"/>
      <c r="S67" s="1571"/>
      <c r="T67" s="1572"/>
      <c r="U67" s="1572"/>
      <c r="V67" s="1572"/>
      <c r="X67" s="1625"/>
      <c r="Y67" s="1625"/>
      <c r="Z67" s="1625"/>
    </row>
    <row r="68" spans="1:26">
      <c r="A68" s="1559" t="s">
        <v>1083</v>
      </c>
      <c r="B68" s="1576">
        <f t="shared" si="140"/>
        <v>116.99099099099099</v>
      </c>
      <c r="C68" s="1576">
        <f t="shared" si="140"/>
        <v>118.84848484848486</v>
      </c>
      <c r="D68" s="1576">
        <f t="shared" si="106"/>
        <v>118.84848484848486</v>
      </c>
      <c r="E68" s="1576">
        <f t="shared" si="141"/>
        <v>117.60960960960961</v>
      </c>
      <c r="F68" s="1576">
        <f t="shared" si="141"/>
        <v>104</v>
      </c>
      <c r="G68" s="3286">
        <v>2004</v>
      </c>
      <c r="H68" s="1563">
        <v>2</v>
      </c>
      <c r="I68" s="1563">
        <v>1</v>
      </c>
      <c r="J68" s="1563">
        <v>1.5</v>
      </c>
      <c r="K68" s="1563">
        <v>1.5</v>
      </c>
      <c r="L68" s="1578">
        <v>0</v>
      </c>
      <c r="N68" s="1623">
        <f t="shared" si="138"/>
        <v>4.0581121662202721E-2</v>
      </c>
      <c r="O68" s="1624">
        <f t="shared" si="138"/>
        <v>3.1897926634768738E-2</v>
      </c>
      <c r="P68" s="1624">
        <f t="shared" si="139"/>
        <v>6.6733400066733395E-2</v>
      </c>
      <c r="Q68" s="1624">
        <f t="shared" si="139"/>
        <v>0</v>
      </c>
      <c r="R68" s="1573"/>
      <c r="S68" s="1571"/>
      <c r="T68" s="1572"/>
      <c r="U68" s="1572"/>
      <c r="V68" s="1572"/>
      <c r="X68" s="1625"/>
      <c r="Y68" s="1625"/>
      <c r="Z68" s="1625"/>
    </row>
    <row r="69" spans="1:26" s="1616" customFormat="1" ht="13.5" thickBot="1">
      <c r="A69" s="1559" t="s">
        <v>1084</v>
      </c>
      <c r="B69" s="1613">
        <f t="shared" si="140"/>
        <v>112.48648648648648</v>
      </c>
      <c r="C69" s="1613">
        <f t="shared" si="140"/>
        <v>115.21212121212122</v>
      </c>
      <c r="D69" s="1613">
        <f t="shared" si="106"/>
        <v>115.21212121212122</v>
      </c>
      <c r="E69" s="1613">
        <f t="shared" si="141"/>
        <v>110.4024024024024</v>
      </c>
      <c r="F69" s="1613">
        <f t="shared" si="141"/>
        <v>104</v>
      </c>
      <c r="G69" s="3287">
        <v>2004</v>
      </c>
      <c r="H69" s="1614">
        <v>1</v>
      </c>
      <c r="I69" s="1614">
        <v>0.33</v>
      </c>
      <c r="J69" s="1614">
        <v>0.5</v>
      </c>
      <c r="K69" s="1614">
        <v>0.5</v>
      </c>
      <c r="L69" s="1615">
        <v>0</v>
      </c>
      <c r="N69" s="1628">
        <f t="shared" si="138"/>
        <v>1.3391770148526898E-2</v>
      </c>
      <c r="O69" s="1629">
        <f t="shared" si="138"/>
        <v>1.063264221158958E-2</v>
      </c>
      <c r="P69" s="1629">
        <f t="shared" si="139"/>
        <v>2.2244466688911134E-2</v>
      </c>
      <c r="Q69" s="1629">
        <f t="shared" si="139"/>
        <v>0</v>
      </c>
      <c r="R69" s="1619"/>
      <c r="S69" s="1617">
        <f>B69/B70-1</f>
        <v>1.3391770148526883E-2</v>
      </c>
      <c r="T69" s="1618">
        <f>C69/C70-1</f>
        <v>1.063264221158966E-2</v>
      </c>
      <c r="U69" s="1618">
        <f>E69/E70-1</f>
        <v>2.2244466688911224E-2</v>
      </c>
      <c r="V69" s="1618">
        <f>F69/F70-1</f>
        <v>0</v>
      </c>
      <c r="X69" s="1630"/>
      <c r="Y69" s="1630"/>
      <c r="Z69" s="1630"/>
    </row>
    <row r="70" spans="1:26" ht="13.5" thickBot="1">
      <c r="A70" s="1559" t="s">
        <v>1085</v>
      </c>
      <c r="B70" s="1631">
        <v>111</v>
      </c>
      <c r="C70" s="1631">
        <v>114</v>
      </c>
      <c r="D70" s="1631">
        <f t="shared" si="106"/>
        <v>114</v>
      </c>
      <c r="E70" s="1631">
        <v>108</v>
      </c>
      <c r="F70" s="1632">
        <v>104</v>
      </c>
      <c r="G70" s="3285">
        <v>2003</v>
      </c>
      <c r="H70" s="1621">
        <v>4</v>
      </c>
      <c r="I70" s="1633"/>
      <c r="J70" s="1633"/>
      <c r="K70" s="1633"/>
      <c r="L70" s="1633"/>
      <c r="N70" s="1634"/>
      <c r="O70" s="1633"/>
      <c r="P70" s="1633"/>
      <c r="Q70" s="1633"/>
      <c r="S70" s="1634"/>
      <c r="T70" s="1633"/>
      <c r="U70" s="1633"/>
      <c r="V70" s="1633"/>
      <c r="X70" s="1625"/>
      <c r="Y70" s="1625"/>
      <c r="Z70" s="1625"/>
    </row>
    <row r="71" spans="1:26">
      <c r="A71" s="1559" t="s">
        <v>1086</v>
      </c>
      <c r="B71" s="1635">
        <f t="shared" ref="B71:C73" si="142">B72+(B$70-B$74)/4</f>
        <v>109.75</v>
      </c>
      <c r="C71" s="1635">
        <f t="shared" si="142"/>
        <v>112.25</v>
      </c>
      <c r="D71" s="1635">
        <f t="shared" si="106"/>
        <v>112.25</v>
      </c>
      <c r="E71" s="1635">
        <f t="shared" ref="E71:F73" si="143">E72+(E$70-E$74)/4</f>
        <v>107.25</v>
      </c>
      <c r="F71" s="1635">
        <f t="shared" si="143"/>
        <v>103.5</v>
      </c>
      <c r="G71" s="3286">
        <v>2003</v>
      </c>
      <c r="H71" s="1586">
        <v>3</v>
      </c>
      <c r="I71" s="1633"/>
      <c r="J71" s="1633"/>
      <c r="K71" s="1633"/>
      <c r="L71" s="1633"/>
      <c r="X71" s="1625"/>
      <c r="Y71" s="1625"/>
      <c r="Z71" s="1625"/>
    </row>
    <row r="72" spans="1:26">
      <c r="A72" s="1559" t="s">
        <v>1087</v>
      </c>
      <c r="B72" s="1635">
        <f t="shared" si="142"/>
        <v>108.5</v>
      </c>
      <c r="C72" s="1635">
        <f t="shared" si="142"/>
        <v>110.5</v>
      </c>
      <c r="D72" s="1635">
        <f t="shared" si="106"/>
        <v>110.5</v>
      </c>
      <c r="E72" s="1635">
        <f t="shared" si="143"/>
        <v>106.5</v>
      </c>
      <c r="F72" s="1635">
        <f t="shared" si="143"/>
        <v>103</v>
      </c>
      <c r="G72" s="3286">
        <v>2003</v>
      </c>
      <c r="H72" s="1563">
        <v>2</v>
      </c>
      <c r="I72" s="1633"/>
      <c r="J72" s="1633"/>
      <c r="K72" s="1633"/>
      <c r="L72" s="1633"/>
      <c r="X72" s="1625"/>
      <c r="Y72" s="1625"/>
      <c r="Z72" s="1625"/>
    </row>
    <row r="73" spans="1:26" ht="13.5" thickBot="1">
      <c r="A73" s="1559" t="s">
        <v>1088</v>
      </c>
      <c r="B73" s="1635">
        <f t="shared" si="142"/>
        <v>107.25</v>
      </c>
      <c r="C73" s="1635">
        <f t="shared" si="142"/>
        <v>108.75</v>
      </c>
      <c r="D73" s="1635">
        <f t="shared" si="106"/>
        <v>108.75</v>
      </c>
      <c r="E73" s="1635">
        <f t="shared" si="143"/>
        <v>105.75</v>
      </c>
      <c r="F73" s="1635">
        <f t="shared" si="143"/>
        <v>102.5</v>
      </c>
      <c r="G73" s="3287">
        <v>2003</v>
      </c>
      <c r="H73" s="1636">
        <v>1</v>
      </c>
      <c r="I73" s="1633"/>
      <c r="J73" s="1633"/>
      <c r="K73" s="1633"/>
      <c r="L73" s="1633"/>
      <c r="S73" s="1571"/>
      <c r="T73" s="1572"/>
      <c r="U73" s="1572"/>
      <c r="X73" s="1625"/>
      <c r="Y73" s="1625"/>
      <c r="Z73" s="1625"/>
    </row>
    <row r="74" spans="1:26" ht="13.5" thickBot="1">
      <c r="A74" s="1559" t="s">
        <v>1089</v>
      </c>
      <c r="B74" s="1637">
        <v>106</v>
      </c>
      <c r="C74" s="1637">
        <v>107</v>
      </c>
      <c r="D74" s="1637">
        <f t="shared" si="106"/>
        <v>107</v>
      </c>
      <c r="E74" s="1637">
        <v>105</v>
      </c>
      <c r="F74" s="1638">
        <v>102</v>
      </c>
      <c r="G74" s="3285">
        <v>2002</v>
      </c>
      <c r="H74" s="1581">
        <v>4</v>
      </c>
      <c r="I74" s="1633"/>
      <c r="J74" s="1633"/>
      <c r="K74" s="1633"/>
      <c r="L74" s="1633"/>
      <c r="N74" s="1634"/>
      <c r="O74" s="1633"/>
      <c r="P74" s="1633"/>
      <c r="Q74" s="1633"/>
      <c r="S74" s="1634"/>
      <c r="T74" s="1633"/>
      <c r="U74" s="1633"/>
      <c r="V74" s="1633"/>
      <c r="X74" s="1625"/>
      <c r="Y74" s="1625"/>
      <c r="Z74" s="1625"/>
    </row>
    <row r="75" spans="1:26">
      <c r="A75" s="1559" t="s">
        <v>1090</v>
      </c>
      <c r="B75" s="1635">
        <f t="shared" ref="B75:C77" si="144">B76+(B$74-B$78)/4</f>
        <v>105</v>
      </c>
      <c r="C75" s="1635">
        <f t="shared" si="144"/>
        <v>106</v>
      </c>
      <c r="D75" s="1635">
        <f t="shared" si="106"/>
        <v>106</v>
      </c>
      <c r="E75" s="1635">
        <f t="shared" ref="E75:F77" si="145">E76+(E$74-E$78)/4</f>
        <v>104.5</v>
      </c>
      <c r="F75" s="1635">
        <f t="shared" si="145"/>
        <v>101.5</v>
      </c>
      <c r="G75" s="3286">
        <v>2002</v>
      </c>
      <c r="H75" s="1586">
        <v>3</v>
      </c>
      <c r="I75" s="1633"/>
      <c r="J75" s="1633"/>
      <c r="K75" s="1633"/>
      <c r="L75" s="1633"/>
      <c r="X75" s="1625"/>
      <c r="Y75" s="1625"/>
      <c r="Z75" s="1625"/>
    </row>
    <row r="76" spans="1:26">
      <c r="A76" s="1559" t="s">
        <v>1091</v>
      </c>
      <c r="B76" s="1635">
        <f t="shared" si="144"/>
        <v>104</v>
      </c>
      <c r="C76" s="1635">
        <f t="shared" si="144"/>
        <v>105</v>
      </c>
      <c r="D76" s="1635">
        <f t="shared" si="106"/>
        <v>105</v>
      </c>
      <c r="E76" s="1635">
        <f t="shared" si="145"/>
        <v>104</v>
      </c>
      <c r="F76" s="1635">
        <f t="shared" si="145"/>
        <v>101</v>
      </c>
      <c r="G76" s="3286">
        <v>2002</v>
      </c>
      <c r="H76" s="1563">
        <v>2</v>
      </c>
      <c r="I76" s="1633"/>
      <c r="J76" s="1633"/>
      <c r="K76" s="1633"/>
      <c r="L76" s="1633"/>
      <c r="X76" s="1625"/>
      <c r="Y76" s="1625"/>
      <c r="Z76" s="1625"/>
    </row>
    <row r="77" spans="1:26" s="1597" customFormat="1" ht="13.5" thickBot="1">
      <c r="A77" s="1593" t="s">
        <v>1092</v>
      </c>
      <c r="B77" s="1639">
        <f t="shared" si="144"/>
        <v>103</v>
      </c>
      <c r="C77" s="1639">
        <f t="shared" si="144"/>
        <v>104</v>
      </c>
      <c r="D77" s="1639">
        <f t="shared" si="106"/>
        <v>104</v>
      </c>
      <c r="E77" s="1639">
        <f t="shared" si="145"/>
        <v>103.5</v>
      </c>
      <c r="F77" s="1639">
        <f t="shared" si="145"/>
        <v>100.5</v>
      </c>
      <c r="G77" s="3287">
        <v>2002</v>
      </c>
      <c r="H77" s="1640">
        <v>1</v>
      </c>
      <c r="I77" s="1641"/>
      <c r="J77" s="1641"/>
      <c r="K77" s="1641"/>
      <c r="L77" s="1641"/>
      <c r="N77" s="1642"/>
      <c r="S77" s="1642"/>
      <c r="X77" s="1643"/>
      <c r="Y77" s="1643"/>
      <c r="Z77" s="1643"/>
    </row>
    <row r="78" spans="1:26" ht="13.5" thickBot="1">
      <c r="B78" s="1644">
        <v>102</v>
      </c>
      <c r="C78" s="1645">
        <v>103</v>
      </c>
      <c r="D78" s="1645">
        <f t="shared" si="106"/>
        <v>103</v>
      </c>
      <c r="E78" s="1645">
        <v>103</v>
      </c>
      <c r="F78" s="1646">
        <v>100</v>
      </c>
      <c r="I78" s="1633"/>
      <c r="J78" s="1633"/>
      <c r="K78" s="1633"/>
      <c r="L78" s="1633"/>
      <c r="N78" s="1634"/>
      <c r="O78" s="1633"/>
      <c r="P78" s="1633"/>
      <c r="Q78" s="1633"/>
      <c r="S78" s="1634"/>
      <c r="T78" s="1633"/>
      <c r="U78" s="1633"/>
      <c r="V78" s="1633"/>
      <c r="X78" s="1575"/>
      <c r="Y78" s="1575"/>
      <c r="Z78" s="1575"/>
    </row>
    <row r="80" spans="1:26" s="1648" customFormat="1">
      <c r="A80" s="1647" t="s">
        <v>1093</v>
      </c>
      <c r="G80" s="1649"/>
      <c r="N80" s="1649"/>
      <c r="S80" s="1649"/>
    </row>
    <row r="81" spans="1:22" s="1648" customFormat="1">
      <c r="A81" s="1648" t="s">
        <v>1094</v>
      </c>
      <c r="G81" s="1649"/>
      <c r="N81" s="1649"/>
      <c r="S81" s="1649"/>
    </row>
    <row r="82" spans="1:22" s="1648" customFormat="1">
      <c r="A82" s="1648" t="s">
        <v>1095</v>
      </c>
      <c r="G82" s="1649"/>
      <c r="I82" s="1650"/>
      <c r="J82" s="1650"/>
      <c r="K82" s="1650"/>
      <c r="L82" s="1650"/>
      <c r="N82" s="1651"/>
      <c r="O82" s="1650"/>
      <c r="P82" s="1650"/>
      <c r="Q82" s="1650"/>
      <c r="S82" s="1651"/>
      <c r="T82" s="1650"/>
      <c r="U82" s="1650"/>
      <c r="V82" s="1650"/>
    </row>
    <row r="83" spans="1:22" s="1648" customFormat="1">
      <c r="A83" s="1648" t="s">
        <v>1096</v>
      </c>
      <c r="G83" s="1649"/>
      <c r="N83" s="1649"/>
      <c r="S83" s="1649"/>
    </row>
    <row r="90" spans="1:22" ht="13.5" thickBot="1"/>
    <row r="91" spans="1:22">
      <c r="G91" s="1570"/>
      <c r="S91" s="1652" t="s">
        <v>1097</v>
      </c>
      <c r="T91" s="1653" t="s">
        <v>1098</v>
      </c>
      <c r="U91" s="1653" t="s">
        <v>1099</v>
      </c>
      <c r="V91" s="1653" t="s">
        <v>1100</v>
      </c>
    </row>
    <row r="92" spans="1:22">
      <c r="G92" s="1570"/>
      <c r="N92" s="1574"/>
      <c r="O92" s="1575"/>
      <c r="P92" s="1575"/>
      <c r="Q92" s="1575"/>
      <c r="S92" s="1654">
        <v>2006</v>
      </c>
      <c r="T92" s="1655">
        <v>15.1</v>
      </c>
      <c r="U92" s="1655">
        <v>7.43</v>
      </c>
      <c r="V92" s="1655">
        <v>26.26</v>
      </c>
    </row>
    <row r="93" spans="1:22">
      <c r="G93" s="1570"/>
      <c r="N93" s="1574"/>
      <c r="O93" s="1575"/>
      <c r="P93" s="1575"/>
      <c r="Q93" s="1575"/>
      <c r="S93" s="1656">
        <v>2005</v>
      </c>
      <c r="T93" s="1657">
        <v>13.9</v>
      </c>
      <c r="U93" s="1657">
        <v>7.49</v>
      </c>
      <c r="V93" s="1657">
        <v>24.92</v>
      </c>
    </row>
    <row r="94" spans="1:22">
      <c r="G94" s="1570"/>
      <c r="N94" s="1574"/>
      <c r="O94" s="1575"/>
      <c r="P94" s="1575"/>
      <c r="Q94" s="1575"/>
      <c r="S94" s="1654">
        <v>2004</v>
      </c>
      <c r="T94" s="1655">
        <v>9.48</v>
      </c>
      <c r="U94" s="1655">
        <v>7.2</v>
      </c>
      <c r="V94" s="1655">
        <v>14.68</v>
      </c>
    </row>
    <row r="95" spans="1:22">
      <c r="G95" s="1570"/>
      <c r="N95" s="1574"/>
      <c r="O95" s="1575"/>
      <c r="P95" s="1575"/>
      <c r="Q95" s="1575"/>
      <c r="S95" s="1656">
        <v>2003</v>
      </c>
      <c r="T95" s="1657">
        <v>4.5</v>
      </c>
      <c r="U95" s="1657">
        <v>6.12</v>
      </c>
      <c r="V95" s="1657">
        <v>2.34</v>
      </c>
    </row>
    <row r="96" spans="1:22" ht="13.5" thickBot="1">
      <c r="G96" s="1570"/>
      <c r="N96" s="1574"/>
      <c r="O96" s="1575"/>
      <c r="P96" s="1575"/>
      <c r="Q96" s="1575"/>
      <c r="S96" s="1658">
        <v>2002</v>
      </c>
      <c r="T96" s="1659">
        <v>3.59</v>
      </c>
      <c r="U96" s="1659">
        <v>4.54</v>
      </c>
      <c r="V96" s="1659">
        <v>2.5499999999999998</v>
      </c>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row r="112" spans="7:19">
      <c r="G112" s="1570"/>
      <c r="N112" s="1574"/>
      <c r="O112" s="1575"/>
      <c r="P112" s="1575"/>
      <c r="Q112" s="1575"/>
      <c r="S112" s="1570"/>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130" zoomScaleNormal="100" zoomScaleSheetLayoutView="130" workbookViewId="0">
      <selection activeCell="C3" sqref="C3:F3"/>
    </sheetView>
  </sheetViews>
  <sheetFormatPr defaultRowHeight="13.5"/>
  <cols>
    <col min="1" max="1" width="6.375" style="2773" customWidth="1"/>
    <col min="2" max="2" width="19.375" style="2837" customWidth="1"/>
    <col min="3" max="3" width="7" style="2838" customWidth="1"/>
    <col min="4" max="4" width="3.25" style="2838" customWidth="1"/>
    <col min="5" max="5" width="7.375" style="2838" customWidth="1"/>
    <col min="6" max="6" width="3.5" style="2838" customWidth="1"/>
    <col min="7" max="7" width="19.375" style="2839" customWidth="1"/>
    <col min="8" max="8" width="19.5" style="2773" customWidth="1"/>
    <col min="9" max="9" width="8.625" style="2773" customWidth="1"/>
    <col min="10" max="10" width="10.5" style="2769" customWidth="1"/>
    <col min="11" max="11" width="4.875" style="2800" customWidth="1"/>
    <col min="12" max="12" width="16.375" style="2800" customWidth="1"/>
    <col min="13" max="16" width="8.125" style="2773" customWidth="1"/>
    <col min="17" max="256" width="9" style="2773"/>
    <col min="257" max="257" width="6.375" style="2773" customWidth="1"/>
    <col min="258" max="258" width="19.375" style="2773" customWidth="1"/>
    <col min="259" max="259" width="7" style="2773" customWidth="1"/>
    <col min="260" max="260" width="3.25" style="2773" customWidth="1"/>
    <col min="261" max="261" width="7.375" style="2773" customWidth="1"/>
    <col min="262" max="262" width="3.5" style="2773" customWidth="1"/>
    <col min="263" max="263" width="19.375" style="2773" customWidth="1"/>
    <col min="264" max="264" width="19.5" style="2773" customWidth="1"/>
    <col min="265" max="265" width="8.625" style="2773" customWidth="1"/>
    <col min="266" max="266" width="10.5" style="2773" customWidth="1"/>
    <col min="267" max="267" width="4.875" style="2773" customWidth="1"/>
    <col min="268" max="268" width="16.375" style="2773" customWidth="1"/>
    <col min="269" max="272" width="8.125" style="2773" customWidth="1"/>
    <col min="273" max="512" width="9" style="2773"/>
    <col min="513" max="513" width="6.375" style="2773" customWidth="1"/>
    <col min="514" max="514" width="19.375" style="2773" customWidth="1"/>
    <col min="515" max="515" width="7" style="2773" customWidth="1"/>
    <col min="516" max="516" width="3.25" style="2773" customWidth="1"/>
    <col min="517" max="517" width="7.375" style="2773" customWidth="1"/>
    <col min="518" max="518" width="3.5" style="2773" customWidth="1"/>
    <col min="519" max="519" width="19.375" style="2773" customWidth="1"/>
    <col min="520" max="520" width="19.5" style="2773" customWidth="1"/>
    <col min="521" max="521" width="8.625" style="2773" customWidth="1"/>
    <col min="522" max="522" width="10.5" style="2773" customWidth="1"/>
    <col min="523" max="523" width="4.875" style="2773" customWidth="1"/>
    <col min="524" max="524" width="16.375" style="2773" customWidth="1"/>
    <col min="525" max="528" width="8.125" style="2773" customWidth="1"/>
    <col min="529" max="768" width="9" style="2773"/>
    <col min="769" max="769" width="6.375" style="2773" customWidth="1"/>
    <col min="770" max="770" width="19.375" style="2773" customWidth="1"/>
    <col min="771" max="771" width="7" style="2773" customWidth="1"/>
    <col min="772" max="772" width="3.25" style="2773" customWidth="1"/>
    <col min="773" max="773" width="7.375" style="2773" customWidth="1"/>
    <col min="774" max="774" width="3.5" style="2773" customWidth="1"/>
    <col min="775" max="775" width="19.375" style="2773" customWidth="1"/>
    <col min="776" max="776" width="19.5" style="2773" customWidth="1"/>
    <col min="777" max="777" width="8.625" style="2773" customWidth="1"/>
    <col min="778" max="778" width="10.5" style="2773" customWidth="1"/>
    <col min="779" max="779" width="4.875" style="2773" customWidth="1"/>
    <col min="780" max="780" width="16.375" style="2773" customWidth="1"/>
    <col min="781" max="784" width="8.125" style="2773" customWidth="1"/>
    <col min="785" max="1024" width="9" style="2773"/>
    <col min="1025" max="1025" width="6.375" style="2773" customWidth="1"/>
    <col min="1026" max="1026" width="19.375" style="2773" customWidth="1"/>
    <col min="1027" max="1027" width="7" style="2773" customWidth="1"/>
    <col min="1028" max="1028" width="3.25" style="2773" customWidth="1"/>
    <col min="1029" max="1029" width="7.375" style="2773" customWidth="1"/>
    <col min="1030" max="1030" width="3.5" style="2773" customWidth="1"/>
    <col min="1031" max="1031" width="19.375" style="2773" customWidth="1"/>
    <col min="1032" max="1032" width="19.5" style="2773" customWidth="1"/>
    <col min="1033" max="1033" width="8.625" style="2773" customWidth="1"/>
    <col min="1034" max="1034" width="10.5" style="2773" customWidth="1"/>
    <col min="1035" max="1035" width="4.875" style="2773" customWidth="1"/>
    <col min="1036" max="1036" width="16.375" style="2773" customWidth="1"/>
    <col min="1037" max="1040" width="8.125" style="2773" customWidth="1"/>
    <col min="1041" max="1280" width="9" style="2773"/>
    <col min="1281" max="1281" width="6.375" style="2773" customWidth="1"/>
    <col min="1282" max="1282" width="19.375" style="2773" customWidth="1"/>
    <col min="1283" max="1283" width="7" style="2773" customWidth="1"/>
    <col min="1284" max="1284" width="3.25" style="2773" customWidth="1"/>
    <col min="1285" max="1285" width="7.375" style="2773" customWidth="1"/>
    <col min="1286" max="1286" width="3.5" style="2773" customWidth="1"/>
    <col min="1287" max="1287" width="19.375" style="2773" customWidth="1"/>
    <col min="1288" max="1288" width="19.5" style="2773" customWidth="1"/>
    <col min="1289" max="1289" width="8.625" style="2773" customWidth="1"/>
    <col min="1290" max="1290" width="10.5" style="2773" customWidth="1"/>
    <col min="1291" max="1291" width="4.875" style="2773" customWidth="1"/>
    <col min="1292" max="1292" width="16.375" style="2773" customWidth="1"/>
    <col min="1293" max="1296" width="8.125" style="2773" customWidth="1"/>
    <col min="1297" max="1536" width="9" style="2773"/>
    <col min="1537" max="1537" width="6.375" style="2773" customWidth="1"/>
    <col min="1538" max="1538" width="19.375" style="2773" customWidth="1"/>
    <col min="1539" max="1539" width="7" style="2773" customWidth="1"/>
    <col min="1540" max="1540" width="3.25" style="2773" customWidth="1"/>
    <col min="1541" max="1541" width="7.375" style="2773" customWidth="1"/>
    <col min="1542" max="1542" width="3.5" style="2773" customWidth="1"/>
    <col min="1543" max="1543" width="19.375" style="2773" customWidth="1"/>
    <col min="1544" max="1544" width="19.5" style="2773" customWidth="1"/>
    <col min="1545" max="1545" width="8.625" style="2773" customWidth="1"/>
    <col min="1546" max="1546" width="10.5" style="2773" customWidth="1"/>
    <col min="1547" max="1547" width="4.875" style="2773" customWidth="1"/>
    <col min="1548" max="1548" width="16.375" style="2773" customWidth="1"/>
    <col min="1549" max="1552" width="8.125" style="2773" customWidth="1"/>
    <col min="1553" max="1792" width="9" style="2773"/>
    <col min="1793" max="1793" width="6.375" style="2773" customWidth="1"/>
    <col min="1794" max="1794" width="19.375" style="2773" customWidth="1"/>
    <col min="1795" max="1795" width="7" style="2773" customWidth="1"/>
    <col min="1796" max="1796" width="3.25" style="2773" customWidth="1"/>
    <col min="1797" max="1797" width="7.375" style="2773" customWidth="1"/>
    <col min="1798" max="1798" width="3.5" style="2773" customWidth="1"/>
    <col min="1799" max="1799" width="19.375" style="2773" customWidth="1"/>
    <col min="1800" max="1800" width="19.5" style="2773" customWidth="1"/>
    <col min="1801" max="1801" width="8.625" style="2773" customWidth="1"/>
    <col min="1802" max="1802" width="10.5" style="2773" customWidth="1"/>
    <col min="1803" max="1803" width="4.875" style="2773" customWidth="1"/>
    <col min="1804" max="1804" width="16.375" style="2773" customWidth="1"/>
    <col min="1805" max="1808" width="8.125" style="2773" customWidth="1"/>
    <col min="1809" max="2048" width="9" style="2773"/>
    <col min="2049" max="2049" width="6.375" style="2773" customWidth="1"/>
    <col min="2050" max="2050" width="19.375" style="2773" customWidth="1"/>
    <col min="2051" max="2051" width="7" style="2773" customWidth="1"/>
    <col min="2052" max="2052" width="3.25" style="2773" customWidth="1"/>
    <col min="2053" max="2053" width="7.375" style="2773" customWidth="1"/>
    <col min="2054" max="2054" width="3.5" style="2773" customWidth="1"/>
    <col min="2055" max="2055" width="19.375" style="2773" customWidth="1"/>
    <col min="2056" max="2056" width="19.5" style="2773" customWidth="1"/>
    <col min="2057" max="2057" width="8.625" style="2773" customWidth="1"/>
    <col min="2058" max="2058" width="10.5" style="2773" customWidth="1"/>
    <col min="2059" max="2059" width="4.875" style="2773" customWidth="1"/>
    <col min="2060" max="2060" width="16.375" style="2773" customWidth="1"/>
    <col min="2061" max="2064" width="8.125" style="2773" customWidth="1"/>
    <col min="2065" max="2304" width="9" style="2773"/>
    <col min="2305" max="2305" width="6.375" style="2773" customWidth="1"/>
    <col min="2306" max="2306" width="19.375" style="2773" customWidth="1"/>
    <col min="2307" max="2307" width="7" style="2773" customWidth="1"/>
    <col min="2308" max="2308" width="3.25" style="2773" customWidth="1"/>
    <col min="2309" max="2309" width="7.375" style="2773" customWidth="1"/>
    <col min="2310" max="2310" width="3.5" style="2773" customWidth="1"/>
    <col min="2311" max="2311" width="19.375" style="2773" customWidth="1"/>
    <col min="2312" max="2312" width="19.5" style="2773" customWidth="1"/>
    <col min="2313" max="2313" width="8.625" style="2773" customWidth="1"/>
    <col min="2314" max="2314" width="10.5" style="2773" customWidth="1"/>
    <col min="2315" max="2315" width="4.875" style="2773" customWidth="1"/>
    <col min="2316" max="2316" width="16.375" style="2773" customWidth="1"/>
    <col min="2317" max="2320" width="8.125" style="2773" customWidth="1"/>
    <col min="2321" max="2560" width="9" style="2773"/>
    <col min="2561" max="2561" width="6.375" style="2773" customWidth="1"/>
    <col min="2562" max="2562" width="19.375" style="2773" customWidth="1"/>
    <col min="2563" max="2563" width="7" style="2773" customWidth="1"/>
    <col min="2564" max="2564" width="3.25" style="2773" customWidth="1"/>
    <col min="2565" max="2565" width="7.375" style="2773" customWidth="1"/>
    <col min="2566" max="2566" width="3.5" style="2773" customWidth="1"/>
    <col min="2567" max="2567" width="19.375" style="2773" customWidth="1"/>
    <col min="2568" max="2568" width="19.5" style="2773" customWidth="1"/>
    <col min="2569" max="2569" width="8.625" style="2773" customWidth="1"/>
    <col min="2570" max="2570" width="10.5" style="2773" customWidth="1"/>
    <col min="2571" max="2571" width="4.875" style="2773" customWidth="1"/>
    <col min="2572" max="2572" width="16.375" style="2773" customWidth="1"/>
    <col min="2573" max="2576" width="8.125" style="2773" customWidth="1"/>
    <col min="2577" max="2816" width="9" style="2773"/>
    <col min="2817" max="2817" width="6.375" style="2773" customWidth="1"/>
    <col min="2818" max="2818" width="19.375" style="2773" customWidth="1"/>
    <col min="2819" max="2819" width="7" style="2773" customWidth="1"/>
    <col min="2820" max="2820" width="3.25" style="2773" customWidth="1"/>
    <col min="2821" max="2821" width="7.375" style="2773" customWidth="1"/>
    <col min="2822" max="2822" width="3.5" style="2773" customWidth="1"/>
    <col min="2823" max="2823" width="19.375" style="2773" customWidth="1"/>
    <col min="2824" max="2824" width="19.5" style="2773" customWidth="1"/>
    <col min="2825" max="2825" width="8.625" style="2773" customWidth="1"/>
    <col min="2826" max="2826" width="10.5" style="2773" customWidth="1"/>
    <col min="2827" max="2827" width="4.875" style="2773" customWidth="1"/>
    <col min="2828" max="2828" width="16.375" style="2773" customWidth="1"/>
    <col min="2829" max="2832" width="8.125" style="2773" customWidth="1"/>
    <col min="2833" max="3072" width="9" style="2773"/>
    <col min="3073" max="3073" width="6.375" style="2773" customWidth="1"/>
    <col min="3074" max="3074" width="19.375" style="2773" customWidth="1"/>
    <col min="3075" max="3075" width="7" style="2773" customWidth="1"/>
    <col min="3076" max="3076" width="3.25" style="2773" customWidth="1"/>
    <col min="3077" max="3077" width="7.375" style="2773" customWidth="1"/>
    <col min="3078" max="3078" width="3.5" style="2773" customWidth="1"/>
    <col min="3079" max="3079" width="19.375" style="2773" customWidth="1"/>
    <col min="3080" max="3080" width="19.5" style="2773" customWidth="1"/>
    <col min="3081" max="3081" width="8.625" style="2773" customWidth="1"/>
    <col min="3082" max="3082" width="10.5" style="2773" customWidth="1"/>
    <col min="3083" max="3083" width="4.875" style="2773" customWidth="1"/>
    <col min="3084" max="3084" width="16.375" style="2773" customWidth="1"/>
    <col min="3085" max="3088" width="8.125" style="2773" customWidth="1"/>
    <col min="3089" max="3328" width="9" style="2773"/>
    <col min="3329" max="3329" width="6.375" style="2773" customWidth="1"/>
    <col min="3330" max="3330" width="19.375" style="2773" customWidth="1"/>
    <col min="3331" max="3331" width="7" style="2773" customWidth="1"/>
    <col min="3332" max="3332" width="3.25" style="2773" customWidth="1"/>
    <col min="3333" max="3333" width="7.375" style="2773" customWidth="1"/>
    <col min="3334" max="3334" width="3.5" style="2773" customWidth="1"/>
    <col min="3335" max="3335" width="19.375" style="2773" customWidth="1"/>
    <col min="3336" max="3336" width="19.5" style="2773" customWidth="1"/>
    <col min="3337" max="3337" width="8.625" style="2773" customWidth="1"/>
    <col min="3338" max="3338" width="10.5" style="2773" customWidth="1"/>
    <col min="3339" max="3339" width="4.875" style="2773" customWidth="1"/>
    <col min="3340" max="3340" width="16.375" style="2773" customWidth="1"/>
    <col min="3341" max="3344" width="8.125" style="2773" customWidth="1"/>
    <col min="3345" max="3584" width="9" style="2773"/>
    <col min="3585" max="3585" width="6.375" style="2773" customWidth="1"/>
    <col min="3586" max="3586" width="19.375" style="2773" customWidth="1"/>
    <col min="3587" max="3587" width="7" style="2773" customWidth="1"/>
    <col min="3588" max="3588" width="3.25" style="2773" customWidth="1"/>
    <col min="3589" max="3589" width="7.375" style="2773" customWidth="1"/>
    <col min="3590" max="3590" width="3.5" style="2773" customWidth="1"/>
    <col min="3591" max="3591" width="19.375" style="2773" customWidth="1"/>
    <col min="3592" max="3592" width="19.5" style="2773" customWidth="1"/>
    <col min="3593" max="3593" width="8.625" style="2773" customWidth="1"/>
    <col min="3594" max="3594" width="10.5" style="2773" customWidth="1"/>
    <col min="3595" max="3595" width="4.875" style="2773" customWidth="1"/>
    <col min="3596" max="3596" width="16.375" style="2773" customWidth="1"/>
    <col min="3597" max="3600" width="8.125" style="2773" customWidth="1"/>
    <col min="3601" max="3840" width="9" style="2773"/>
    <col min="3841" max="3841" width="6.375" style="2773" customWidth="1"/>
    <col min="3842" max="3842" width="19.375" style="2773" customWidth="1"/>
    <col min="3843" max="3843" width="7" style="2773" customWidth="1"/>
    <col min="3844" max="3844" width="3.25" style="2773" customWidth="1"/>
    <col min="3845" max="3845" width="7.375" style="2773" customWidth="1"/>
    <col min="3846" max="3846" width="3.5" style="2773" customWidth="1"/>
    <col min="3847" max="3847" width="19.375" style="2773" customWidth="1"/>
    <col min="3848" max="3848" width="19.5" style="2773" customWidth="1"/>
    <col min="3849" max="3849" width="8.625" style="2773" customWidth="1"/>
    <col min="3850" max="3850" width="10.5" style="2773" customWidth="1"/>
    <col min="3851" max="3851" width="4.875" style="2773" customWidth="1"/>
    <col min="3852" max="3852" width="16.375" style="2773" customWidth="1"/>
    <col min="3853" max="3856" width="8.125" style="2773" customWidth="1"/>
    <col min="3857" max="4096" width="9" style="2773"/>
    <col min="4097" max="4097" width="6.375" style="2773" customWidth="1"/>
    <col min="4098" max="4098" width="19.375" style="2773" customWidth="1"/>
    <col min="4099" max="4099" width="7" style="2773" customWidth="1"/>
    <col min="4100" max="4100" width="3.25" style="2773" customWidth="1"/>
    <col min="4101" max="4101" width="7.375" style="2773" customWidth="1"/>
    <col min="4102" max="4102" width="3.5" style="2773" customWidth="1"/>
    <col min="4103" max="4103" width="19.375" style="2773" customWidth="1"/>
    <col min="4104" max="4104" width="19.5" style="2773" customWidth="1"/>
    <col min="4105" max="4105" width="8.625" style="2773" customWidth="1"/>
    <col min="4106" max="4106" width="10.5" style="2773" customWidth="1"/>
    <col min="4107" max="4107" width="4.875" style="2773" customWidth="1"/>
    <col min="4108" max="4108" width="16.375" style="2773" customWidth="1"/>
    <col min="4109" max="4112" width="8.125" style="2773" customWidth="1"/>
    <col min="4113" max="4352" width="9" style="2773"/>
    <col min="4353" max="4353" width="6.375" style="2773" customWidth="1"/>
    <col min="4354" max="4354" width="19.375" style="2773" customWidth="1"/>
    <col min="4355" max="4355" width="7" style="2773" customWidth="1"/>
    <col min="4356" max="4356" width="3.25" style="2773" customWidth="1"/>
    <col min="4357" max="4357" width="7.375" style="2773" customWidth="1"/>
    <col min="4358" max="4358" width="3.5" style="2773" customWidth="1"/>
    <col min="4359" max="4359" width="19.375" style="2773" customWidth="1"/>
    <col min="4360" max="4360" width="19.5" style="2773" customWidth="1"/>
    <col min="4361" max="4361" width="8.625" style="2773" customWidth="1"/>
    <col min="4362" max="4362" width="10.5" style="2773" customWidth="1"/>
    <col min="4363" max="4363" width="4.875" style="2773" customWidth="1"/>
    <col min="4364" max="4364" width="16.375" style="2773" customWidth="1"/>
    <col min="4365" max="4368" width="8.125" style="2773" customWidth="1"/>
    <col min="4369" max="4608" width="9" style="2773"/>
    <col min="4609" max="4609" width="6.375" style="2773" customWidth="1"/>
    <col min="4610" max="4610" width="19.375" style="2773" customWidth="1"/>
    <col min="4611" max="4611" width="7" style="2773" customWidth="1"/>
    <col min="4612" max="4612" width="3.25" style="2773" customWidth="1"/>
    <col min="4613" max="4613" width="7.375" style="2773" customWidth="1"/>
    <col min="4614" max="4614" width="3.5" style="2773" customWidth="1"/>
    <col min="4615" max="4615" width="19.375" style="2773" customWidth="1"/>
    <col min="4616" max="4616" width="19.5" style="2773" customWidth="1"/>
    <col min="4617" max="4617" width="8.625" style="2773" customWidth="1"/>
    <col min="4618" max="4618" width="10.5" style="2773" customWidth="1"/>
    <col min="4619" max="4619" width="4.875" style="2773" customWidth="1"/>
    <col min="4620" max="4620" width="16.375" style="2773" customWidth="1"/>
    <col min="4621" max="4624" width="8.125" style="2773" customWidth="1"/>
    <col min="4625" max="4864" width="9" style="2773"/>
    <col min="4865" max="4865" width="6.375" style="2773" customWidth="1"/>
    <col min="4866" max="4866" width="19.375" style="2773" customWidth="1"/>
    <col min="4867" max="4867" width="7" style="2773" customWidth="1"/>
    <col min="4868" max="4868" width="3.25" style="2773" customWidth="1"/>
    <col min="4869" max="4869" width="7.375" style="2773" customWidth="1"/>
    <col min="4870" max="4870" width="3.5" style="2773" customWidth="1"/>
    <col min="4871" max="4871" width="19.375" style="2773" customWidth="1"/>
    <col min="4872" max="4872" width="19.5" style="2773" customWidth="1"/>
    <col min="4873" max="4873" width="8.625" style="2773" customWidth="1"/>
    <col min="4874" max="4874" width="10.5" style="2773" customWidth="1"/>
    <col min="4875" max="4875" width="4.875" style="2773" customWidth="1"/>
    <col min="4876" max="4876" width="16.375" style="2773" customWidth="1"/>
    <col min="4877" max="4880" width="8.125" style="2773" customWidth="1"/>
    <col min="4881" max="5120" width="9" style="2773"/>
    <col min="5121" max="5121" width="6.375" style="2773" customWidth="1"/>
    <col min="5122" max="5122" width="19.375" style="2773" customWidth="1"/>
    <col min="5123" max="5123" width="7" style="2773" customWidth="1"/>
    <col min="5124" max="5124" width="3.25" style="2773" customWidth="1"/>
    <col min="5125" max="5125" width="7.375" style="2773" customWidth="1"/>
    <col min="5126" max="5126" width="3.5" style="2773" customWidth="1"/>
    <col min="5127" max="5127" width="19.375" style="2773" customWidth="1"/>
    <col min="5128" max="5128" width="19.5" style="2773" customWidth="1"/>
    <col min="5129" max="5129" width="8.625" style="2773" customWidth="1"/>
    <col min="5130" max="5130" width="10.5" style="2773" customWidth="1"/>
    <col min="5131" max="5131" width="4.875" style="2773" customWidth="1"/>
    <col min="5132" max="5132" width="16.375" style="2773" customWidth="1"/>
    <col min="5133" max="5136" width="8.125" style="2773" customWidth="1"/>
    <col min="5137" max="5376" width="9" style="2773"/>
    <col min="5377" max="5377" width="6.375" style="2773" customWidth="1"/>
    <col min="5378" max="5378" width="19.375" style="2773" customWidth="1"/>
    <col min="5379" max="5379" width="7" style="2773" customWidth="1"/>
    <col min="5380" max="5380" width="3.25" style="2773" customWidth="1"/>
    <col min="5381" max="5381" width="7.375" style="2773" customWidth="1"/>
    <col min="5382" max="5382" width="3.5" style="2773" customWidth="1"/>
    <col min="5383" max="5383" width="19.375" style="2773" customWidth="1"/>
    <col min="5384" max="5384" width="19.5" style="2773" customWidth="1"/>
    <col min="5385" max="5385" width="8.625" style="2773" customWidth="1"/>
    <col min="5386" max="5386" width="10.5" style="2773" customWidth="1"/>
    <col min="5387" max="5387" width="4.875" style="2773" customWidth="1"/>
    <col min="5388" max="5388" width="16.375" style="2773" customWidth="1"/>
    <col min="5389" max="5392" width="8.125" style="2773" customWidth="1"/>
    <col min="5393" max="5632" width="9" style="2773"/>
    <col min="5633" max="5633" width="6.375" style="2773" customWidth="1"/>
    <col min="5634" max="5634" width="19.375" style="2773" customWidth="1"/>
    <col min="5635" max="5635" width="7" style="2773" customWidth="1"/>
    <col min="5636" max="5636" width="3.25" style="2773" customWidth="1"/>
    <col min="5637" max="5637" width="7.375" style="2773" customWidth="1"/>
    <col min="5638" max="5638" width="3.5" style="2773" customWidth="1"/>
    <col min="5639" max="5639" width="19.375" style="2773" customWidth="1"/>
    <col min="5640" max="5640" width="19.5" style="2773" customWidth="1"/>
    <col min="5641" max="5641" width="8.625" style="2773" customWidth="1"/>
    <col min="5642" max="5642" width="10.5" style="2773" customWidth="1"/>
    <col min="5643" max="5643" width="4.875" style="2773" customWidth="1"/>
    <col min="5644" max="5644" width="16.375" style="2773" customWidth="1"/>
    <col min="5645" max="5648" width="8.125" style="2773" customWidth="1"/>
    <col min="5649" max="5888" width="9" style="2773"/>
    <col min="5889" max="5889" width="6.375" style="2773" customWidth="1"/>
    <col min="5890" max="5890" width="19.375" style="2773" customWidth="1"/>
    <col min="5891" max="5891" width="7" style="2773" customWidth="1"/>
    <col min="5892" max="5892" width="3.25" style="2773" customWidth="1"/>
    <col min="5893" max="5893" width="7.375" style="2773" customWidth="1"/>
    <col min="5894" max="5894" width="3.5" style="2773" customWidth="1"/>
    <col min="5895" max="5895" width="19.375" style="2773" customWidth="1"/>
    <col min="5896" max="5896" width="19.5" style="2773" customWidth="1"/>
    <col min="5897" max="5897" width="8.625" style="2773" customWidth="1"/>
    <col min="5898" max="5898" width="10.5" style="2773" customWidth="1"/>
    <col min="5899" max="5899" width="4.875" style="2773" customWidth="1"/>
    <col min="5900" max="5900" width="16.375" style="2773" customWidth="1"/>
    <col min="5901" max="5904" width="8.125" style="2773" customWidth="1"/>
    <col min="5905" max="6144" width="9" style="2773"/>
    <col min="6145" max="6145" width="6.375" style="2773" customWidth="1"/>
    <col min="6146" max="6146" width="19.375" style="2773" customWidth="1"/>
    <col min="6147" max="6147" width="7" style="2773" customWidth="1"/>
    <col min="6148" max="6148" width="3.25" style="2773" customWidth="1"/>
    <col min="6149" max="6149" width="7.375" style="2773" customWidth="1"/>
    <col min="6150" max="6150" width="3.5" style="2773" customWidth="1"/>
    <col min="6151" max="6151" width="19.375" style="2773" customWidth="1"/>
    <col min="6152" max="6152" width="19.5" style="2773" customWidth="1"/>
    <col min="6153" max="6153" width="8.625" style="2773" customWidth="1"/>
    <col min="6154" max="6154" width="10.5" style="2773" customWidth="1"/>
    <col min="6155" max="6155" width="4.875" style="2773" customWidth="1"/>
    <col min="6156" max="6156" width="16.375" style="2773" customWidth="1"/>
    <col min="6157" max="6160" width="8.125" style="2773" customWidth="1"/>
    <col min="6161" max="6400" width="9" style="2773"/>
    <col min="6401" max="6401" width="6.375" style="2773" customWidth="1"/>
    <col min="6402" max="6402" width="19.375" style="2773" customWidth="1"/>
    <col min="6403" max="6403" width="7" style="2773" customWidth="1"/>
    <col min="6404" max="6404" width="3.25" style="2773" customWidth="1"/>
    <col min="6405" max="6405" width="7.375" style="2773" customWidth="1"/>
    <col min="6406" max="6406" width="3.5" style="2773" customWidth="1"/>
    <col min="6407" max="6407" width="19.375" style="2773" customWidth="1"/>
    <col min="6408" max="6408" width="19.5" style="2773" customWidth="1"/>
    <col min="6409" max="6409" width="8.625" style="2773" customWidth="1"/>
    <col min="6410" max="6410" width="10.5" style="2773" customWidth="1"/>
    <col min="6411" max="6411" width="4.875" style="2773" customWidth="1"/>
    <col min="6412" max="6412" width="16.375" style="2773" customWidth="1"/>
    <col min="6413" max="6416" width="8.125" style="2773" customWidth="1"/>
    <col min="6417" max="6656" width="9" style="2773"/>
    <col min="6657" max="6657" width="6.375" style="2773" customWidth="1"/>
    <col min="6658" max="6658" width="19.375" style="2773" customWidth="1"/>
    <col min="6659" max="6659" width="7" style="2773" customWidth="1"/>
    <col min="6660" max="6660" width="3.25" style="2773" customWidth="1"/>
    <col min="6661" max="6661" width="7.375" style="2773" customWidth="1"/>
    <col min="6662" max="6662" width="3.5" style="2773" customWidth="1"/>
    <col min="6663" max="6663" width="19.375" style="2773" customWidth="1"/>
    <col min="6664" max="6664" width="19.5" style="2773" customWidth="1"/>
    <col min="6665" max="6665" width="8.625" style="2773" customWidth="1"/>
    <col min="6666" max="6666" width="10.5" style="2773" customWidth="1"/>
    <col min="6667" max="6667" width="4.875" style="2773" customWidth="1"/>
    <col min="6668" max="6668" width="16.375" style="2773" customWidth="1"/>
    <col min="6669" max="6672" width="8.125" style="2773" customWidth="1"/>
    <col min="6673" max="6912" width="9" style="2773"/>
    <col min="6913" max="6913" width="6.375" style="2773" customWidth="1"/>
    <col min="6914" max="6914" width="19.375" style="2773" customWidth="1"/>
    <col min="6915" max="6915" width="7" style="2773" customWidth="1"/>
    <col min="6916" max="6916" width="3.25" style="2773" customWidth="1"/>
    <col min="6917" max="6917" width="7.375" style="2773" customWidth="1"/>
    <col min="6918" max="6918" width="3.5" style="2773" customWidth="1"/>
    <col min="6919" max="6919" width="19.375" style="2773" customWidth="1"/>
    <col min="6920" max="6920" width="19.5" style="2773" customWidth="1"/>
    <col min="6921" max="6921" width="8.625" style="2773" customWidth="1"/>
    <col min="6922" max="6922" width="10.5" style="2773" customWidth="1"/>
    <col min="6923" max="6923" width="4.875" style="2773" customWidth="1"/>
    <col min="6924" max="6924" width="16.375" style="2773" customWidth="1"/>
    <col min="6925" max="6928" width="8.125" style="2773" customWidth="1"/>
    <col min="6929" max="7168" width="9" style="2773"/>
    <col min="7169" max="7169" width="6.375" style="2773" customWidth="1"/>
    <col min="7170" max="7170" width="19.375" style="2773" customWidth="1"/>
    <col min="7171" max="7171" width="7" style="2773" customWidth="1"/>
    <col min="7172" max="7172" width="3.25" style="2773" customWidth="1"/>
    <col min="7173" max="7173" width="7.375" style="2773" customWidth="1"/>
    <col min="7174" max="7174" width="3.5" style="2773" customWidth="1"/>
    <col min="7175" max="7175" width="19.375" style="2773" customWidth="1"/>
    <col min="7176" max="7176" width="19.5" style="2773" customWidth="1"/>
    <col min="7177" max="7177" width="8.625" style="2773" customWidth="1"/>
    <col min="7178" max="7178" width="10.5" style="2773" customWidth="1"/>
    <col min="7179" max="7179" width="4.875" style="2773" customWidth="1"/>
    <col min="7180" max="7180" width="16.375" style="2773" customWidth="1"/>
    <col min="7181" max="7184" width="8.125" style="2773" customWidth="1"/>
    <col min="7185" max="7424" width="9" style="2773"/>
    <col min="7425" max="7425" width="6.375" style="2773" customWidth="1"/>
    <col min="7426" max="7426" width="19.375" style="2773" customWidth="1"/>
    <col min="7427" max="7427" width="7" style="2773" customWidth="1"/>
    <col min="7428" max="7428" width="3.25" style="2773" customWidth="1"/>
    <col min="7429" max="7429" width="7.375" style="2773" customWidth="1"/>
    <col min="7430" max="7430" width="3.5" style="2773" customWidth="1"/>
    <col min="7431" max="7431" width="19.375" style="2773" customWidth="1"/>
    <col min="7432" max="7432" width="19.5" style="2773" customWidth="1"/>
    <col min="7433" max="7433" width="8.625" style="2773" customWidth="1"/>
    <col min="7434" max="7434" width="10.5" style="2773" customWidth="1"/>
    <col min="7435" max="7435" width="4.875" style="2773" customWidth="1"/>
    <col min="7436" max="7436" width="16.375" style="2773" customWidth="1"/>
    <col min="7437" max="7440" width="8.125" style="2773" customWidth="1"/>
    <col min="7441" max="7680" width="9" style="2773"/>
    <col min="7681" max="7681" width="6.375" style="2773" customWidth="1"/>
    <col min="7682" max="7682" width="19.375" style="2773" customWidth="1"/>
    <col min="7683" max="7683" width="7" style="2773" customWidth="1"/>
    <col min="7684" max="7684" width="3.25" style="2773" customWidth="1"/>
    <col min="7685" max="7685" width="7.375" style="2773" customWidth="1"/>
    <col min="7686" max="7686" width="3.5" style="2773" customWidth="1"/>
    <col min="7687" max="7687" width="19.375" style="2773" customWidth="1"/>
    <col min="7688" max="7688" width="19.5" style="2773" customWidth="1"/>
    <col min="7689" max="7689" width="8.625" style="2773" customWidth="1"/>
    <col min="7690" max="7690" width="10.5" style="2773" customWidth="1"/>
    <col min="7691" max="7691" width="4.875" style="2773" customWidth="1"/>
    <col min="7692" max="7692" width="16.375" style="2773" customWidth="1"/>
    <col min="7693" max="7696" width="8.125" style="2773" customWidth="1"/>
    <col min="7697" max="7936" width="9" style="2773"/>
    <col min="7937" max="7937" width="6.375" style="2773" customWidth="1"/>
    <col min="7938" max="7938" width="19.375" style="2773" customWidth="1"/>
    <col min="7939" max="7939" width="7" style="2773" customWidth="1"/>
    <col min="7940" max="7940" width="3.25" style="2773" customWidth="1"/>
    <col min="7941" max="7941" width="7.375" style="2773" customWidth="1"/>
    <col min="7942" max="7942" width="3.5" style="2773" customWidth="1"/>
    <col min="7943" max="7943" width="19.375" style="2773" customWidth="1"/>
    <col min="7944" max="7944" width="19.5" style="2773" customWidth="1"/>
    <col min="7945" max="7945" width="8.625" style="2773" customWidth="1"/>
    <col min="7946" max="7946" width="10.5" style="2773" customWidth="1"/>
    <col min="7947" max="7947" width="4.875" style="2773" customWidth="1"/>
    <col min="7948" max="7948" width="16.375" style="2773" customWidth="1"/>
    <col min="7949" max="7952" width="8.125" style="2773" customWidth="1"/>
    <col min="7953" max="8192" width="9" style="2773"/>
    <col min="8193" max="8193" width="6.375" style="2773" customWidth="1"/>
    <col min="8194" max="8194" width="19.375" style="2773" customWidth="1"/>
    <col min="8195" max="8195" width="7" style="2773" customWidth="1"/>
    <col min="8196" max="8196" width="3.25" style="2773" customWidth="1"/>
    <col min="8197" max="8197" width="7.375" style="2773" customWidth="1"/>
    <col min="8198" max="8198" width="3.5" style="2773" customWidth="1"/>
    <col min="8199" max="8199" width="19.375" style="2773" customWidth="1"/>
    <col min="8200" max="8200" width="19.5" style="2773" customWidth="1"/>
    <col min="8201" max="8201" width="8.625" style="2773" customWidth="1"/>
    <col min="8202" max="8202" width="10.5" style="2773" customWidth="1"/>
    <col min="8203" max="8203" width="4.875" style="2773" customWidth="1"/>
    <col min="8204" max="8204" width="16.375" style="2773" customWidth="1"/>
    <col min="8205" max="8208" width="8.125" style="2773" customWidth="1"/>
    <col min="8209" max="8448" width="9" style="2773"/>
    <col min="8449" max="8449" width="6.375" style="2773" customWidth="1"/>
    <col min="8450" max="8450" width="19.375" style="2773" customWidth="1"/>
    <col min="8451" max="8451" width="7" style="2773" customWidth="1"/>
    <col min="8452" max="8452" width="3.25" style="2773" customWidth="1"/>
    <col min="8453" max="8453" width="7.375" style="2773" customWidth="1"/>
    <col min="8454" max="8454" width="3.5" style="2773" customWidth="1"/>
    <col min="8455" max="8455" width="19.375" style="2773" customWidth="1"/>
    <col min="8456" max="8456" width="19.5" style="2773" customWidth="1"/>
    <col min="8457" max="8457" width="8.625" style="2773" customWidth="1"/>
    <col min="8458" max="8458" width="10.5" style="2773" customWidth="1"/>
    <col min="8459" max="8459" width="4.875" style="2773" customWidth="1"/>
    <col min="8460" max="8460" width="16.375" style="2773" customWidth="1"/>
    <col min="8461" max="8464" width="8.125" style="2773" customWidth="1"/>
    <col min="8465" max="8704" width="9" style="2773"/>
    <col min="8705" max="8705" width="6.375" style="2773" customWidth="1"/>
    <col min="8706" max="8706" width="19.375" style="2773" customWidth="1"/>
    <col min="8707" max="8707" width="7" style="2773" customWidth="1"/>
    <col min="8708" max="8708" width="3.25" style="2773" customWidth="1"/>
    <col min="8709" max="8709" width="7.375" style="2773" customWidth="1"/>
    <col min="8710" max="8710" width="3.5" style="2773" customWidth="1"/>
    <col min="8711" max="8711" width="19.375" style="2773" customWidth="1"/>
    <col min="8712" max="8712" width="19.5" style="2773" customWidth="1"/>
    <col min="8713" max="8713" width="8.625" style="2773" customWidth="1"/>
    <col min="8714" max="8714" width="10.5" style="2773" customWidth="1"/>
    <col min="8715" max="8715" width="4.875" style="2773" customWidth="1"/>
    <col min="8716" max="8716" width="16.375" style="2773" customWidth="1"/>
    <col min="8717" max="8720" width="8.125" style="2773" customWidth="1"/>
    <col min="8721" max="8960" width="9" style="2773"/>
    <col min="8961" max="8961" width="6.375" style="2773" customWidth="1"/>
    <col min="8962" max="8962" width="19.375" style="2773" customWidth="1"/>
    <col min="8963" max="8963" width="7" style="2773" customWidth="1"/>
    <col min="8964" max="8964" width="3.25" style="2773" customWidth="1"/>
    <col min="8965" max="8965" width="7.375" style="2773" customWidth="1"/>
    <col min="8966" max="8966" width="3.5" style="2773" customWidth="1"/>
    <col min="8967" max="8967" width="19.375" style="2773" customWidth="1"/>
    <col min="8968" max="8968" width="19.5" style="2773" customWidth="1"/>
    <col min="8969" max="8969" width="8.625" style="2773" customWidth="1"/>
    <col min="8970" max="8970" width="10.5" style="2773" customWidth="1"/>
    <col min="8971" max="8971" width="4.875" style="2773" customWidth="1"/>
    <col min="8972" max="8972" width="16.375" style="2773" customWidth="1"/>
    <col min="8973" max="8976" width="8.125" style="2773" customWidth="1"/>
    <col min="8977" max="9216" width="9" style="2773"/>
    <col min="9217" max="9217" width="6.375" style="2773" customWidth="1"/>
    <col min="9218" max="9218" width="19.375" style="2773" customWidth="1"/>
    <col min="9219" max="9219" width="7" style="2773" customWidth="1"/>
    <col min="9220" max="9220" width="3.25" style="2773" customWidth="1"/>
    <col min="9221" max="9221" width="7.375" style="2773" customWidth="1"/>
    <col min="9222" max="9222" width="3.5" style="2773" customWidth="1"/>
    <col min="9223" max="9223" width="19.375" style="2773" customWidth="1"/>
    <col min="9224" max="9224" width="19.5" style="2773" customWidth="1"/>
    <col min="9225" max="9225" width="8.625" style="2773" customWidth="1"/>
    <col min="9226" max="9226" width="10.5" style="2773" customWidth="1"/>
    <col min="9227" max="9227" width="4.875" style="2773" customWidth="1"/>
    <col min="9228" max="9228" width="16.375" style="2773" customWidth="1"/>
    <col min="9229" max="9232" width="8.125" style="2773" customWidth="1"/>
    <col min="9233" max="9472" width="9" style="2773"/>
    <col min="9473" max="9473" width="6.375" style="2773" customWidth="1"/>
    <col min="9474" max="9474" width="19.375" style="2773" customWidth="1"/>
    <col min="9475" max="9475" width="7" style="2773" customWidth="1"/>
    <col min="9476" max="9476" width="3.25" style="2773" customWidth="1"/>
    <col min="9477" max="9477" width="7.375" style="2773" customWidth="1"/>
    <col min="9478" max="9478" width="3.5" style="2773" customWidth="1"/>
    <col min="9479" max="9479" width="19.375" style="2773" customWidth="1"/>
    <col min="9480" max="9480" width="19.5" style="2773" customWidth="1"/>
    <col min="9481" max="9481" width="8.625" style="2773" customWidth="1"/>
    <col min="9482" max="9482" width="10.5" style="2773" customWidth="1"/>
    <col min="9483" max="9483" width="4.875" style="2773" customWidth="1"/>
    <col min="9484" max="9484" width="16.375" style="2773" customWidth="1"/>
    <col min="9485" max="9488" width="8.125" style="2773" customWidth="1"/>
    <col min="9489" max="9728" width="9" style="2773"/>
    <col min="9729" max="9729" width="6.375" style="2773" customWidth="1"/>
    <col min="9730" max="9730" width="19.375" style="2773" customWidth="1"/>
    <col min="9731" max="9731" width="7" style="2773" customWidth="1"/>
    <col min="9732" max="9732" width="3.25" style="2773" customWidth="1"/>
    <col min="9733" max="9733" width="7.375" style="2773" customWidth="1"/>
    <col min="9734" max="9734" width="3.5" style="2773" customWidth="1"/>
    <col min="9735" max="9735" width="19.375" style="2773" customWidth="1"/>
    <col min="9736" max="9736" width="19.5" style="2773" customWidth="1"/>
    <col min="9737" max="9737" width="8.625" style="2773" customWidth="1"/>
    <col min="9738" max="9738" width="10.5" style="2773" customWidth="1"/>
    <col min="9739" max="9739" width="4.875" style="2773" customWidth="1"/>
    <col min="9740" max="9740" width="16.375" style="2773" customWidth="1"/>
    <col min="9741" max="9744" width="8.125" style="2773" customWidth="1"/>
    <col min="9745" max="9984" width="9" style="2773"/>
    <col min="9985" max="9985" width="6.375" style="2773" customWidth="1"/>
    <col min="9986" max="9986" width="19.375" style="2773" customWidth="1"/>
    <col min="9987" max="9987" width="7" style="2773" customWidth="1"/>
    <col min="9988" max="9988" width="3.25" style="2773" customWidth="1"/>
    <col min="9989" max="9989" width="7.375" style="2773" customWidth="1"/>
    <col min="9990" max="9990" width="3.5" style="2773" customWidth="1"/>
    <col min="9991" max="9991" width="19.375" style="2773" customWidth="1"/>
    <col min="9992" max="9992" width="19.5" style="2773" customWidth="1"/>
    <col min="9993" max="9993" width="8.625" style="2773" customWidth="1"/>
    <col min="9994" max="9994" width="10.5" style="2773" customWidth="1"/>
    <col min="9995" max="9995" width="4.875" style="2773" customWidth="1"/>
    <col min="9996" max="9996" width="16.375" style="2773" customWidth="1"/>
    <col min="9997" max="10000" width="8.125" style="2773" customWidth="1"/>
    <col min="10001" max="10240" width="9" style="2773"/>
    <col min="10241" max="10241" width="6.375" style="2773" customWidth="1"/>
    <col min="10242" max="10242" width="19.375" style="2773" customWidth="1"/>
    <col min="10243" max="10243" width="7" style="2773" customWidth="1"/>
    <col min="10244" max="10244" width="3.25" style="2773" customWidth="1"/>
    <col min="10245" max="10245" width="7.375" style="2773" customWidth="1"/>
    <col min="10246" max="10246" width="3.5" style="2773" customWidth="1"/>
    <col min="10247" max="10247" width="19.375" style="2773" customWidth="1"/>
    <col min="10248" max="10248" width="19.5" style="2773" customWidth="1"/>
    <col min="10249" max="10249" width="8.625" style="2773" customWidth="1"/>
    <col min="10250" max="10250" width="10.5" style="2773" customWidth="1"/>
    <col min="10251" max="10251" width="4.875" style="2773" customWidth="1"/>
    <col min="10252" max="10252" width="16.375" style="2773" customWidth="1"/>
    <col min="10253" max="10256" width="8.125" style="2773" customWidth="1"/>
    <col min="10257" max="10496" width="9" style="2773"/>
    <col min="10497" max="10497" width="6.375" style="2773" customWidth="1"/>
    <col min="10498" max="10498" width="19.375" style="2773" customWidth="1"/>
    <col min="10499" max="10499" width="7" style="2773" customWidth="1"/>
    <col min="10500" max="10500" width="3.25" style="2773" customWidth="1"/>
    <col min="10501" max="10501" width="7.375" style="2773" customWidth="1"/>
    <col min="10502" max="10502" width="3.5" style="2773" customWidth="1"/>
    <col min="10503" max="10503" width="19.375" style="2773" customWidth="1"/>
    <col min="10504" max="10504" width="19.5" style="2773" customWidth="1"/>
    <col min="10505" max="10505" width="8.625" style="2773" customWidth="1"/>
    <col min="10506" max="10506" width="10.5" style="2773" customWidth="1"/>
    <col min="10507" max="10507" width="4.875" style="2773" customWidth="1"/>
    <col min="10508" max="10508" width="16.375" style="2773" customWidth="1"/>
    <col min="10509" max="10512" width="8.125" style="2773" customWidth="1"/>
    <col min="10513" max="10752" width="9" style="2773"/>
    <col min="10753" max="10753" width="6.375" style="2773" customWidth="1"/>
    <col min="10754" max="10754" width="19.375" style="2773" customWidth="1"/>
    <col min="10755" max="10755" width="7" style="2773" customWidth="1"/>
    <col min="10756" max="10756" width="3.25" style="2773" customWidth="1"/>
    <col min="10757" max="10757" width="7.375" style="2773" customWidth="1"/>
    <col min="10758" max="10758" width="3.5" style="2773" customWidth="1"/>
    <col min="10759" max="10759" width="19.375" style="2773" customWidth="1"/>
    <col min="10760" max="10760" width="19.5" style="2773" customWidth="1"/>
    <col min="10761" max="10761" width="8.625" style="2773" customWidth="1"/>
    <col min="10762" max="10762" width="10.5" style="2773" customWidth="1"/>
    <col min="10763" max="10763" width="4.875" style="2773" customWidth="1"/>
    <col min="10764" max="10764" width="16.375" style="2773" customWidth="1"/>
    <col min="10765" max="10768" width="8.125" style="2773" customWidth="1"/>
    <col min="10769" max="11008" width="9" style="2773"/>
    <col min="11009" max="11009" width="6.375" style="2773" customWidth="1"/>
    <col min="11010" max="11010" width="19.375" style="2773" customWidth="1"/>
    <col min="11011" max="11011" width="7" style="2773" customWidth="1"/>
    <col min="11012" max="11012" width="3.25" style="2773" customWidth="1"/>
    <col min="11013" max="11013" width="7.375" style="2773" customWidth="1"/>
    <col min="11014" max="11014" width="3.5" style="2773" customWidth="1"/>
    <col min="11015" max="11015" width="19.375" style="2773" customWidth="1"/>
    <col min="11016" max="11016" width="19.5" style="2773" customWidth="1"/>
    <col min="11017" max="11017" width="8.625" style="2773" customWidth="1"/>
    <col min="11018" max="11018" width="10.5" style="2773" customWidth="1"/>
    <col min="11019" max="11019" width="4.875" style="2773" customWidth="1"/>
    <col min="11020" max="11020" width="16.375" style="2773" customWidth="1"/>
    <col min="11021" max="11024" width="8.125" style="2773" customWidth="1"/>
    <col min="11025" max="11264" width="9" style="2773"/>
    <col min="11265" max="11265" width="6.375" style="2773" customWidth="1"/>
    <col min="11266" max="11266" width="19.375" style="2773" customWidth="1"/>
    <col min="11267" max="11267" width="7" style="2773" customWidth="1"/>
    <col min="11268" max="11268" width="3.25" style="2773" customWidth="1"/>
    <col min="11269" max="11269" width="7.375" style="2773" customWidth="1"/>
    <col min="11270" max="11270" width="3.5" style="2773" customWidth="1"/>
    <col min="11271" max="11271" width="19.375" style="2773" customWidth="1"/>
    <col min="11272" max="11272" width="19.5" style="2773" customWidth="1"/>
    <col min="11273" max="11273" width="8.625" style="2773" customWidth="1"/>
    <col min="11274" max="11274" width="10.5" style="2773" customWidth="1"/>
    <col min="11275" max="11275" width="4.875" style="2773" customWidth="1"/>
    <col min="11276" max="11276" width="16.375" style="2773" customWidth="1"/>
    <col min="11277" max="11280" width="8.125" style="2773" customWidth="1"/>
    <col min="11281" max="11520" width="9" style="2773"/>
    <col min="11521" max="11521" width="6.375" style="2773" customWidth="1"/>
    <col min="11522" max="11522" width="19.375" style="2773" customWidth="1"/>
    <col min="11523" max="11523" width="7" style="2773" customWidth="1"/>
    <col min="11524" max="11524" width="3.25" style="2773" customWidth="1"/>
    <col min="11525" max="11525" width="7.375" style="2773" customWidth="1"/>
    <col min="11526" max="11526" width="3.5" style="2773" customWidth="1"/>
    <col min="11527" max="11527" width="19.375" style="2773" customWidth="1"/>
    <col min="11528" max="11528" width="19.5" style="2773" customWidth="1"/>
    <col min="11529" max="11529" width="8.625" style="2773" customWidth="1"/>
    <col min="11530" max="11530" width="10.5" style="2773" customWidth="1"/>
    <col min="11531" max="11531" width="4.875" style="2773" customWidth="1"/>
    <col min="11532" max="11532" width="16.375" style="2773" customWidth="1"/>
    <col min="11533" max="11536" width="8.125" style="2773" customWidth="1"/>
    <col min="11537" max="11776" width="9" style="2773"/>
    <col min="11777" max="11777" width="6.375" style="2773" customWidth="1"/>
    <col min="11778" max="11778" width="19.375" style="2773" customWidth="1"/>
    <col min="11779" max="11779" width="7" style="2773" customWidth="1"/>
    <col min="11780" max="11780" width="3.25" style="2773" customWidth="1"/>
    <col min="11781" max="11781" width="7.375" style="2773" customWidth="1"/>
    <col min="11782" max="11782" width="3.5" style="2773" customWidth="1"/>
    <col min="11783" max="11783" width="19.375" style="2773" customWidth="1"/>
    <col min="11784" max="11784" width="19.5" style="2773" customWidth="1"/>
    <col min="11785" max="11785" width="8.625" style="2773" customWidth="1"/>
    <col min="11786" max="11786" width="10.5" style="2773" customWidth="1"/>
    <col min="11787" max="11787" width="4.875" style="2773" customWidth="1"/>
    <col min="11788" max="11788" width="16.375" style="2773" customWidth="1"/>
    <col min="11789" max="11792" width="8.125" style="2773" customWidth="1"/>
    <col min="11793" max="12032" width="9" style="2773"/>
    <col min="12033" max="12033" width="6.375" style="2773" customWidth="1"/>
    <col min="12034" max="12034" width="19.375" style="2773" customWidth="1"/>
    <col min="12035" max="12035" width="7" style="2773" customWidth="1"/>
    <col min="12036" max="12036" width="3.25" style="2773" customWidth="1"/>
    <col min="12037" max="12037" width="7.375" style="2773" customWidth="1"/>
    <col min="12038" max="12038" width="3.5" style="2773" customWidth="1"/>
    <col min="12039" max="12039" width="19.375" style="2773" customWidth="1"/>
    <col min="12040" max="12040" width="19.5" style="2773" customWidth="1"/>
    <col min="12041" max="12041" width="8.625" style="2773" customWidth="1"/>
    <col min="12042" max="12042" width="10.5" style="2773" customWidth="1"/>
    <col min="12043" max="12043" width="4.875" style="2773" customWidth="1"/>
    <col min="12044" max="12044" width="16.375" style="2773" customWidth="1"/>
    <col min="12045" max="12048" width="8.125" style="2773" customWidth="1"/>
    <col min="12049" max="12288" width="9" style="2773"/>
    <col min="12289" max="12289" width="6.375" style="2773" customWidth="1"/>
    <col min="12290" max="12290" width="19.375" style="2773" customWidth="1"/>
    <col min="12291" max="12291" width="7" style="2773" customWidth="1"/>
    <col min="12292" max="12292" width="3.25" style="2773" customWidth="1"/>
    <col min="12293" max="12293" width="7.375" style="2773" customWidth="1"/>
    <col min="12294" max="12294" width="3.5" style="2773" customWidth="1"/>
    <col min="12295" max="12295" width="19.375" style="2773" customWidth="1"/>
    <col min="12296" max="12296" width="19.5" style="2773" customWidth="1"/>
    <col min="12297" max="12297" width="8.625" style="2773" customWidth="1"/>
    <col min="12298" max="12298" width="10.5" style="2773" customWidth="1"/>
    <col min="12299" max="12299" width="4.875" style="2773" customWidth="1"/>
    <col min="12300" max="12300" width="16.375" style="2773" customWidth="1"/>
    <col min="12301" max="12304" width="8.125" style="2773" customWidth="1"/>
    <col min="12305" max="12544" width="9" style="2773"/>
    <col min="12545" max="12545" width="6.375" style="2773" customWidth="1"/>
    <col min="12546" max="12546" width="19.375" style="2773" customWidth="1"/>
    <col min="12547" max="12547" width="7" style="2773" customWidth="1"/>
    <col min="12548" max="12548" width="3.25" style="2773" customWidth="1"/>
    <col min="12549" max="12549" width="7.375" style="2773" customWidth="1"/>
    <col min="12550" max="12550" width="3.5" style="2773" customWidth="1"/>
    <col min="12551" max="12551" width="19.375" style="2773" customWidth="1"/>
    <col min="12552" max="12552" width="19.5" style="2773" customWidth="1"/>
    <col min="12553" max="12553" width="8.625" style="2773" customWidth="1"/>
    <col min="12554" max="12554" width="10.5" style="2773" customWidth="1"/>
    <col min="12555" max="12555" width="4.875" style="2773" customWidth="1"/>
    <col min="12556" max="12556" width="16.375" style="2773" customWidth="1"/>
    <col min="12557" max="12560" width="8.125" style="2773" customWidth="1"/>
    <col min="12561" max="12800" width="9" style="2773"/>
    <col min="12801" max="12801" width="6.375" style="2773" customWidth="1"/>
    <col min="12802" max="12802" width="19.375" style="2773" customWidth="1"/>
    <col min="12803" max="12803" width="7" style="2773" customWidth="1"/>
    <col min="12804" max="12804" width="3.25" style="2773" customWidth="1"/>
    <col min="12805" max="12805" width="7.375" style="2773" customWidth="1"/>
    <col min="12806" max="12806" width="3.5" style="2773" customWidth="1"/>
    <col min="12807" max="12807" width="19.375" style="2773" customWidth="1"/>
    <col min="12808" max="12808" width="19.5" style="2773" customWidth="1"/>
    <col min="12809" max="12809" width="8.625" style="2773" customWidth="1"/>
    <col min="12810" max="12810" width="10.5" style="2773" customWidth="1"/>
    <col min="12811" max="12811" width="4.875" style="2773" customWidth="1"/>
    <col min="12812" max="12812" width="16.375" style="2773" customWidth="1"/>
    <col min="12813" max="12816" width="8.125" style="2773" customWidth="1"/>
    <col min="12817" max="13056" width="9" style="2773"/>
    <col min="13057" max="13057" width="6.375" style="2773" customWidth="1"/>
    <col min="13058" max="13058" width="19.375" style="2773" customWidth="1"/>
    <col min="13059" max="13059" width="7" style="2773" customWidth="1"/>
    <col min="13060" max="13060" width="3.25" style="2773" customWidth="1"/>
    <col min="13061" max="13061" width="7.375" style="2773" customWidth="1"/>
    <col min="13062" max="13062" width="3.5" style="2773" customWidth="1"/>
    <col min="13063" max="13063" width="19.375" style="2773" customWidth="1"/>
    <col min="13064" max="13064" width="19.5" style="2773" customWidth="1"/>
    <col min="13065" max="13065" width="8.625" style="2773" customWidth="1"/>
    <col min="13066" max="13066" width="10.5" style="2773" customWidth="1"/>
    <col min="13067" max="13067" width="4.875" style="2773" customWidth="1"/>
    <col min="13068" max="13068" width="16.375" style="2773" customWidth="1"/>
    <col min="13069" max="13072" width="8.125" style="2773" customWidth="1"/>
    <col min="13073" max="13312" width="9" style="2773"/>
    <col min="13313" max="13313" width="6.375" style="2773" customWidth="1"/>
    <col min="13314" max="13314" width="19.375" style="2773" customWidth="1"/>
    <col min="13315" max="13315" width="7" style="2773" customWidth="1"/>
    <col min="13316" max="13316" width="3.25" style="2773" customWidth="1"/>
    <col min="13317" max="13317" width="7.375" style="2773" customWidth="1"/>
    <col min="13318" max="13318" width="3.5" style="2773" customWidth="1"/>
    <col min="13319" max="13319" width="19.375" style="2773" customWidth="1"/>
    <col min="13320" max="13320" width="19.5" style="2773" customWidth="1"/>
    <col min="13321" max="13321" width="8.625" style="2773" customWidth="1"/>
    <col min="13322" max="13322" width="10.5" style="2773" customWidth="1"/>
    <col min="13323" max="13323" width="4.875" style="2773" customWidth="1"/>
    <col min="13324" max="13324" width="16.375" style="2773" customWidth="1"/>
    <col min="13325" max="13328" width="8.125" style="2773" customWidth="1"/>
    <col min="13329" max="13568" width="9" style="2773"/>
    <col min="13569" max="13569" width="6.375" style="2773" customWidth="1"/>
    <col min="13570" max="13570" width="19.375" style="2773" customWidth="1"/>
    <col min="13571" max="13571" width="7" style="2773" customWidth="1"/>
    <col min="13572" max="13572" width="3.25" style="2773" customWidth="1"/>
    <col min="13573" max="13573" width="7.375" style="2773" customWidth="1"/>
    <col min="13574" max="13574" width="3.5" style="2773" customWidth="1"/>
    <col min="13575" max="13575" width="19.375" style="2773" customWidth="1"/>
    <col min="13576" max="13576" width="19.5" style="2773" customWidth="1"/>
    <col min="13577" max="13577" width="8.625" style="2773" customWidth="1"/>
    <col min="13578" max="13578" width="10.5" style="2773" customWidth="1"/>
    <col min="13579" max="13579" width="4.875" style="2773" customWidth="1"/>
    <col min="13580" max="13580" width="16.375" style="2773" customWidth="1"/>
    <col min="13581" max="13584" width="8.125" style="2773" customWidth="1"/>
    <col min="13585" max="13824" width="9" style="2773"/>
    <col min="13825" max="13825" width="6.375" style="2773" customWidth="1"/>
    <col min="13826" max="13826" width="19.375" style="2773" customWidth="1"/>
    <col min="13827" max="13827" width="7" style="2773" customWidth="1"/>
    <col min="13828" max="13828" width="3.25" style="2773" customWidth="1"/>
    <col min="13829" max="13829" width="7.375" style="2773" customWidth="1"/>
    <col min="13830" max="13830" width="3.5" style="2773" customWidth="1"/>
    <col min="13831" max="13831" width="19.375" style="2773" customWidth="1"/>
    <col min="13832" max="13832" width="19.5" style="2773" customWidth="1"/>
    <col min="13833" max="13833" width="8.625" style="2773" customWidth="1"/>
    <col min="13834" max="13834" width="10.5" style="2773" customWidth="1"/>
    <col min="13835" max="13835" width="4.875" style="2773" customWidth="1"/>
    <col min="13836" max="13836" width="16.375" style="2773" customWidth="1"/>
    <col min="13837" max="13840" width="8.125" style="2773" customWidth="1"/>
    <col min="13841" max="14080" width="9" style="2773"/>
    <col min="14081" max="14081" width="6.375" style="2773" customWidth="1"/>
    <col min="14082" max="14082" width="19.375" style="2773" customWidth="1"/>
    <col min="14083" max="14083" width="7" style="2773" customWidth="1"/>
    <col min="14084" max="14084" width="3.25" style="2773" customWidth="1"/>
    <col min="14085" max="14085" width="7.375" style="2773" customWidth="1"/>
    <col min="14086" max="14086" width="3.5" style="2773" customWidth="1"/>
    <col min="14087" max="14087" width="19.375" style="2773" customWidth="1"/>
    <col min="14088" max="14088" width="19.5" style="2773" customWidth="1"/>
    <col min="14089" max="14089" width="8.625" style="2773" customWidth="1"/>
    <col min="14090" max="14090" width="10.5" style="2773" customWidth="1"/>
    <col min="14091" max="14091" width="4.875" style="2773" customWidth="1"/>
    <col min="14092" max="14092" width="16.375" style="2773" customWidth="1"/>
    <col min="14093" max="14096" width="8.125" style="2773" customWidth="1"/>
    <col min="14097" max="14336" width="9" style="2773"/>
    <col min="14337" max="14337" width="6.375" style="2773" customWidth="1"/>
    <col min="14338" max="14338" width="19.375" style="2773" customWidth="1"/>
    <col min="14339" max="14339" width="7" style="2773" customWidth="1"/>
    <col min="14340" max="14340" width="3.25" style="2773" customWidth="1"/>
    <col min="14341" max="14341" width="7.375" style="2773" customWidth="1"/>
    <col min="14342" max="14342" width="3.5" style="2773" customWidth="1"/>
    <col min="14343" max="14343" width="19.375" style="2773" customWidth="1"/>
    <col min="14344" max="14344" width="19.5" style="2773" customWidth="1"/>
    <col min="14345" max="14345" width="8.625" style="2773" customWidth="1"/>
    <col min="14346" max="14346" width="10.5" style="2773" customWidth="1"/>
    <col min="14347" max="14347" width="4.875" style="2773" customWidth="1"/>
    <col min="14348" max="14348" width="16.375" style="2773" customWidth="1"/>
    <col min="14349" max="14352" width="8.125" style="2773" customWidth="1"/>
    <col min="14353" max="14592" width="9" style="2773"/>
    <col min="14593" max="14593" width="6.375" style="2773" customWidth="1"/>
    <col min="14594" max="14594" width="19.375" style="2773" customWidth="1"/>
    <col min="14595" max="14595" width="7" style="2773" customWidth="1"/>
    <col min="14596" max="14596" width="3.25" style="2773" customWidth="1"/>
    <col min="14597" max="14597" width="7.375" style="2773" customWidth="1"/>
    <col min="14598" max="14598" width="3.5" style="2773" customWidth="1"/>
    <col min="14599" max="14599" width="19.375" style="2773" customWidth="1"/>
    <col min="14600" max="14600" width="19.5" style="2773" customWidth="1"/>
    <col min="14601" max="14601" width="8.625" style="2773" customWidth="1"/>
    <col min="14602" max="14602" width="10.5" style="2773" customWidth="1"/>
    <col min="14603" max="14603" width="4.875" style="2773" customWidth="1"/>
    <col min="14604" max="14604" width="16.375" style="2773" customWidth="1"/>
    <col min="14605" max="14608" width="8.125" style="2773" customWidth="1"/>
    <col min="14609" max="14848" width="9" style="2773"/>
    <col min="14849" max="14849" width="6.375" style="2773" customWidth="1"/>
    <col min="14850" max="14850" width="19.375" style="2773" customWidth="1"/>
    <col min="14851" max="14851" width="7" style="2773" customWidth="1"/>
    <col min="14852" max="14852" width="3.25" style="2773" customWidth="1"/>
    <col min="14853" max="14853" width="7.375" style="2773" customWidth="1"/>
    <col min="14854" max="14854" width="3.5" style="2773" customWidth="1"/>
    <col min="14855" max="14855" width="19.375" style="2773" customWidth="1"/>
    <col min="14856" max="14856" width="19.5" style="2773" customWidth="1"/>
    <col min="14857" max="14857" width="8.625" style="2773" customWidth="1"/>
    <col min="14858" max="14858" width="10.5" style="2773" customWidth="1"/>
    <col min="14859" max="14859" width="4.875" style="2773" customWidth="1"/>
    <col min="14860" max="14860" width="16.375" style="2773" customWidth="1"/>
    <col min="14861" max="14864" width="8.125" style="2773" customWidth="1"/>
    <col min="14865" max="15104" width="9" style="2773"/>
    <col min="15105" max="15105" width="6.375" style="2773" customWidth="1"/>
    <col min="15106" max="15106" width="19.375" style="2773" customWidth="1"/>
    <col min="15107" max="15107" width="7" style="2773" customWidth="1"/>
    <col min="15108" max="15108" width="3.25" style="2773" customWidth="1"/>
    <col min="15109" max="15109" width="7.375" style="2773" customWidth="1"/>
    <col min="15110" max="15110" width="3.5" style="2773" customWidth="1"/>
    <col min="15111" max="15111" width="19.375" style="2773" customWidth="1"/>
    <col min="15112" max="15112" width="19.5" style="2773" customWidth="1"/>
    <col min="15113" max="15113" width="8.625" style="2773" customWidth="1"/>
    <col min="15114" max="15114" width="10.5" style="2773" customWidth="1"/>
    <col min="15115" max="15115" width="4.875" style="2773" customWidth="1"/>
    <col min="15116" max="15116" width="16.375" style="2773" customWidth="1"/>
    <col min="15117" max="15120" width="8.125" style="2773" customWidth="1"/>
    <col min="15121" max="15360" width="9" style="2773"/>
    <col min="15361" max="15361" width="6.375" style="2773" customWidth="1"/>
    <col min="15362" max="15362" width="19.375" style="2773" customWidth="1"/>
    <col min="15363" max="15363" width="7" style="2773" customWidth="1"/>
    <col min="15364" max="15364" width="3.25" style="2773" customWidth="1"/>
    <col min="15365" max="15365" width="7.375" style="2773" customWidth="1"/>
    <col min="15366" max="15366" width="3.5" style="2773" customWidth="1"/>
    <col min="15367" max="15367" width="19.375" style="2773" customWidth="1"/>
    <col min="15368" max="15368" width="19.5" style="2773" customWidth="1"/>
    <col min="15369" max="15369" width="8.625" style="2773" customWidth="1"/>
    <col min="15370" max="15370" width="10.5" style="2773" customWidth="1"/>
    <col min="15371" max="15371" width="4.875" style="2773" customWidth="1"/>
    <col min="15372" max="15372" width="16.375" style="2773" customWidth="1"/>
    <col min="15373" max="15376" width="8.125" style="2773" customWidth="1"/>
    <col min="15377" max="15616" width="9" style="2773"/>
    <col min="15617" max="15617" width="6.375" style="2773" customWidth="1"/>
    <col min="15618" max="15618" width="19.375" style="2773" customWidth="1"/>
    <col min="15619" max="15619" width="7" style="2773" customWidth="1"/>
    <col min="15620" max="15620" width="3.25" style="2773" customWidth="1"/>
    <col min="15621" max="15621" width="7.375" style="2773" customWidth="1"/>
    <col min="15622" max="15622" width="3.5" style="2773" customWidth="1"/>
    <col min="15623" max="15623" width="19.375" style="2773" customWidth="1"/>
    <col min="15624" max="15624" width="19.5" style="2773" customWidth="1"/>
    <col min="15625" max="15625" width="8.625" style="2773" customWidth="1"/>
    <col min="15626" max="15626" width="10.5" style="2773" customWidth="1"/>
    <col min="15627" max="15627" width="4.875" style="2773" customWidth="1"/>
    <col min="15628" max="15628" width="16.375" style="2773" customWidth="1"/>
    <col min="15629" max="15632" width="8.125" style="2773" customWidth="1"/>
    <col min="15633" max="15872" width="9" style="2773"/>
    <col min="15873" max="15873" width="6.375" style="2773" customWidth="1"/>
    <col min="15874" max="15874" width="19.375" style="2773" customWidth="1"/>
    <col min="15875" max="15875" width="7" style="2773" customWidth="1"/>
    <col min="15876" max="15876" width="3.25" style="2773" customWidth="1"/>
    <col min="15877" max="15877" width="7.375" style="2773" customWidth="1"/>
    <col min="15878" max="15878" width="3.5" style="2773" customWidth="1"/>
    <col min="15879" max="15879" width="19.375" style="2773" customWidth="1"/>
    <col min="15880" max="15880" width="19.5" style="2773" customWidth="1"/>
    <col min="15881" max="15881" width="8.625" style="2773" customWidth="1"/>
    <col min="15882" max="15882" width="10.5" style="2773" customWidth="1"/>
    <col min="15883" max="15883" width="4.875" style="2773" customWidth="1"/>
    <col min="15884" max="15884" width="16.375" style="2773" customWidth="1"/>
    <col min="15885" max="15888" width="8.125" style="2773" customWidth="1"/>
    <col min="15889" max="16128" width="9" style="2773"/>
    <col min="16129" max="16129" width="6.375" style="2773" customWidth="1"/>
    <col min="16130" max="16130" width="19.375" style="2773" customWidth="1"/>
    <col min="16131" max="16131" width="7" style="2773" customWidth="1"/>
    <col min="16132" max="16132" width="3.25" style="2773" customWidth="1"/>
    <col min="16133" max="16133" width="7.375" style="2773" customWidth="1"/>
    <col min="16134" max="16134" width="3.5" style="2773" customWidth="1"/>
    <col min="16135" max="16135" width="19.375" style="2773" customWidth="1"/>
    <col min="16136" max="16136" width="19.5" style="2773" customWidth="1"/>
    <col min="16137" max="16137" width="8.625" style="2773" customWidth="1"/>
    <col min="16138" max="16138" width="10.5" style="2773" customWidth="1"/>
    <col min="16139" max="16139" width="4.875" style="2773" customWidth="1"/>
    <col min="16140" max="16140" width="16.375" style="2773" customWidth="1"/>
    <col min="16141" max="16144" width="8.125" style="2773" customWidth="1"/>
    <col min="16145" max="16384" width="9" style="2773"/>
  </cols>
  <sheetData>
    <row r="1" spans="1:16">
      <c r="A1" s="3327" t="s">
        <v>2905</v>
      </c>
      <c r="B1" s="3327"/>
      <c r="C1" s="3327"/>
      <c r="D1" s="3327"/>
      <c r="E1" s="3327"/>
      <c r="F1" s="3327"/>
      <c r="G1" s="3327"/>
      <c r="H1" s="3327"/>
      <c r="I1" s="3327"/>
      <c r="K1" s="3328" t="s">
        <v>2906</v>
      </c>
      <c r="L1" s="2770" t="s">
        <v>2907</v>
      </c>
      <c r="M1" s="2771">
        <v>0</v>
      </c>
      <c r="N1" s="2772"/>
      <c r="O1" s="2772"/>
    </row>
    <row r="2" spans="1:16" ht="15.75" customHeight="1">
      <c r="A2" s="2774" t="s">
        <v>2908</v>
      </c>
      <c r="B2" s="2775" t="s">
        <v>2909</v>
      </c>
      <c r="C2" s="3295" t="s">
        <v>2910</v>
      </c>
      <c r="D2" s="3296"/>
      <c r="E2" s="3296"/>
      <c r="F2" s="3297"/>
      <c r="G2" s="2776" t="s">
        <v>2911</v>
      </c>
      <c r="H2" s="3311" t="s">
        <v>2912</v>
      </c>
      <c r="I2" s="3311"/>
      <c r="K2" s="3328"/>
      <c r="L2" s="2770" t="s">
        <v>2913</v>
      </c>
      <c r="M2" s="2777" t="s">
        <v>2914</v>
      </c>
      <c r="N2" s="2778"/>
      <c r="O2" s="2778"/>
    </row>
    <row r="3" spans="1:16">
      <c r="A3" s="2779" t="s">
        <v>2915</v>
      </c>
      <c r="B3" s="2780" t="s">
        <v>2916</v>
      </c>
      <c r="C3" s="3295">
        <f>'比较法-售价'!B2</f>
        <v>11628146</v>
      </c>
      <c r="D3" s="3296"/>
      <c r="E3" s="3296"/>
      <c r="F3" s="3297"/>
      <c r="G3" s="2779" t="s">
        <v>2917</v>
      </c>
      <c r="H3" s="2840" t="s">
        <v>3040</v>
      </c>
      <c r="I3" s="2781">
        <f>项目基本情况!C12</f>
        <v>392.22</v>
      </c>
      <c r="K3" s="3328"/>
      <c r="L3" s="2770" t="s">
        <v>2918</v>
      </c>
      <c r="M3" s="2777" t="s">
        <v>2919</v>
      </c>
      <c r="N3" s="2778"/>
      <c r="O3" s="2782"/>
    </row>
    <row r="4" spans="1:16">
      <c r="A4" s="3298" t="s">
        <v>2920</v>
      </c>
      <c r="B4" s="3304" t="s">
        <v>2921</v>
      </c>
      <c r="C4" s="3329">
        <f>ROUND(C3*(I4-I6)/(1-((1+I6)/(1+I4))^I5),0)</f>
        <v>580467</v>
      </c>
      <c r="D4" s="3330"/>
      <c r="E4" s="3330"/>
      <c r="F4" s="3331"/>
      <c r="G4" s="3298" t="s">
        <v>2922</v>
      </c>
      <c r="H4" s="2783" t="s">
        <v>2923</v>
      </c>
      <c r="I4" s="2784">
        <v>0.06</v>
      </c>
      <c r="K4" s="3328"/>
      <c r="L4" s="2770" t="s">
        <v>2924</v>
      </c>
      <c r="M4" s="2785">
        <f>ROUND(1-(1-M1)*M2/M3,2)</f>
        <v>0.75</v>
      </c>
      <c r="N4" s="2778"/>
      <c r="O4" s="2778"/>
    </row>
    <row r="5" spans="1:16" s="2789" customFormat="1" ht="18" customHeight="1">
      <c r="A5" s="3298"/>
      <c r="B5" s="3304"/>
      <c r="C5" s="3332"/>
      <c r="D5" s="3333"/>
      <c r="E5" s="3333"/>
      <c r="F5" s="3334"/>
      <c r="G5" s="3298"/>
      <c r="H5" s="2780" t="s">
        <v>2925</v>
      </c>
      <c r="I5" s="2786">
        <f>'数据-取费表'!B13</f>
        <v>32</v>
      </c>
      <c r="J5" s="2787"/>
      <c r="K5" s="3328"/>
      <c r="L5" s="2770" t="s">
        <v>2926</v>
      </c>
      <c r="M5" s="2788">
        <v>0.5</v>
      </c>
      <c r="N5" s="2778"/>
      <c r="O5" s="2778"/>
    </row>
    <row r="6" spans="1:16" s="2789" customFormat="1" ht="18" customHeight="1">
      <c r="A6" s="3298"/>
      <c r="B6" s="3304"/>
      <c r="C6" s="3335"/>
      <c r="D6" s="3336"/>
      <c r="E6" s="3336"/>
      <c r="F6" s="3337"/>
      <c r="G6" s="3298"/>
      <c r="H6" s="2780" t="s">
        <v>2927</v>
      </c>
      <c r="I6" s="2784">
        <v>0.03</v>
      </c>
      <c r="J6" s="2790"/>
      <c r="K6" s="3338" t="s">
        <v>2928</v>
      </c>
      <c r="L6" s="2791" t="s">
        <v>2929</v>
      </c>
      <c r="M6" s="2792" t="s">
        <v>2930</v>
      </c>
      <c r="N6" s="2792" t="s">
        <v>2931</v>
      </c>
      <c r="O6" s="2792" t="s">
        <v>2932</v>
      </c>
      <c r="P6" s="2792" t="s">
        <v>2933</v>
      </c>
    </row>
    <row r="7" spans="1:16" s="2789" customFormat="1" ht="18" customHeight="1">
      <c r="A7" s="2779" t="s">
        <v>2934</v>
      </c>
      <c r="B7" s="2780" t="s">
        <v>2935</v>
      </c>
      <c r="C7" s="3295">
        <f ca="1">ROUND(C23*I7,0)</f>
        <v>2052632</v>
      </c>
      <c r="D7" s="3296"/>
      <c r="E7" s="3296"/>
      <c r="F7" s="3297"/>
      <c r="G7" s="2776" t="s">
        <v>2936</v>
      </c>
      <c r="H7" s="2780" t="s">
        <v>2937</v>
      </c>
      <c r="I7" s="2793">
        <f>'数据-取费表'!E20</f>
        <v>0.85</v>
      </c>
      <c r="K7" s="3338"/>
      <c r="L7" s="2791" t="s">
        <v>2938</v>
      </c>
      <c r="M7" s="2792">
        <v>100</v>
      </c>
      <c r="N7" s="2792" t="s">
        <v>2939</v>
      </c>
      <c r="O7" s="2792">
        <v>75</v>
      </c>
      <c r="P7" s="2794">
        <v>0.3</v>
      </c>
    </row>
    <row r="8" spans="1:16" s="2789" customFormat="1" ht="18" customHeight="1">
      <c r="A8" s="2774" t="s">
        <v>2940</v>
      </c>
      <c r="B8" s="2780" t="s">
        <v>2941</v>
      </c>
      <c r="C8" s="3295">
        <f>ROUND(I8*I3,0)</f>
        <v>1568880</v>
      </c>
      <c r="D8" s="3296"/>
      <c r="E8" s="3296"/>
      <c r="F8" s="3297"/>
      <c r="G8" s="2776" t="s">
        <v>2942</v>
      </c>
      <c r="H8" s="2780" t="s">
        <v>2943</v>
      </c>
      <c r="I8" s="2776">
        <f>'数据-取费表'!E17</f>
        <v>4000</v>
      </c>
      <c r="J8" s="2795">
        <f>D35</f>
        <v>12.6</v>
      </c>
      <c r="K8" s="3338"/>
      <c r="L8" s="2791" t="s">
        <v>2944</v>
      </c>
      <c r="M8" s="2792">
        <v>100</v>
      </c>
      <c r="N8" s="2792" t="s">
        <v>2945</v>
      </c>
      <c r="O8" s="2792">
        <f>O7</f>
        <v>75</v>
      </c>
      <c r="P8" s="2794">
        <v>0.5</v>
      </c>
    </row>
    <row r="9" spans="1:16" s="2789" customFormat="1" ht="18" customHeight="1">
      <c r="A9" s="2774" t="s">
        <v>2946</v>
      </c>
      <c r="B9" s="2780" t="s">
        <v>2947</v>
      </c>
      <c r="C9" s="3295">
        <f>ROUND(C8*H9,0)</f>
        <v>78444</v>
      </c>
      <c r="D9" s="3296"/>
      <c r="E9" s="3296"/>
      <c r="F9" s="3297"/>
      <c r="G9" s="2776" t="s">
        <v>2948</v>
      </c>
      <c r="H9" s="3324">
        <f>'数据-取费表'!E21</f>
        <v>0.05</v>
      </c>
      <c r="I9" s="3324"/>
      <c r="J9" s="2795">
        <f ca="1">D36</f>
        <v>7.7</v>
      </c>
      <c r="K9" s="3338"/>
      <c r="L9" s="2791" t="s">
        <v>2949</v>
      </c>
      <c r="M9" s="2792">
        <v>100</v>
      </c>
      <c r="N9" s="2792" t="s">
        <v>2945</v>
      </c>
      <c r="O9" s="2792">
        <f>O7</f>
        <v>75</v>
      </c>
      <c r="P9" s="2794">
        <f>1-P7-P8</f>
        <v>0.19999999999999996</v>
      </c>
    </row>
    <row r="10" spans="1:16" s="2789" customFormat="1" ht="18" customHeight="1">
      <c r="A10" s="2774" t="s">
        <v>2950</v>
      </c>
      <c r="B10" s="2780" t="s">
        <v>2951</v>
      </c>
      <c r="C10" s="3295">
        <f>ROUND(C8*H10,0)</f>
        <v>0</v>
      </c>
      <c r="D10" s="3296"/>
      <c r="E10" s="3296"/>
      <c r="F10" s="3297"/>
      <c r="G10" s="2776" t="s">
        <v>2948</v>
      </c>
      <c r="H10" s="3324">
        <v>0</v>
      </c>
      <c r="I10" s="3324"/>
      <c r="J10" s="2795">
        <f ca="1">D37</f>
        <v>11.1</v>
      </c>
      <c r="K10" s="3338"/>
      <c r="L10" s="2796" t="s">
        <v>2952</v>
      </c>
      <c r="M10" s="2797">
        <f>1-M5</f>
        <v>0.5</v>
      </c>
      <c r="N10" s="2792" t="s">
        <v>2953</v>
      </c>
      <c r="O10" s="2798">
        <f>ROUND((O7*P7+O8*P8+O9*P9)/100,2)</f>
        <v>0.75</v>
      </c>
      <c r="P10" s="2799"/>
    </row>
    <row r="11" spans="1:16" s="2789" customFormat="1" ht="29.25" customHeight="1">
      <c r="A11" s="2774" t="s">
        <v>2954</v>
      </c>
      <c r="B11" s="2780" t="s">
        <v>2955</v>
      </c>
      <c r="C11" s="3295">
        <f>ROUND(I11*I3,0)</f>
        <v>78444</v>
      </c>
      <c r="D11" s="3296"/>
      <c r="E11" s="3296"/>
      <c r="F11" s="3297"/>
      <c r="G11" s="2776" t="s">
        <v>2956</v>
      </c>
      <c r="H11" s="2780" t="s">
        <v>2957</v>
      </c>
      <c r="I11" s="2776">
        <v>200</v>
      </c>
      <c r="J11" s="2787"/>
      <c r="K11" s="2800"/>
      <c r="L11" s="2800"/>
    </row>
    <row r="12" spans="1:16" s="2789" customFormat="1" ht="18" customHeight="1">
      <c r="A12" s="2774" t="s">
        <v>2958</v>
      </c>
      <c r="B12" s="2780" t="s">
        <v>2959</v>
      </c>
      <c r="C12" s="3295">
        <f>ROUND(C8*H12,0)</f>
        <v>23533</v>
      </c>
      <c r="D12" s="3296"/>
      <c r="E12" s="3296"/>
      <c r="F12" s="3297"/>
      <c r="G12" s="2776" t="s">
        <v>2948</v>
      </c>
      <c r="H12" s="3324">
        <f>'数据-取费表'!E24</f>
        <v>1.4999999999999999E-2</v>
      </c>
      <c r="I12" s="3324"/>
      <c r="J12" s="2801" t="s">
        <v>2960</v>
      </c>
      <c r="L12" s="2802"/>
    </row>
    <row r="13" spans="1:16" s="2789" customFormat="1" ht="18" customHeight="1">
      <c r="A13" s="2774" t="s">
        <v>2878</v>
      </c>
      <c r="B13" s="2780" t="s">
        <v>2961</v>
      </c>
      <c r="C13" s="3295">
        <f>SUM(C8:F12)</f>
        <v>1749301</v>
      </c>
      <c r="D13" s="3296"/>
      <c r="E13" s="3296"/>
      <c r="F13" s="3297"/>
      <c r="G13" s="3311" t="s">
        <v>2962</v>
      </c>
      <c r="H13" s="3311"/>
      <c r="I13" s="3311"/>
      <c r="J13" s="2801" t="s">
        <v>2963</v>
      </c>
      <c r="L13" s="2802"/>
    </row>
    <row r="14" spans="1:16" s="2789" customFormat="1" ht="18" customHeight="1">
      <c r="A14" s="2774" t="s">
        <v>2964</v>
      </c>
      <c r="B14" s="2780" t="s">
        <v>2965</v>
      </c>
      <c r="C14" s="3295">
        <f>ROUND(C13*H14,0)</f>
        <v>34986</v>
      </c>
      <c r="D14" s="3296"/>
      <c r="E14" s="3296"/>
      <c r="F14" s="3297"/>
      <c r="G14" s="2776" t="s">
        <v>2966</v>
      </c>
      <c r="H14" s="3324">
        <f>'数据-取费表'!E25</f>
        <v>0.02</v>
      </c>
      <c r="I14" s="3324"/>
      <c r="J14" s="2787"/>
      <c r="L14" s="2802"/>
    </row>
    <row r="15" spans="1:16" s="2789" customFormat="1" ht="18" customHeight="1">
      <c r="A15" s="2774" t="s">
        <v>2967</v>
      </c>
      <c r="B15" s="2780" t="s">
        <v>2968</v>
      </c>
      <c r="C15" s="3312">
        <f>H15</f>
        <v>0.02</v>
      </c>
      <c r="D15" s="3313"/>
      <c r="E15" s="3322" t="str">
        <f>E18</f>
        <v>V</v>
      </c>
      <c r="F15" s="3323"/>
      <c r="G15" s="2776" t="s">
        <v>2969</v>
      </c>
      <c r="H15" s="3324">
        <f>'数据-取费表'!E26</f>
        <v>0.02</v>
      </c>
      <c r="I15" s="3324"/>
      <c r="J15" s="2803"/>
      <c r="K15" s="2804"/>
    </row>
    <row r="16" spans="1:16" s="2789" customFormat="1" ht="18" customHeight="1">
      <c r="A16" s="2805" t="s">
        <v>2970</v>
      </c>
      <c r="B16" s="2806" t="s">
        <v>2971</v>
      </c>
      <c r="C16" s="2807">
        <f ca="1">C17</f>
        <v>84754</v>
      </c>
      <c r="D16" s="2808" t="s">
        <v>2972</v>
      </c>
      <c r="E16" s="2809">
        <f ca="1">C18</f>
        <v>9.5E-4</v>
      </c>
      <c r="F16" s="2810" t="str">
        <f>E18</f>
        <v>V</v>
      </c>
      <c r="G16" s="3295" t="s">
        <v>2973</v>
      </c>
      <c r="H16" s="3296"/>
      <c r="I16" s="3297"/>
      <c r="J16" s="2787"/>
      <c r="K16" s="2800"/>
    </row>
    <row r="17" spans="1:12" s="2789" customFormat="1" ht="18" customHeight="1">
      <c r="A17" s="2774" t="s">
        <v>2974</v>
      </c>
      <c r="B17" s="2780" t="s">
        <v>2975</v>
      </c>
      <c r="C17" s="3295">
        <f ca="1">ROUND((C13+C14)*I18*(I17/2),0)</f>
        <v>84754</v>
      </c>
      <c r="D17" s="3296"/>
      <c r="E17" s="3296"/>
      <c r="F17" s="3297"/>
      <c r="G17" s="2807" t="s">
        <v>2976</v>
      </c>
      <c r="H17" s="2780" t="s">
        <v>2977</v>
      </c>
      <c r="I17" s="2811">
        <f>'数据-取费表'!B21</f>
        <v>2</v>
      </c>
      <c r="J17" s="2801" t="s">
        <v>2978</v>
      </c>
      <c r="K17" s="2800"/>
      <c r="L17" s="2800"/>
    </row>
    <row r="18" spans="1:12" s="2789" customFormat="1" ht="18" customHeight="1">
      <c r="A18" s="2774" t="s">
        <v>2979</v>
      </c>
      <c r="B18" s="2780" t="s">
        <v>2980</v>
      </c>
      <c r="C18" s="3325">
        <f ca="1">H15*I18*I17/2</f>
        <v>9.5E-4</v>
      </c>
      <c r="D18" s="3326"/>
      <c r="E18" s="3322" t="s">
        <v>2981</v>
      </c>
      <c r="F18" s="3323"/>
      <c r="G18" s="2807" t="s">
        <v>2982</v>
      </c>
      <c r="H18" s="2780" t="s">
        <v>2983</v>
      </c>
      <c r="I18" s="2812">
        <f ca="1">'数据-取费表'!E27</f>
        <v>4.7500000000000001E-2</v>
      </c>
      <c r="J18" s="2801" t="s">
        <v>2984</v>
      </c>
      <c r="K18" s="2800"/>
      <c r="L18" s="2800"/>
    </row>
    <row r="19" spans="1:12" s="2789" customFormat="1" ht="27" customHeight="1">
      <c r="A19" s="2774" t="s">
        <v>2985</v>
      </c>
      <c r="B19" s="2780" t="s">
        <v>2986</v>
      </c>
      <c r="C19" s="2807">
        <f>C20</f>
        <v>356857</v>
      </c>
      <c r="D19" s="2808" t="s">
        <v>2972</v>
      </c>
      <c r="E19" s="2808">
        <f>C21</f>
        <v>4.0000000000000001E-3</v>
      </c>
      <c r="F19" s="2810" t="str">
        <f>E21</f>
        <v>V</v>
      </c>
      <c r="G19" s="3295" t="s">
        <v>2987</v>
      </c>
      <c r="H19" s="3296"/>
      <c r="I19" s="3297"/>
      <c r="J19" s="2787"/>
      <c r="K19" s="2800"/>
      <c r="L19" s="2800"/>
    </row>
    <row r="20" spans="1:12" s="2789" customFormat="1" ht="26.25" customHeight="1">
      <c r="A20" s="2774" t="s">
        <v>2988</v>
      </c>
      <c r="B20" s="2780" t="s">
        <v>2989</v>
      </c>
      <c r="C20" s="3295">
        <f>ROUND((C13+C14)*I20,0)</f>
        <v>356857</v>
      </c>
      <c r="D20" s="3296"/>
      <c r="E20" s="3296"/>
      <c r="F20" s="3297"/>
      <c r="G20" s="2776" t="s">
        <v>2990</v>
      </c>
      <c r="H20" s="3317" t="s">
        <v>2991</v>
      </c>
      <c r="I20" s="3319">
        <f>'数据-取费表'!E28</f>
        <v>0.2</v>
      </c>
      <c r="J20" s="2801" t="s">
        <v>2992</v>
      </c>
      <c r="K20" s="2800"/>
      <c r="L20" s="2800"/>
    </row>
    <row r="21" spans="1:12" s="2789" customFormat="1" ht="27" customHeight="1">
      <c r="A21" s="2774" t="s">
        <v>2988</v>
      </c>
      <c r="B21" s="2780" t="s">
        <v>2993</v>
      </c>
      <c r="C21" s="3320">
        <f>H15*I20</f>
        <v>4.0000000000000001E-3</v>
      </c>
      <c r="D21" s="3321"/>
      <c r="E21" s="3322" t="s">
        <v>2981</v>
      </c>
      <c r="F21" s="3323"/>
      <c r="G21" s="2776" t="s">
        <v>2994</v>
      </c>
      <c r="H21" s="3318"/>
      <c r="I21" s="3319"/>
      <c r="J21" s="2787"/>
      <c r="K21" s="2800"/>
      <c r="L21" s="2800"/>
    </row>
    <row r="22" spans="1:12" s="2789" customFormat="1" ht="18" customHeight="1">
      <c r="A22" s="2774" t="s">
        <v>2995</v>
      </c>
      <c r="B22" s="2780" t="s">
        <v>2996</v>
      </c>
      <c r="C22" s="3320">
        <f>ROUND(H22/1.05,4)</f>
        <v>5.33E-2</v>
      </c>
      <c r="D22" s="3321"/>
      <c r="E22" s="3322" t="s">
        <v>2997</v>
      </c>
      <c r="F22" s="3323"/>
      <c r="G22" s="2776" t="s">
        <v>2998</v>
      </c>
      <c r="H22" s="3324">
        <f>'数据-取费表'!E29</f>
        <v>5.6000000000000001E-2</v>
      </c>
      <c r="I22" s="3324"/>
      <c r="J22" s="2813"/>
      <c r="K22" s="2800"/>
      <c r="L22" s="2800"/>
    </row>
    <row r="23" spans="1:12" s="2789" customFormat="1" ht="18" customHeight="1">
      <c r="A23" s="2774" t="s">
        <v>2999</v>
      </c>
      <c r="B23" s="2780" t="s">
        <v>3000</v>
      </c>
      <c r="C23" s="3295">
        <f ca="1">ROUND((C13+C14+C17+C20)/(1-H15-C18-C21-C22),0)</f>
        <v>2414861</v>
      </c>
      <c r="D23" s="3296"/>
      <c r="E23" s="3296"/>
      <c r="F23" s="3297"/>
      <c r="G23" s="3295" t="s">
        <v>3001</v>
      </c>
      <c r="H23" s="3296"/>
      <c r="I23" s="3297"/>
      <c r="J23" s="2813"/>
      <c r="K23" s="2800"/>
      <c r="L23" s="2800"/>
    </row>
    <row r="24" spans="1:12" s="2789" customFormat="1" ht="18" customHeight="1">
      <c r="A24" s="2774" t="s">
        <v>3002</v>
      </c>
      <c r="B24" s="2780" t="s">
        <v>3003</v>
      </c>
      <c r="C24" s="2814">
        <f ca="1">C26+C27</f>
        <v>78604</v>
      </c>
      <c r="D24" s="2815" t="s">
        <v>3004</v>
      </c>
      <c r="E24" s="3314">
        <f>H25+H28</f>
        <v>0.20330000000000001</v>
      </c>
      <c r="F24" s="3315"/>
      <c r="G24" s="3311" t="s">
        <v>3005</v>
      </c>
      <c r="H24" s="3311"/>
      <c r="I24" s="3311"/>
      <c r="J24" s="2813"/>
      <c r="K24" s="2800"/>
      <c r="L24" s="2800"/>
    </row>
    <row r="25" spans="1:12" s="2789" customFormat="1" ht="18" customHeight="1">
      <c r="A25" s="2774" t="s">
        <v>3006</v>
      </c>
      <c r="B25" s="2780" t="s">
        <v>3007</v>
      </c>
      <c r="C25" s="3312" t="s">
        <v>3008</v>
      </c>
      <c r="D25" s="3313"/>
      <c r="E25" s="3314">
        <f>H25</f>
        <v>0.17330000000000001</v>
      </c>
      <c r="F25" s="3315"/>
      <c r="G25" s="2776" t="s">
        <v>3009</v>
      </c>
      <c r="H25" s="3294">
        <f>ROUND(H22/1.05+12%,4)</f>
        <v>0.17330000000000001</v>
      </c>
      <c r="I25" s="3294"/>
      <c r="J25" s="2803"/>
      <c r="K25" s="2800"/>
      <c r="L25" s="2800"/>
    </row>
    <row r="26" spans="1:12" s="2789" customFormat="1" ht="18" customHeight="1">
      <c r="A26" s="2774" t="s">
        <v>2964</v>
      </c>
      <c r="B26" s="2780" t="s">
        <v>3010</v>
      </c>
      <c r="C26" s="3295">
        <f ca="1">ROUND(C23*H26,0)</f>
        <v>72446</v>
      </c>
      <c r="D26" s="3296"/>
      <c r="E26" s="3296"/>
      <c r="F26" s="3297"/>
      <c r="G26" s="2776" t="s">
        <v>3011</v>
      </c>
      <c r="H26" s="3294">
        <v>0.03</v>
      </c>
      <c r="I26" s="3294"/>
      <c r="J26" s="2803"/>
      <c r="K26" s="2800"/>
      <c r="L26" s="2800"/>
    </row>
    <row r="27" spans="1:12" s="2789" customFormat="1" ht="18" customHeight="1">
      <c r="A27" s="2774" t="s">
        <v>2967</v>
      </c>
      <c r="B27" s="2780" t="s">
        <v>3012</v>
      </c>
      <c r="C27" s="3295">
        <f ca="1">ROUND(C7*H27,0)</f>
        <v>6158</v>
      </c>
      <c r="D27" s="3296"/>
      <c r="E27" s="3296"/>
      <c r="F27" s="3297"/>
      <c r="G27" s="2776" t="s">
        <v>3013</v>
      </c>
      <c r="H27" s="3316">
        <v>3.0000000000000001E-3</v>
      </c>
      <c r="I27" s="3316"/>
      <c r="J27" s="2787"/>
      <c r="K27" s="2800"/>
      <c r="L27" s="2800"/>
    </row>
    <row r="28" spans="1:12" s="2789" customFormat="1" ht="18" customHeight="1">
      <c r="A28" s="2774" t="s">
        <v>2970</v>
      </c>
      <c r="B28" s="2780" t="s">
        <v>3014</v>
      </c>
      <c r="C28" s="3312" t="s">
        <v>3015</v>
      </c>
      <c r="D28" s="3313"/>
      <c r="E28" s="3314">
        <f>H28</f>
        <v>0.03</v>
      </c>
      <c r="F28" s="3315"/>
      <c r="G28" s="2776" t="s">
        <v>3016</v>
      </c>
      <c r="H28" s="3294">
        <v>0.03</v>
      </c>
      <c r="I28" s="3294"/>
      <c r="J28" s="2816"/>
      <c r="K28" s="2800"/>
      <c r="L28" s="2800"/>
    </row>
    <row r="29" spans="1:12" s="2789" customFormat="1" ht="18" customHeight="1">
      <c r="A29" s="2779" t="s">
        <v>3017</v>
      </c>
      <c r="B29" s="2780" t="s">
        <v>3018</v>
      </c>
      <c r="C29" s="3295">
        <f ca="1">ROUND((C4+C24)/(1-E24),0)</f>
        <v>827251</v>
      </c>
      <c r="D29" s="3296"/>
      <c r="E29" s="3296"/>
      <c r="F29" s="3297"/>
      <c r="G29" s="3298" t="s">
        <v>3019</v>
      </c>
      <c r="H29" s="3298"/>
      <c r="I29" s="3298"/>
      <c r="J29" s="2817" t="s">
        <v>3020</v>
      </c>
      <c r="K29" s="2800"/>
      <c r="L29" s="2800"/>
    </row>
    <row r="30" spans="1:12" s="2789" customFormat="1" ht="18" customHeight="1">
      <c r="A30" s="3298" t="s">
        <v>3021</v>
      </c>
      <c r="B30" s="3304" t="s">
        <v>3022</v>
      </c>
      <c r="C30" s="3305">
        <f ca="1">ROUND(C29/I30/I31/I3,2)</f>
        <v>7.7</v>
      </c>
      <c r="D30" s="3306"/>
      <c r="E30" s="3306"/>
      <c r="F30" s="3307"/>
      <c r="G30" s="3311" t="s">
        <v>3023</v>
      </c>
      <c r="H30" s="2780" t="s">
        <v>3024</v>
      </c>
      <c r="I30" s="2776">
        <v>365</v>
      </c>
      <c r="J30" s="2818"/>
      <c r="K30" s="2800"/>
      <c r="L30" s="2800"/>
    </row>
    <row r="31" spans="1:12" s="2789" customFormat="1" ht="18" customHeight="1">
      <c r="A31" s="3298"/>
      <c r="B31" s="3304"/>
      <c r="C31" s="3308"/>
      <c r="D31" s="3309"/>
      <c r="E31" s="3309"/>
      <c r="F31" s="3310"/>
      <c r="G31" s="3311"/>
      <c r="H31" s="2780" t="s">
        <v>3025</v>
      </c>
      <c r="I31" s="2819">
        <v>0.75</v>
      </c>
      <c r="J31" s="2820"/>
      <c r="K31" s="2800"/>
      <c r="L31" s="2800"/>
    </row>
    <row r="32" spans="1:12" s="2789" customFormat="1" ht="18" customHeight="1">
      <c r="A32" s="2773"/>
      <c r="B32" s="2821"/>
      <c r="C32" s="2822"/>
      <c r="D32" s="2822"/>
      <c r="E32" s="2822"/>
      <c r="F32" s="2822"/>
      <c r="G32" s="2823"/>
      <c r="H32" s="2824"/>
      <c r="I32" s="2773"/>
      <c r="J32" s="2825"/>
      <c r="K32" s="2800"/>
      <c r="L32" s="2800"/>
    </row>
    <row r="33" spans="1:13" s="2789" customFormat="1" ht="18" customHeight="1">
      <c r="A33" s="2773"/>
      <c r="B33" s="3300" t="s">
        <v>3172</v>
      </c>
      <c r="C33" s="3300"/>
      <c r="D33" s="3300"/>
      <c r="E33" s="3300"/>
      <c r="F33" s="3300"/>
      <c r="G33" s="2826"/>
      <c r="H33" s="2827"/>
      <c r="I33" s="2773"/>
      <c r="J33" s="2787"/>
      <c r="K33" s="2800"/>
      <c r="L33" s="2800"/>
      <c r="M33" s="2773"/>
    </row>
    <row r="34" spans="1:13" s="2789" customFormat="1" ht="18" customHeight="1">
      <c r="A34" s="2773"/>
      <c r="B34" s="2828" t="s">
        <v>3026</v>
      </c>
      <c r="C34" s="2829" t="s">
        <v>2933</v>
      </c>
      <c r="D34" s="3301" t="s">
        <v>3027</v>
      </c>
      <c r="E34" s="3301"/>
      <c r="F34" s="3301"/>
      <c r="G34" s="2826"/>
      <c r="H34" s="2827"/>
      <c r="I34" s="2773"/>
      <c r="J34" s="2813"/>
      <c r="K34" s="2773"/>
      <c r="L34" s="2773"/>
      <c r="M34" s="2773"/>
    </row>
    <row r="35" spans="1:13">
      <c r="B35" s="2828" t="s">
        <v>3028</v>
      </c>
      <c r="C35" s="2830">
        <v>0.7</v>
      </c>
      <c r="D35" s="3302">
        <f>'比较法-租金'!C49</f>
        <v>12.6</v>
      </c>
      <c r="E35" s="3302"/>
      <c r="F35" s="3302"/>
      <c r="G35" s="2826">
        <f ca="1">(D35-D36)/D36</f>
        <v>0.63636363636363624</v>
      </c>
      <c r="H35" s="2827"/>
      <c r="K35" s="2773"/>
      <c r="L35" s="2773"/>
    </row>
    <row r="36" spans="1:13" ht="20.100000000000001" customHeight="1">
      <c r="B36" s="2828" t="s">
        <v>3029</v>
      </c>
      <c r="C36" s="2830">
        <f>1-C35</f>
        <v>0.30000000000000004</v>
      </c>
      <c r="D36" s="3302">
        <f ca="1">C30</f>
        <v>7.7</v>
      </c>
      <c r="E36" s="3302"/>
      <c r="F36" s="3302"/>
      <c r="G36" s="2826"/>
      <c r="H36" s="2827"/>
      <c r="J36" s="2773"/>
      <c r="K36" s="2773"/>
      <c r="L36" s="2773"/>
    </row>
    <row r="37" spans="1:13" ht="22.5" customHeight="1">
      <c r="B37" s="3303" t="s">
        <v>3030</v>
      </c>
      <c r="C37" s="3303"/>
      <c r="D37" s="3299">
        <f ca="1">ROUND(C35*D35+C36*D36,1)</f>
        <v>11.1</v>
      </c>
      <c r="E37" s="3299"/>
      <c r="F37" s="3299"/>
      <c r="G37" s="2826"/>
      <c r="H37" s="2827"/>
      <c r="J37" s="2773"/>
      <c r="K37" s="2773"/>
      <c r="L37" s="2773"/>
    </row>
    <row r="38" spans="1:13" ht="22.5" customHeight="1">
      <c r="B38" s="2828" t="s">
        <v>3031</v>
      </c>
      <c r="C38" s="2828">
        <f ca="1">ROUND(D37*0.9,1)</f>
        <v>10</v>
      </c>
      <c r="D38" s="2831" t="s">
        <v>3032</v>
      </c>
      <c r="E38" s="3299">
        <f ca="1">ROUND(D37*1.1,1)</f>
        <v>12.2</v>
      </c>
      <c r="F38" s="3299"/>
      <c r="G38" s="2826" t="s">
        <v>3033</v>
      </c>
      <c r="H38" s="2832">
        <v>12.8</v>
      </c>
      <c r="J38" s="2773"/>
      <c r="K38" s="2773"/>
      <c r="L38" s="2773"/>
    </row>
    <row r="39" spans="1:13" ht="18" customHeight="1">
      <c r="B39" s="2828" t="s">
        <v>3034</v>
      </c>
      <c r="C39" s="2828">
        <f ca="1">ROUND(C38+H39,1)</f>
        <v>11.8</v>
      </c>
      <c r="D39" s="2831" t="s">
        <v>3032</v>
      </c>
      <c r="E39" s="3299">
        <f ca="1">ROUND(E38+H39,1)</f>
        <v>14</v>
      </c>
      <c r="F39" s="3299"/>
      <c r="G39" s="2833" t="s">
        <v>3035</v>
      </c>
      <c r="H39" s="2833">
        <v>1.8</v>
      </c>
      <c r="J39" s="2773"/>
      <c r="K39" s="2773"/>
      <c r="L39" s="2773"/>
    </row>
    <row r="40" spans="1:13" ht="18" customHeight="1">
      <c r="B40" s="2834"/>
      <c r="C40" s="2835"/>
      <c r="D40" s="2836"/>
      <c r="E40" s="2836"/>
      <c r="F40" s="2836"/>
      <c r="G40" s="2826"/>
      <c r="H40" s="2827"/>
      <c r="J40" s="2773"/>
    </row>
    <row r="41" spans="1:13" ht="18" customHeight="1">
      <c r="B41" s="2826" t="s">
        <v>3036</v>
      </c>
      <c r="C41" s="2836"/>
      <c r="D41" s="2836"/>
      <c r="E41" s="2826" t="s">
        <v>3037</v>
      </c>
      <c r="F41" s="2836"/>
      <c r="G41" s="2826"/>
      <c r="H41" s="2826" t="s">
        <v>3038</v>
      </c>
      <c r="J41" s="2773"/>
    </row>
    <row r="42" spans="1:13" ht="29.25" customHeight="1"/>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46" type="noConversion"/>
  <pageMargins left="0.7" right="0.7" top="0.75" bottom="0.75" header="0.3" footer="0.3"/>
  <pageSetup paperSize="9" scale="86" orientation="portrait"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44134</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159</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比较法-租金</vt:lpstr>
      <vt:lpstr>比较法-办公</vt:lpstr>
      <vt:lpstr>比较法-工业</vt:lpstr>
      <vt:lpstr>比较法-车位</vt:lpstr>
      <vt:lpstr>比较法-仓储</vt:lpstr>
      <vt:lpstr>土地比较法-住宅、综合</vt:lpstr>
      <vt:lpstr>土地比较法-工业</vt:lpstr>
      <vt:lpstr>比较法租金</vt:lpstr>
      <vt:lpstr>租金案例</vt:lpstr>
      <vt:lpstr>比较法-售价</vt:lpstr>
      <vt:lpstr>售价案例</vt:lpstr>
      <vt:lpstr>成本法</vt:lpstr>
      <vt:lpstr>基准地价修正</vt:lpstr>
      <vt:lpstr>因素修正幅度</vt:lpstr>
      <vt:lpstr>基准地价修正-因素</vt:lpstr>
      <vt:lpstr>区片价</vt:lpstr>
      <vt:lpstr>修正</vt:lpstr>
      <vt:lpstr>容积率修正</vt:lpstr>
      <vt:lpstr>地价</vt:lpstr>
      <vt:lpstr>收益法 (倒)</vt:lpstr>
      <vt:lpstr>存贷款利率</vt:lpstr>
      <vt:lpstr>收益法!Print_Area</vt:lpstr>
      <vt:lpstr>'收益法 (倒)'!Print_Area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'比较法-售价'!商业层高</vt:lpstr>
      <vt:lpstr>商业层高</vt:lpstr>
      <vt:lpstr>'比较法-售价'!商业成新度</vt:lpstr>
      <vt:lpstr>商业成新度</vt:lpstr>
      <vt:lpstr>商业繁华度</vt:lpstr>
      <vt:lpstr>'比较法-售价'!商业公共部分装修</vt:lpstr>
      <vt:lpstr>商业公共部分装修</vt:lpstr>
      <vt:lpstr>'比较法-售价'!商业基础设施水平</vt:lpstr>
      <vt:lpstr>商业基础设施水平</vt:lpstr>
      <vt:lpstr>'比较法-售价'!商业建筑结构</vt:lpstr>
      <vt:lpstr>商业建筑结构</vt:lpstr>
      <vt:lpstr>'比较法-售价'!商业交易情况</vt:lpstr>
      <vt:lpstr>商业交易情况</vt:lpstr>
      <vt:lpstr>商业街名称</vt:lpstr>
      <vt:lpstr>'比较法-售价'!商业进深比</vt:lpstr>
      <vt:lpstr>商业进深比</vt:lpstr>
      <vt:lpstr>'比较法-售价'!商业类型</vt:lpstr>
      <vt:lpstr>商业类型</vt:lpstr>
      <vt:lpstr>'比较法-售价'!商业临街状况</vt:lpstr>
      <vt:lpstr>商业临街状况</vt:lpstr>
      <vt:lpstr>'比较法-售价'!商业楼层</vt:lpstr>
      <vt:lpstr>商业楼层</vt:lpstr>
      <vt:lpstr>'比较法-售价'!商业内部装修</vt:lpstr>
      <vt:lpstr>商业内部装修</vt:lpstr>
      <vt:lpstr>'比较法-售价'!商业人流量</vt:lpstr>
      <vt:lpstr>商业人流量</vt:lpstr>
      <vt:lpstr>'比较法-售价'!商业业态</vt:lpstr>
      <vt:lpstr>商业业态</vt:lpstr>
      <vt:lpstr>'比较法-售价'!商业用途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2019-07-15T08:24:43Z</cp:lastPrinted>
  <dcterms:created xsi:type="dcterms:W3CDTF">2015-07-13T07:17:23Z</dcterms:created>
  <dcterms:modified xsi:type="dcterms:W3CDTF">2020-11-09T05:00:54Z</dcterms:modified>
</cp:coreProperties>
</file>