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4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土地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3" i="69" l="1"/>
  <c r="I48" i="39" s="1"/>
  <c r="L8" i="69"/>
  <c r="L3" i="69"/>
  <c r="I40" i="39"/>
  <c r="I9" i="39"/>
  <c r="I7" i="39"/>
  <c r="G48" i="39"/>
  <c r="G40" i="39"/>
  <c r="E40" i="39"/>
  <c r="G9" i="39"/>
  <c r="G7" i="39"/>
  <c r="E9" i="39"/>
  <c r="E7" i="39"/>
  <c r="I13" i="3"/>
  <c r="E48" i="39" l="1"/>
  <c r="L20" i="1"/>
  <c r="C40" i="39"/>
  <c r="F19" i="6" l="1"/>
  <c r="AH5" i="59" l="1"/>
  <c r="AG5" i="59"/>
  <c r="AE5" i="59"/>
  <c r="AF5" i="59" s="1"/>
  <c r="AD5" i="59"/>
  <c r="Q5" i="59"/>
  <c r="P5" i="59"/>
  <c r="O5" i="59"/>
  <c r="N5" i="59"/>
  <c r="AH6" i="59" l="1"/>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F25" i="12"/>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M19" i="46"/>
  <c r="J50" i="15"/>
  <c r="J51" i="15" s="1"/>
  <c r="D21" i="59"/>
  <c r="AH19" i="59"/>
  <c r="AG19" i="59"/>
  <c r="AE19" i="59"/>
  <c r="AF19" i="59" s="1"/>
  <c r="AD19" i="59"/>
  <c r="AE20" i="59"/>
  <c r="AF20" i="59"/>
  <c r="AG20" i="59"/>
  <c r="AH20" i="59"/>
  <c r="AD20" i="59"/>
  <c r="Q20" i="59"/>
  <c r="P20" i="59"/>
  <c r="O20" i="59"/>
  <c r="N20" i="59"/>
  <c r="N21" i="59"/>
  <c r="Q21" i="59"/>
  <c r="P21" i="59"/>
  <c r="O21" i="59"/>
  <c r="K59" i="15"/>
  <c r="P62" i="15" s="1"/>
  <c r="Q74" i="44"/>
  <c r="Q61" i="44"/>
  <c r="Q60" i="44"/>
  <c r="Q53" i="44"/>
  <c r="J51" i="44"/>
  <c r="J52" i="44" s="1"/>
  <c r="M48" i="44"/>
  <c r="A16" i="55"/>
  <c r="A15" i="55"/>
  <c r="B66" i="63" s="1"/>
  <c r="A10" i="55"/>
  <c r="B61" i="63" s="1"/>
  <c r="A9" i="55"/>
  <c r="B60" i="63" s="1"/>
  <c r="A8" i="55"/>
  <c r="A6" i="54"/>
  <c r="A8" i="54"/>
  <c r="A7" i="54"/>
  <c r="A27" i="51"/>
  <c r="B20" i="63" s="1"/>
  <c r="Q22" i="59"/>
  <c r="O22" i="59"/>
  <c r="N23" i="59"/>
  <c r="O23" i="59"/>
  <c r="P23" i="59"/>
  <c r="Q23" i="59"/>
  <c r="N22" i="59"/>
  <c r="P22" i="59"/>
  <c r="K75" i="9"/>
  <c r="K6" i="4"/>
  <c r="O76" i="9"/>
  <c r="L76" i="9"/>
  <c r="K76" i="9"/>
  <c r="B22" i="31"/>
  <c r="E15" i="66"/>
  <c r="F15" i="66"/>
  <c r="E16" i="66"/>
  <c r="F16" i="66"/>
  <c r="E17" i="66"/>
  <c r="F17" i="66"/>
  <c r="E18" i="66"/>
  <c r="F18" i="66"/>
  <c r="E19" i="66"/>
  <c r="F19" i="66"/>
  <c r="E20" i="66"/>
  <c r="F20" i="66"/>
  <c r="E21" i="66"/>
  <c r="F21" i="66"/>
  <c r="E22" i="66"/>
  <c r="F22" i="66"/>
  <c r="E23" i="66"/>
  <c r="F23" i="66"/>
  <c r="B3" i="66"/>
  <c r="B20" i="59"/>
  <c r="B19" i="59"/>
  <c r="B18" i="59" s="1"/>
  <c r="E20" i="59"/>
  <c r="E19" i="59" s="1"/>
  <c r="E18" i="59"/>
  <c r="E17" i="59" s="1"/>
  <c r="E16" i="59" s="1"/>
  <c r="E15" i="59" s="1"/>
  <c r="E14" i="59" s="1"/>
  <c r="E13" i="59" s="1"/>
  <c r="F20" i="59"/>
  <c r="V20" i="59" s="1"/>
  <c r="U20" i="59"/>
  <c r="S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4" i="59"/>
  <c r="P24" i="59"/>
  <c r="E24" i="59" s="1"/>
  <c r="E23" i="59" s="1"/>
  <c r="E22" i="59" s="1"/>
  <c r="O24" i="59"/>
  <c r="N24" i="59"/>
  <c r="B24" i="59" s="1"/>
  <c r="B23" i="59" s="1"/>
  <c r="B22" i="59" s="1"/>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Q76" i="59"/>
  <c r="P76" i="59"/>
  <c r="O76" i="59"/>
  <c r="N76" i="59"/>
  <c r="F76" i="59"/>
  <c r="V76" i="59" s="1"/>
  <c r="E76" i="59"/>
  <c r="U76" i="59" s="1"/>
  <c r="C76" i="59"/>
  <c r="T76" i="59" s="1"/>
  <c r="B76" i="59"/>
  <c r="S76" i="59" s="1"/>
  <c r="Q75" i="59"/>
  <c r="P75" i="59"/>
  <c r="O75" i="59"/>
  <c r="N75" i="59"/>
  <c r="F75" i="59"/>
  <c r="F74" i="59" s="1"/>
  <c r="B75" i="59"/>
  <c r="B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F64" i="59"/>
  <c r="V64" i="59"/>
  <c r="E64" i="59"/>
  <c r="E63" i="59"/>
  <c r="P63" i="59" s="1"/>
  <c r="C64" i="59"/>
  <c r="B64" i="59"/>
  <c r="N64" i="59" s="1"/>
  <c r="F63" i="59"/>
  <c r="F62" i="59" s="1"/>
  <c r="B63" i="59"/>
  <c r="N63"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s="1"/>
  <c r="F55"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c r="F48" i="59" s="1"/>
  <c r="V48" i="59" s="1"/>
  <c r="P45" i="59"/>
  <c r="E46" i="59"/>
  <c r="E47" i="59" s="1"/>
  <c r="O45" i="59"/>
  <c r="C46" i="59"/>
  <c r="D46" i="59" s="1"/>
  <c r="N45" i="59"/>
  <c r="B46" i="59"/>
  <c r="D45" i="59"/>
  <c r="T44" i="59"/>
  <c r="Q44" i="59"/>
  <c r="P44" i="59"/>
  <c r="O44" i="59"/>
  <c r="N44" i="59"/>
  <c r="D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C39" i="59" s="1"/>
  <c r="N37" i="59"/>
  <c r="B38" i="59" s="1"/>
  <c r="B39" i="59" s="1"/>
  <c r="B40" i="59" s="1"/>
  <c r="S40" i="59" s="1"/>
  <c r="D37" i="59"/>
  <c r="Q36" i="59"/>
  <c r="P36" i="59"/>
  <c r="O36" i="59"/>
  <c r="N36" i="59"/>
  <c r="Q35" i="59"/>
  <c r="P35" i="59"/>
  <c r="O35" i="59"/>
  <c r="Y35" i="59"/>
  <c r="Z35" i="59" s="1"/>
  <c r="N35" i="59"/>
  <c r="Q34" i="59"/>
  <c r="AB34" i="59" s="1"/>
  <c r="P34" i="59"/>
  <c r="O34" i="59"/>
  <c r="Y34" i="59" s="1"/>
  <c r="Z34" i="59" s="1"/>
  <c r="N34" i="59"/>
  <c r="X34" i="59" s="1"/>
  <c r="Q33" i="59"/>
  <c r="P33" i="59"/>
  <c r="O33" i="59"/>
  <c r="C34" i="59" s="1"/>
  <c r="D34" i="59" s="1"/>
  <c r="N33" i="59"/>
  <c r="X33" i="59" s="1"/>
  <c r="D33" i="59"/>
  <c r="Q32" i="59"/>
  <c r="P32" i="59"/>
  <c r="O32" i="59"/>
  <c r="Y32" i="59" s="1"/>
  <c r="Z32" i="59" s="1"/>
  <c r="N32" i="59"/>
  <c r="Q31" i="59"/>
  <c r="AB31" i="59" s="1"/>
  <c r="P31" i="59"/>
  <c r="O31" i="59"/>
  <c r="N31" i="59"/>
  <c r="Q30" i="59"/>
  <c r="P30" i="59"/>
  <c r="O30" i="59"/>
  <c r="Y30" i="59" s="1"/>
  <c r="Z30" i="59" s="1"/>
  <c r="N30" i="59"/>
  <c r="Q29" i="59"/>
  <c r="AB29" i="59" s="1"/>
  <c r="P29" i="59"/>
  <c r="E30" i="59" s="1"/>
  <c r="E31" i="59" s="1"/>
  <c r="E32" i="59" s="1"/>
  <c r="U32" i="59" s="1"/>
  <c r="O29" i="59"/>
  <c r="N29" i="59"/>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4" i="59" s="1"/>
  <c r="P25" i="59"/>
  <c r="O25" i="59"/>
  <c r="C26" i="59" s="1"/>
  <c r="D26" i="59" s="1"/>
  <c r="N25" i="59"/>
  <c r="X25" i="59" s="1"/>
  <c r="D25" i="59"/>
  <c r="X22" i="59"/>
  <c r="AA21" i="59"/>
  <c r="Y21" i="59"/>
  <c r="Z21" i="59" s="1"/>
  <c r="Y24" i="59"/>
  <c r="Z24" i="59" s="1"/>
  <c r="AB21" i="59"/>
  <c r="E26" i="59"/>
  <c r="E27" i="59" s="1"/>
  <c r="E28" i="59" s="1"/>
  <c r="U28" i="59" s="1"/>
  <c r="B47" i="59"/>
  <c r="B48" i="59" s="1"/>
  <c r="S48" i="59" s="1"/>
  <c r="E48" i="59"/>
  <c r="U48" i="59" s="1"/>
  <c r="S64" i="59"/>
  <c r="AA35" i="59"/>
  <c r="F39" i="59"/>
  <c r="F40" i="59" s="1"/>
  <c r="V40" i="59"/>
  <c r="F44" i="59"/>
  <c r="V44" i="59" s="1"/>
  <c r="F51" i="59"/>
  <c r="F52" i="59" s="1"/>
  <c r="V52" i="59" s="1"/>
  <c r="F56" i="59"/>
  <c r="V56" i="59" s="1"/>
  <c r="D38" i="59"/>
  <c r="C47" i="59"/>
  <c r="C51" i="59"/>
  <c r="D51" i="59" s="1"/>
  <c r="C59" i="59"/>
  <c r="C60" i="59" s="1"/>
  <c r="D60" i="59" s="1"/>
  <c r="E62" i="59"/>
  <c r="P61" i="59" s="1"/>
  <c r="B62" i="59"/>
  <c r="N61" i="59" s="1"/>
  <c r="Q63" i="59"/>
  <c r="T64" i="59"/>
  <c r="D64" i="59"/>
  <c r="P64" i="59"/>
  <c r="U64" i="59"/>
  <c r="Q64" i="59"/>
  <c r="E67" i="59"/>
  <c r="E66" i="59" s="1"/>
  <c r="D68" i="59"/>
  <c r="C71" i="59"/>
  <c r="E71" i="59"/>
  <c r="E70" i="59" s="1"/>
  <c r="D72" i="59"/>
  <c r="E75" i="59"/>
  <c r="E74" i="59" s="1"/>
  <c r="D76" i="59"/>
  <c r="C83" i="59"/>
  <c r="D83" i="59" s="1"/>
  <c r="U16" i="4"/>
  <c r="S16" i="4"/>
  <c r="Q16" i="4"/>
  <c r="O16" i="4"/>
  <c r="M16" i="4"/>
  <c r="K16" i="4"/>
  <c r="P62" i="59"/>
  <c r="C82" i="59"/>
  <c r="D82" i="59" s="1"/>
  <c r="D71" i="59"/>
  <c r="C70" i="59"/>
  <c r="D70" i="59" s="1"/>
  <c r="N62" i="59"/>
  <c r="C48" i="59"/>
  <c r="D48" i="59" s="1"/>
  <c r="D47" i="59"/>
  <c r="C40" i="59"/>
  <c r="D40" i="59" s="1"/>
  <c r="D39" i="59"/>
  <c r="T4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G19" i="46"/>
  <c r="O19" i="46" s="1"/>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A562" i="3" s="1"/>
  <c r="AZ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H42" i="34"/>
  <c r="U42" i="34" s="1"/>
  <c r="J42" i="34"/>
  <c r="F42" i="34"/>
  <c r="AA42" i="34" s="1"/>
  <c r="J38" i="34"/>
  <c r="D114" i="34"/>
  <c r="F38" i="34"/>
  <c r="D112" i="34"/>
  <c r="E112" i="34" s="1"/>
  <c r="F112" i="34" s="1"/>
  <c r="G112" i="34" s="1"/>
  <c r="H112" i="34" s="1"/>
  <c r="I112" i="34" s="1"/>
  <c r="J112" i="34" s="1"/>
  <c r="K112" i="34" s="1"/>
  <c r="L112" i="34" s="1"/>
  <c r="M112" i="34" s="1"/>
  <c r="F40" i="33"/>
  <c r="AA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J38" i="37" s="1"/>
  <c r="AC38" i="37" s="1"/>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B77" i="35"/>
  <c r="B75" i="35"/>
  <c r="J24" i="35" s="1"/>
  <c r="AC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B128" i="33"/>
  <c r="H45" i="33"/>
  <c r="U45" i="33" s="1"/>
  <c r="B126" i="33"/>
  <c r="B98" i="33"/>
  <c r="B96" i="33"/>
  <c r="B94" i="33"/>
  <c r="B74" i="33"/>
  <c r="F14" i="33" s="1"/>
  <c r="AA14" i="33" s="1"/>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F12" i="35"/>
  <c r="AA12" i="35" s="1"/>
  <c r="Q11" i="35"/>
  <c r="Z11" i="35" s="1"/>
  <c r="Q10" i="35"/>
  <c r="Z10" i="35" s="1"/>
  <c r="Q9" i="35"/>
  <c r="Z9" i="35" s="1"/>
  <c r="J8" i="35"/>
  <c r="W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c r="D81" i="21"/>
  <c r="E81" i="21"/>
  <c r="F81" i="21" s="1"/>
  <c r="G81" i="21" s="1"/>
  <c r="D77" i="21"/>
  <c r="E77" i="21"/>
  <c r="B130" i="21"/>
  <c r="B128" i="21"/>
  <c r="B126" i="21"/>
  <c r="B98" i="21"/>
  <c r="B96" i="21"/>
  <c r="B94" i="21"/>
  <c r="B92" i="21"/>
  <c r="B90" i="21"/>
  <c r="B74" i="21"/>
  <c r="B72" i="21"/>
  <c r="B70" i="21"/>
  <c r="F12" i="21"/>
  <c r="S12" i="21" s="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10" i="21"/>
  <c r="U10" i="21" s="1"/>
  <c r="H39" i="21"/>
  <c r="AB39" i="21" s="1"/>
  <c r="J34" i="21"/>
  <c r="W34" i="21" s="1"/>
  <c r="H36" i="21"/>
  <c r="F35" i="21"/>
  <c r="AA35" i="21" s="1"/>
  <c r="J33" i="21"/>
  <c r="W33" i="21" s="1"/>
  <c r="H33" i="21"/>
  <c r="U33" i="21" s="1"/>
  <c r="F33" i="21"/>
  <c r="J10" i="21"/>
  <c r="AC10" i="21" s="1"/>
  <c r="H26" i="21"/>
  <c r="F19" i="21"/>
  <c r="AA19" i="21"/>
  <c r="H19" i="21"/>
  <c r="AB19" i="21"/>
  <c r="J19" i="21"/>
  <c r="W19" i="21"/>
  <c r="J12" i="21"/>
  <c r="H12" i="21"/>
  <c r="U12" i="21" s="1"/>
  <c r="J26" i="21"/>
  <c r="W26" i="21" s="1"/>
  <c r="F26" i="21"/>
  <c r="AA26" i="21" s="1"/>
  <c r="S41" i="21"/>
  <c r="S10" i="39"/>
  <c r="E103" i="37"/>
  <c r="F103" i="37" s="1"/>
  <c r="G103" i="37" s="1"/>
  <c r="H103" i="37" s="1"/>
  <c r="I103" i="37" s="1"/>
  <c r="J103" i="37" s="1"/>
  <c r="K103" i="37" s="1"/>
  <c r="L103" i="37" s="1"/>
  <c r="M103" i="37" s="1"/>
  <c r="F29" i="36"/>
  <c r="AA29" i="36"/>
  <c r="F16" i="36"/>
  <c r="AA16" i="36"/>
  <c r="U26" i="36"/>
  <c r="AC31" i="36"/>
  <c r="J33" i="36"/>
  <c r="W33" i="36" s="1"/>
  <c r="W24" i="35"/>
  <c r="F36" i="34"/>
  <c r="S36" i="34" s="1"/>
  <c r="W39" i="34"/>
  <c r="H39" i="33"/>
  <c r="AB39" i="33"/>
  <c r="S40" i="33"/>
  <c r="W33" i="33"/>
  <c r="S8" i="21"/>
  <c r="AB27" i="35"/>
  <c r="S10" i="40"/>
  <c r="W10" i="40"/>
  <c r="S11" i="40"/>
  <c r="U11" i="40"/>
  <c r="S36" i="40"/>
  <c r="U36" i="40"/>
  <c r="S36" i="39"/>
  <c r="F11" i="21"/>
  <c r="S11" i="21" s="1"/>
  <c r="AC35" i="21"/>
  <c r="C23" i="39"/>
  <c r="U36" i="39"/>
  <c r="S42" i="39"/>
  <c r="H32" i="33"/>
  <c r="AB32" i="33" s="1"/>
  <c r="H11" i="21"/>
  <c r="U11" i="21" s="1"/>
  <c r="J11" i="21"/>
  <c r="W11" i="21" s="1"/>
  <c r="J27" i="36"/>
  <c r="W27" i="36"/>
  <c r="J34" i="36"/>
  <c r="W34" i="36"/>
  <c r="J30" i="35"/>
  <c r="W30" i="35"/>
  <c r="F22" i="35"/>
  <c r="AA22" i="35"/>
  <c r="H10" i="35"/>
  <c r="U10" i="35"/>
  <c r="U29" i="36"/>
  <c r="J29" i="36"/>
  <c r="AC29" i="36"/>
  <c r="F34" i="36"/>
  <c r="S34" i="36"/>
  <c r="H16" i="35"/>
  <c r="U16" i="35" s="1"/>
  <c r="H33" i="35"/>
  <c r="AB33" i="35" s="1"/>
  <c r="AC8" i="35"/>
  <c r="F35" i="37"/>
  <c r="E101" i="37"/>
  <c r="F101" i="37" s="1"/>
  <c r="G101" i="37" s="1"/>
  <c r="H101" i="37" s="1"/>
  <c r="I101" i="37" s="1"/>
  <c r="J101" i="37" s="1"/>
  <c r="K101" i="37" s="1"/>
  <c r="L101" i="37" s="1"/>
  <c r="M101" i="37" s="1"/>
  <c r="J34" i="37"/>
  <c r="W34" i="37" s="1"/>
  <c r="H43" i="34"/>
  <c r="E114" i="34"/>
  <c r="H36" i="34"/>
  <c r="U36" i="34"/>
  <c r="F37" i="34"/>
  <c r="AA37" i="34"/>
  <c r="F33" i="34"/>
  <c r="S33" i="34"/>
  <c r="F19" i="34"/>
  <c r="AA19" i="34" s="1"/>
  <c r="J10" i="34"/>
  <c r="AC10" i="34" s="1"/>
  <c r="W8" i="34"/>
  <c r="J28" i="34"/>
  <c r="W28" i="34" s="1"/>
  <c r="F36" i="33"/>
  <c r="S36" i="33" s="1"/>
  <c r="F19" i="33"/>
  <c r="S19" i="33" s="1"/>
  <c r="J19" i="33"/>
  <c r="W19" i="33" s="1"/>
  <c r="S10" i="21"/>
  <c r="W40" i="33"/>
  <c r="AB30" i="36"/>
  <c r="AC34" i="36"/>
  <c r="S22" i="35"/>
  <c r="H29" i="35"/>
  <c r="AA34" i="37"/>
  <c r="J19" i="34"/>
  <c r="AC19" i="34" s="1"/>
  <c r="F113" i="33"/>
  <c r="G113" i="33" s="1"/>
  <c r="H113" i="33" s="1"/>
  <c r="I113" i="33"/>
  <c r="J113" i="33" s="1"/>
  <c r="K113" i="33" s="1"/>
  <c r="L113" i="33" s="1"/>
  <c r="M113" i="33" s="1"/>
  <c r="H37" i="33"/>
  <c r="AB37" i="33"/>
  <c r="S37" i="33"/>
  <c r="W43" i="34"/>
  <c r="AC42" i="34"/>
  <c r="W42" i="34"/>
  <c r="AC38" i="34"/>
  <c r="W38" i="34"/>
  <c r="AA38" i="34"/>
  <c r="S38" i="34"/>
  <c r="J37" i="33"/>
  <c r="W37" i="33"/>
  <c r="J42" i="21"/>
  <c r="AC42" i="21"/>
  <c r="J44" i="34"/>
  <c r="AC44" i="34"/>
  <c r="F44" i="34"/>
  <c r="S44" i="34"/>
  <c r="J10" i="35"/>
  <c r="W10" i="35"/>
  <c r="AL5" i="3"/>
  <c r="BQ13" i="3"/>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J46" i="21"/>
  <c r="W46" i="21" s="1"/>
  <c r="F46" i="21"/>
  <c r="AA46" i="21" s="1"/>
  <c r="H26" i="33"/>
  <c r="U26"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45" i="33"/>
  <c r="W45" i="33" s="1"/>
  <c r="F45" i="33"/>
  <c r="S45" i="33" s="1"/>
  <c r="F11" i="35"/>
  <c r="S11" i="35" s="1"/>
  <c r="H28" i="36"/>
  <c r="W11" i="36"/>
  <c r="F89" i="37"/>
  <c r="G89" i="37" s="1"/>
  <c r="H89" i="37" s="1"/>
  <c r="I89" i="37" s="1"/>
  <c r="J89" i="37" s="1"/>
  <c r="K89" i="37" s="1"/>
  <c r="L89" i="37" s="1"/>
  <c r="M89" i="37" s="1"/>
  <c r="J29" i="37"/>
  <c r="W29" i="37" s="1"/>
  <c r="F29" i="37"/>
  <c r="AA29" i="37" s="1"/>
  <c r="F105" i="37"/>
  <c r="AB36" i="37"/>
  <c r="J37" i="37"/>
  <c r="AC37" i="37" s="1"/>
  <c r="H37" i="37"/>
  <c r="U37" i="37" s="1"/>
  <c r="H40" i="37"/>
  <c r="U40" i="37" s="1"/>
  <c r="J40" i="37"/>
  <c r="AC40" i="37" s="1"/>
  <c r="F40" i="37"/>
  <c r="AA40" i="37" s="1"/>
  <c r="H14" i="33"/>
  <c r="U14" i="33" s="1"/>
  <c r="J14" i="33"/>
  <c r="AC14" i="33" s="1"/>
  <c r="F30" i="33"/>
  <c r="S30" i="33" s="1"/>
  <c r="H46" i="33"/>
  <c r="AB46" i="33" s="1"/>
  <c r="J29" i="34"/>
  <c r="AC29" i="34" s="1"/>
  <c r="H31" i="34"/>
  <c r="AB31" i="34" s="1"/>
  <c r="F45" i="34"/>
  <c r="AA45" i="34" s="1"/>
  <c r="F13" i="35"/>
  <c r="S13" i="35" s="1"/>
  <c r="F25" i="35"/>
  <c r="AA2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F27" i="37"/>
  <c r="AA27" i="37" s="1"/>
  <c r="J27" i="37"/>
  <c r="W27" i="37" s="1"/>
  <c r="AB40" i="37"/>
  <c r="J36" i="37"/>
  <c r="AC36" i="37" s="1"/>
  <c r="G105" i="37"/>
  <c r="S46" i="21"/>
  <c r="AC30" i="21"/>
  <c r="W30" i="21"/>
  <c r="AB30" i="21"/>
  <c r="S28" i="21"/>
  <c r="AA28" i="21"/>
  <c r="AB14" i="21"/>
  <c r="W14" i="21"/>
  <c r="W42" i="21"/>
  <c r="U36" i="37"/>
  <c r="AC28" i="33"/>
  <c r="U28" i="21"/>
  <c r="AB44" i="21"/>
  <c r="S19" i="21"/>
  <c r="G529" i="3"/>
  <c r="G517" i="3"/>
  <c r="G508" i="3"/>
  <c r="G493" i="3"/>
  <c r="G17" i="3"/>
  <c r="G549" i="3"/>
  <c r="G539" i="3"/>
  <c r="BL561" i="3"/>
  <c r="BL553" i="3"/>
  <c r="BL535" i="3"/>
  <c r="BL519" i="3"/>
  <c r="BL501" i="3"/>
  <c r="BL483" i="3"/>
  <c r="BL563" i="3"/>
  <c r="BL541" i="3"/>
  <c r="BL525" i="3"/>
  <c r="G514" i="3"/>
  <c r="BL503" i="3"/>
  <c r="BL485" i="3"/>
  <c r="BA569" i="3"/>
  <c r="BA561" i="3"/>
  <c r="AZ561" i="3" s="1"/>
  <c r="BA555" i="3"/>
  <c r="BA551" i="3"/>
  <c r="BA545" i="3"/>
  <c r="BA541" i="3"/>
  <c r="BA531" i="3"/>
  <c r="BA509" i="3"/>
  <c r="BA501" i="3"/>
  <c r="AZ501" i="3" s="1"/>
  <c r="BA487" i="3"/>
  <c r="BA572" i="3"/>
  <c r="BA558" i="3"/>
  <c r="BA554" i="3"/>
  <c r="BA546" i="3"/>
  <c r="BA540" i="3"/>
  <c r="BA532" i="3"/>
  <c r="AZ532" i="3" s="1"/>
  <c r="BA524" i="3"/>
  <c r="BA516" i="3"/>
  <c r="BA508" i="3"/>
  <c r="BA498" i="3"/>
  <c r="BA488" i="3"/>
  <c r="BA20" i="3"/>
  <c r="G560" i="3"/>
  <c r="G550" i="3"/>
  <c r="BL543" i="3"/>
  <c r="BA542" i="3"/>
  <c r="AC542" i="3"/>
  <c r="BQ542" i="3"/>
  <c r="BL542" i="3" s="1"/>
  <c r="AZ542" i="3" s="1"/>
  <c r="BQ568" i="3"/>
  <c r="BQ566" i="3"/>
  <c r="BQ564" i="3"/>
  <c r="BL564" i="3"/>
  <c r="BQ562" i="3"/>
  <c r="BL562" i="3"/>
  <c r="BQ560" i="3"/>
  <c r="BQ558" i="3"/>
  <c r="BL558" i="3" s="1"/>
  <c r="AZ558" i="3" s="1"/>
  <c r="BQ556" i="3"/>
  <c r="BQ554" i="3"/>
  <c r="BQ552" i="3"/>
  <c r="BQ550" i="3"/>
  <c r="BL550" i="3" s="1"/>
  <c r="BQ548" i="3"/>
  <c r="BQ546" i="3"/>
  <c r="BQ544" i="3"/>
  <c r="G544" i="3"/>
  <c r="G534" i="3"/>
  <c r="G526" i="3"/>
  <c r="BQ540" i="3"/>
  <c r="BL540" i="3" s="1"/>
  <c r="AZ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Z508" i="3" s="1"/>
  <c r="AC506" i="3"/>
  <c r="G506" i="3" s="1"/>
  <c r="BQ506" i="3"/>
  <c r="G498" i="3"/>
  <c r="BQ504" i="3"/>
  <c r="BQ502" i="3"/>
  <c r="BL502" i="3" s="1"/>
  <c r="BQ500" i="3"/>
  <c r="BQ498" i="3"/>
  <c r="BL498" i="3" s="1"/>
  <c r="AZ498" i="3" s="1"/>
  <c r="BQ496" i="3"/>
  <c r="AC494" i="3"/>
  <c r="G494" i="3" s="1"/>
  <c r="BQ494" i="3"/>
  <c r="BL493" i="3"/>
  <c r="G488" i="3"/>
  <c r="G20" i="3"/>
  <c r="BQ492" i="3"/>
  <c r="BL492" i="3"/>
  <c r="BQ490" i="3"/>
  <c r="BQ488" i="3"/>
  <c r="BL488" i="3" s="1"/>
  <c r="AZ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AB27" i="37"/>
  <c r="F39" i="33"/>
  <c r="AA39" i="33" s="1"/>
  <c r="E123" i="33"/>
  <c r="F42" i="33"/>
  <c r="AA42" i="33"/>
  <c r="H28" i="34"/>
  <c r="AB28" i="34"/>
  <c r="F22" i="36"/>
  <c r="S22" i="36"/>
  <c r="H35" i="34"/>
  <c r="U35" i="34"/>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W23" i="35"/>
  <c r="S27" i="37"/>
  <c r="AC8" i="37"/>
  <c r="AC36" i="34"/>
  <c r="AC37" i="33"/>
  <c r="AA13" i="33"/>
  <c r="AC45" i="33"/>
  <c r="U19" i="21"/>
  <c r="AC33" i="21"/>
  <c r="AA36" i="21"/>
  <c r="S39" i="33"/>
  <c r="F43" i="33"/>
  <c r="AA43" i="33" s="1"/>
  <c r="AA23" i="37"/>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9" i="3"/>
  <c r="AZ47" i="3"/>
  <c r="AZ55"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185" i="3"/>
  <c r="AZ90" i="3"/>
  <c r="AZ98"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4" i="3"/>
  <c r="AZ162" i="3"/>
  <c r="AZ166" i="3"/>
  <c r="AZ170"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13" i="3"/>
  <c r="AZ217" i="3"/>
  <c r="AZ229" i="3"/>
  <c r="AZ233" i="3"/>
  <c r="AZ245" i="3"/>
  <c r="AZ321" i="3"/>
  <c r="AZ353" i="3"/>
  <c r="AZ363" i="3"/>
  <c r="G368" i="3"/>
  <c r="BA370" i="3"/>
  <c r="BL371" i="3"/>
  <c r="AZ371" i="3" s="1"/>
  <c r="G372" i="3"/>
  <c r="BA374" i="3"/>
  <c r="AZ374" i="3" s="1"/>
  <c r="BL375" i="3"/>
  <c r="G376" i="3"/>
  <c r="BA378" i="3"/>
  <c r="AZ378" i="3" s="1"/>
  <c r="BL379" i="3"/>
  <c r="G380" i="3"/>
  <c r="BA382" i="3"/>
  <c r="AZ382" i="3" s="1"/>
  <c r="BL383" i="3"/>
  <c r="G384" i="3"/>
  <c r="AZ249" i="3"/>
  <c r="AZ265" i="3"/>
  <c r="AZ383" i="3"/>
  <c r="AZ274" i="3"/>
  <c r="AZ278" i="3"/>
  <c r="AZ282" i="3"/>
  <c r="AZ286" i="3"/>
  <c r="AZ303" i="3"/>
  <c r="AZ319" i="3"/>
  <c r="AZ347" i="3"/>
  <c r="AZ361" i="3"/>
  <c r="AZ394" i="3"/>
  <c r="AZ410" i="3"/>
  <c r="AZ418" i="3"/>
  <c r="AZ426" i="3"/>
  <c r="AZ430" i="3"/>
  <c r="AZ442" i="3"/>
  <c r="AZ446" i="3"/>
  <c r="AZ475"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AZ300" i="3"/>
  <c r="AZ322" i="3"/>
  <c r="H11" i="37"/>
  <c r="AB11" i="37" s="1"/>
  <c r="W37" i="37"/>
  <c r="AA30" i="33"/>
  <c r="AA36" i="37"/>
  <c r="S42" i="33"/>
  <c r="AB17" i="37"/>
  <c r="AZ524" i="3"/>
  <c r="AC29" i="33"/>
  <c r="AA45" i="33"/>
  <c r="AC11" i="36"/>
  <c r="AC10" i="36"/>
  <c r="S25" i="35"/>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H43" i="39"/>
  <c r="U43" i="39" s="1"/>
  <c r="J43" i="39"/>
  <c r="AC43" i="39" s="1"/>
  <c r="F99" i="37"/>
  <c r="U31" i="34"/>
  <c r="W40" i="37"/>
  <c r="S28" i="33"/>
  <c r="S14" i="21"/>
  <c r="AA44" i="34"/>
  <c r="AB29" i="35"/>
  <c r="U29" i="35"/>
  <c r="AC19" i="33"/>
  <c r="U43" i="34"/>
  <c r="AB43" i="34"/>
  <c r="AC34" i="37"/>
  <c r="S35" i="37"/>
  <c r="AA35" i="37"/>
  <c r="AB10" i="35"/>
  <c r="AA32" i="21"/>
  <c r="S32" i="21"/>
  <c r="U38" i="21"/>
  <c r="AB34" i="21"/>
  <c r="BL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c r="H34" i="39"/>
  <c r="AB34" i="39"/>
  <c r="J34" i="39"/>
  <c r="AC34" i="39"/>
  <c r="F39" i="39"/>
  <c r="H39" i="39"/>
  <c r="AB39" i="39" s="1"/>
  <c r="J39" i="39"/>
  <c r="J29" i="35"/>
  <c r="AC29" i="35" s="1"/>
  <c r="F29" i="35"/>
  <c r="S29" i="35" s="1"/>
  <c r="W30" i="36"/>
  <c r="AC30" i="36"/>
  <c r="H37" i="39"/>
  <c r="U37" i="39" s="1"/>
  <c r="BL568" i="3"/>
  <c r="BA568" i="3"/>
  <c r="AZ568" i="3" s="1"/>
  <c r="BL567" i="3"/>
  <c r="BA567" i="3"/>
  <c r="AZ567" i="3" s="1"/>
  <c r="BL566" i="3"/>
  <c r="BL565" i="3"/>
  <c r="BA564" i="3"/>
  <c r="AZ564" i="3" s="1"/>
  <c r="BA563" i="3"/>
  <c r="AZ563" i="3" s="1"/>
  <c r="BL554" i="3"/>
  <c r="AZ554" i="3" s="1"/>
  <c r="BA553" i="3"/>
  <c r="AZ553" i="3" s="1"/>
  <c r="BA552" i="3"/>
  <c r="BL549" i="3"/>
  <c r="BA549" i="3"/>
  <c r="BL548" i="3"/>
  <c r="AZ548" i="3" s="1"/>
  <c r="BA548" i="3"/>
  <c r="BL547" i="3"/>
  <c r="BA547" i="3"/>
  <c r="BL539" i="3"/>
  <c r="BA539" i="3"/>
  <c r="BA538" i="3"/>
  <c r="BL537" i="3"/>
  <c r="BA537" i="3"/>
  <c r="AZ537" i="3" s="1"/>
  <c r="BL536" i="3"/>
  <c r="BA535" i="3"/>
  <c r="AZ535" i="3" s="1"/>
  <c r="BA534" i="3"/>
  <c r="AZ534" i="3" s="1"/>
  <c r="BA533" i="3"/>
  <c r="BL531" i="3"/>
  <c r="BL530" i="3"/>
  <c r="BA530" i="3"/>
  <c r="BL529" i="3"/>
  <c r="AZ529" i="3" s="1"/>
  <c r="BA529" i="3"/>
  <c r="BL528" i="3"/>
  <c r="BA527" i="3"/>
  <c r="BA526" i="3"/>
  <c r="AZ526" i="3" s="1"/>
  <c r="BA525" i="3"/>
  <c r="AZ525" i="3" s="1"/>
  <c r="BL523" i="3"/>
  <c r="BA523" i="3"/>
  <c r="AZ523" i="3"/>
  <c r="BL522" i="3"/>
  <c r="BA522" i="3"/>
  <c r="AZ522" i="3" s="1"/>
  <c r="BL521" i="3"/>
  <c r="BA519" i="3"/>
  <c r="AZ519" i="3" s="1"/>
  <c r="BL518" i="3"/>
  <c r="BA518" i="3"/>
  <c r="AZ518" i="3" s="1"/>
  <c r="BL517" i="3"/>
  <c r="BA517" i="3"/>
  <c r="BL515" i="3"/>
  <c r="BA515" i="3"/>
  <c r="BA514" i="3"/>
  <c r="BL513" i="3"/>
  <c r="BA513" i="3"/>
  <c r="AZ513" i="3" s="1"/>
  <c r="BL512" i="3"/>
  <c r="BA511" i="3"/>
  <c r="BA510" i="3"/>
  <c r="BL509" i="3"/>
  <c r="AZ509" i="3" s="1"/>
  <c r="BL507" i="3"/>
  <c r="BA507" i="3"/>
  <c r="BL506" i="3"/>
  <c r="BA506" i="3"/>
  <c r="AZ506" i="3"/>
  <c r="BL505" i="3"/>
  <c r="BL504" i="3"/>
  <c r="BA504" i="3"/>
  <c r="AZ504" i="3" s="1"/>
  <c r="BA503" i="3"/>
  <c r="AZ503" i="3"/>
  <c r="BA500" i="3"/>
  <c r="BL499" i="3"/>
  <c r="BA499" i="3"/>
  <c r="AZ499" i="3" s="1"/>
  <c r="BL497" i="3"/>
  <c r="BA497" i="3"/>
  <c r="BL496" i="3"/>
  <c r="BA496" i="3"/>
  <c r="AZ496" i="3"/>
  <c r="BA495" i="3"/>
  <c r="BL494" i="3"/>
  <c r="BA494" i="3"/>
  <c r="AZ494" i="3" s="1"/>
  <c r="BA491" i="3"/>
  <c r="BL490" i="3"/>
  <c r="BA490" i="3"/>
  <c r="BL489" i="3"/>
  <c r="BA489" i="3"/>
  <c r="AZ489" i="3"/>
  <c r="BL487" i="3"/>
  <c r="AZ487" i="3"/>
  <c r="BL486" i="3"/>
  <c r="BA486" i="3"/>
  <c r="AZ486" i="3" s="1"/>
  <c r="BA485" i="3"/>
  <c r="AZ485" i="3"/>
  <c r="BA483" i="3"/>
  <c r="AZ483" i="3"/>
  <c r="BA482" i="3"/>
  <c r="BL481" i="3"/>
  <c r="BJ5" i="3"/>
  <c r="BA481" i="3"/>
  <c r="AZ481" i="3"/>
  <c r="BB5" i="3"/>
  <c r="E8" i="6" s="1"/>
  <c r="BL19" i="3"/>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c r="N7" i="46"/>
  <c r="AZ458" i="3"/>
  <c r="AZ466" i="3"/>
  <c r="AZ474" i="3"/>
  <c r="AZ215" i="3"/>
  <c r="AZ220" i="3"/>
  <c r="AZ231" i="3"/>
  <c r="AZ236" i="3"/>
  <c r="AZ247" i="3"/>
  <c r="AZ252" i="3"/>
  <c r="AZ260" i="3"/>
  <c r="AZ263" i="3"/>
  <c r="AZ268" i="3"/>
  <c r="AZ273" i="3"/>
  <c r="AZ276" i="3"/>
  <c r="AZ281" i="3"/>
  <c r="AZ284" i="3"/>
  <c r="AZ121" i="3"/>
  <c r="AZ137" i="3"/>
  <c r="AZ152" i="3"/>
  <c r="M7" i="46"/>
  <c r="M11" i="46"/>
  <c r="N3" i="46"/>
  <c r="N6" i="46"/>
  <c r="N10" i="46"/>
  <c r="F69" i="46"/>
  <c r="H71" i="46" s="1"/>
  <c r="AZ167" i="3"/>
  <c r="AZ180" i="3"/>
  <c r="AZ32" i="3"/>
  <c r="AZ48" i="3"/>
  <c r="AZ63" i="3"/>
  <c r="AZ79" i="3"/>
  <c r="AZ99" i="3"/>
  <c r="AZ107" i="3"/>
  <c r="J13" i="40"/>
  <c r="W13" i="40" s="1"/>
  <c r="AB14" i="40"/>
  <c r="F34" i="44"/>
  <c r="F27" i="43"/>
  <c r="F66" i="9"/>
  <c r="P72" i="9" s="1"/>
  <c r="F71" i="9"/>
  <c r="F72" i="9"/>
  <c r="AC14" i="40"/>
  <c r="W35" i="40"/>
  <c r="S33" i="40"/>
  <c r="AB32" i="40"/>
  <c r="S47" i="39"/>
  <c r="AB37" i="34"/>
  <c r="AC41" i="40"/>
  <c r="U41" i="40"/>
  <c r="J23" i="40"/>
  <c r="AC23" i="40"/>
  <c r="F23" i="40"/>
  <c r="S23" i="40" s="1"/>
  <c r="AC15" i="40"/>
  <c r="W15" i="40"/>
  <c r="AB16" i="39"/>
  <c r="H20" i="35"/>
  <c r="U20" i="35" s="1"/>
  <c r="F20" i="35"/>
  <c r="S20" i="35"/>
  <c r="H15" i="34"/>
  <c r="AB15" i="34"/>
  <c r="F78" i="34"/>
  <c r="G78" i="34"/>
  <c r="J15" i="34"/>
  <c r="H41" i="33"/>
  <c r="U41" i="33" s="1"/>
  <c r="F30" i="40"/>
  <c r="AA30" i="40" s="1"/>
  <c r="AB38" i="34"/>
  <c r="AZ497" i="3"/>
  <c r="AZ515" i="3"/>
  <c r="AZ530" i="3"/>
  <c r="AZ547" i="3"/>
  <c r="AZ549" i="3"/>
  <c r="AA29" i="35"/>
  <c r="J29" i="39"/>
  <c r="AC29" i="39" s="1"/>
  <c r="U21" i="39"/>
  <c r="AB17" i="39"/>
  <c r="AB33" i="36"/>
  <c r="AA14" i="35"/>
  <c r="S14" i="35"/>
  <c r="G99" i="37"/>
  <c r="F33" i="37"/>
  <c r="U46" i="34"/>
  <c r="AA14" i="34"/>
  <c r="U29" i="33"/>
  <c r="U17" i="34"/>
  <c r="W32" i="33"/>
  <c r="H15" i="33"/>
  <c r="U15" i="33" s="1"/>
  <c r="AA11" i="33"/>
  <c r="U17" i="21"/>
  <c r="AB42" i="40"/>
  <c r="U42" i="40"/>
  <c r="AC16" i="40"/>
  <c r="W32" i="40"/>
  <c r="H25" i="40"/>
  <c r="AB25" i="40" s="1"/>
  <c r="U47" i="39"/>
  <c r="W15" i="39"/>
  <c r="J37" i="34"/>
  <c r="AC37" i="34" s="1"/>
  <c r="J36" i="33"/>
  <c r="W36" i="33" s="1"/>
  <c r="S41" i="40"/>
  <c r="H23" i="39"/>
  <c r="AB23" i="39" s="1"/>
  <c r="J23" i="39"/>
  <c r="AC23" i="39" s="1"/>
  <c r="F97" i="39"/>
  <c r="G97" i="39" s="1"/>
  <c r="S16" i="39"/>
  <c r="AA15" i="34"/>
  <c r="AA41" i="33"/>
  <c r="AA34" i="33"/>
  <c r="F106" i="33"/>
  <c r="G106" i="33" s="1"/>
  <c r="H106" i="33" s="1"/>
  <c r="I106" i="33" s="1"/>
  <c r="J106" i="33" s="1"/>
  <c r="K106" i="33" s="1"/>
  <c r="L106" i="33" s="1"/>
  <c r="M106" i="33" s="1"/>
  <c r="J34" i="33"/>
  <c r="AC34" i="33" s="1"/>
  <c r="W29" i="35"/>
  <c r="AC39" i="39"/>
  <c r="W39" i="39"/>
  <c r="AA39" i="39"/>
  <c r="S39" i="39"/>
  <c r="U34" i="39"/>
  <c r="AB46" i="39"/>
  <c r="AB44" i="39"/>
  <c r="AC33" i="39"/>
  <c r="AA33" i="39"/>
  <c r="S17" i="39"/>
  <c r="U11" i="36"/>
  <c r="F80" i="35"/>
  <c r="G80" i="35" s="1"/>
  <c r="H80" i="35" s="1"/>
  <c r="I80" i="35" s="1"/>
  <c r="J80" i="35" s="1"/>
  <c r="K80" i="35" s="1"/>
  <c r="L80" i="35" s="1"/>
  <c r="M80" i="35" s="1"/>
  <c r="W14" i="35"/>
  <c r="F27" i="34"/>
  <c r="S27" i="34" s="1"/>
  <c r="AA43" i="39"/>
  <c r="S43" i="39"/>
  <c r="F32" i="37"/>
  <c r="S32" i="37" s="1"/>
  <c r="U11" i="35"/>
  <c r="AB11" i="35"/>
  <c r="S46" i="34"/>
  <c r="U14" i="34"/>
  <c r="U12" i="34"/>
  <c r="F17" i="34"/>
  <c r="AA17" i="34"/>
  <c r="J17" i="34"/>
  <c r="AC17" i="34"/>
  <c r="H11" i="34"/>
  <c r="AB11" i="34"/>
  <c r="J35" i="33"/>
  <c r="W35" i="33"/>
  <c r="S32" i="33"/>
  <c r="AC15" i="33"/>
  <c r="H11" i="33"/>
  <c r="U11" i="33"/>
  <c r="H10" i="33"/>
  <c r="U10" i="33"/>
  <c r="J10" i="33"/>
  <c r="AC10" i="33" s="1"/>
  <c r="U40" i="21"/>
  <c r="U11" i="37"/>
  <c r="AC13" i="40"/>
  <c r="J11" i="34"/>
  <c r="W11" i="34"/>
  <c r="S17" i="34"/>
  <c r="AC36" i="33"/>
  <c r="F25" i="40"/>
  <c r="AA25" i="40"/>
  <c r="J11" i="33"/>
  <c r="W11" i="33"/>
  <c r="H33" i="37"/>
  <c r="AB33" i="37"/>
  <c r="W15" i="34"/>
  <c r="AC15" i="34"/>
  <c r="W23" i="40"/>
  <c r="AP11" i="1"/>
  <c r="B11" i="1"/>
  <c r="E11" i="1" s="1"/>
  <c r="K11" i="1"/>
  <c r="M11" i="1" s="1"/>
  <c r="O11" i="1" s="1"/>
  <c r="P11" i="1" s="1"/>
  <c r="B9" i="1"/>
  <c r="E9" i="1"/>
  <c r="K9" i="1"/>
  <c r="M9" i="1" s="1"/>
  <c r="O9" i="1" s="1"/>
  <c r="P9" i="1" s="1"/>
  <c r="B7" i="1"/>
  <c r="E7" i="1" s="1"/>
  <c r="K7" i="1"/>
  <c r="M7" i="1" s="1"/>
  <c r="O7" i="1" s="1"/>
  <c r="P7" i="1" s="1"/>
  <c r="C20" i="43"/>
  <c r="F6" i="1"/>
  <c r="AP6" i="1" s="1"/>
  <c r="G11" i="1"/>
  <c r="M22" i="44"/>
  <c r="F32" i="15"/>
  <c r="F59" i="15" s="1"/>
  <c r="F29" i="12"/>
  <c r="F70" i="9"/>
  <c r="D86" i="9"/>
  <c r="M20" i="44"/>
  <c r="F31" i="43"/>
  <c r="F30" i="44"/>
  <c r="AC25" i="36"/>
  <c r="S8" i="36"/>
  <c r="AA28" i="36"/>
  <c r="U25" i="36"/>
  <c r="H20" i="36"/>
  <c r="U20" i="36" s="1"/>
  <c r="F68" i="36"/>
  <c r="G68" i="36" s="1"/>
  <c r="J20" i="36"/>
  <c r="AC20" i="36" s="1"/>
  <c r="F20" i="36"/>
  <c r="S20" i="36" s="1"/>
  <c r="F62" i="36"/>
  <c r="G62" i="36" s="1"/>
  <c r="J14" i="36"/>
  <c r="W14" i="36" s="1"/>
  <c r="H14" i="36"/>
  <c r="F14" i="36"/>
  <c r="AA14" i="36" s="1"/>
  <c r="W20" i="36"/>
  <c r="AB12" i="36"/>
  <c r="U9"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AC26" i="35" s="1"/>
  <c r="F26" i="35"/>
  <c r="H26" i="35"/>
  <c r="AB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c r="H19" i="37"/>
  <c r="J17" i="37"/>
  <c r="W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A33" i="34"/>
  <c r="U44" i="34"/>
  <c r="U34" i="34"/>
  <c r="U28" i="34"/>
  <c r="AA27" i="34"/>
  <c r="J25" i="34"/>
  <c r="H25" i="34"/>
  <c r="AB25" i="34" s="1"/>
  <c r="F25" i="34"/>
  <c r="J23" i="34"/>
  <c r="W23" i="34" s="1"/>
  <c r="F86" i="34"/>
  <c r="G86" i="34"/>
  <c r="F23" i="34"/>
  <c r="H23" i="34"/>
  <c r="AB23" i="34" s="1"/>
  <c r="W17" i="34"/>
  <c r="AC11" i="34"/>
  <c r="U11" i="34"/>
  <c r="W10" i="34"/>
  <c r="U10" i="34"/>
  <c r="W37" i="34"/>
  <c r="AC40" i="34"/>
  <c r="W44" i="34"/>
  <c r="W19" i="34"/>
  <c r="W29" i="34"/>
  <c r="AC21" i="34"/>
  <c r="W21" i="34"/>
  <c r="U15" i="34"/>
  <c r="AB21" i="34"/>
  <c r="U21" i="34"/>
  <c r="U27" i="34"/>
  <c r="U19" i="34"/>
  <c r="AB41" i="34"/>
  <c r="AA41" i="34"/>
  <c r="S9" i="34"/>
  <c r="S10" i="34"/>
  <c r="U39" i="33"/>
  <c r="U37" i="33"/>
  <c r="W34" i="33"/>
  <c r="AC12" i="33"/>
  <c r="AB11" i="33"/>
  <c r="U36" i="33"/>
  <c r="AC35" i="33"/>
  <c r="S29"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AA23" i="33" s="1"/>
  <c r="H23" i="33"/>
  <c r="U19" i="33"/>
  <c r="F79" i="33"/>
  <c r="G79" i="33" s="1"/>
  <c r="F17" i="33"/>
  <c r="S17" i="33" s="1"/>
  <c r="H17" i="33"/>
  <c r="J17" i="33"/>
  <c r="AC17" i="33" s="1"/>
  <c r="AB15" i="33"/>
  <c r="AC11" i="33"/>
  <c r="S10" i="33"/>
  <c r="S14" i="33"/>
  <c r="AC21" i="33"/>
  <c r="W21" i="33"/>
  <c r="W14" i="33"/>
  <c r="AB10" i="33"/>
  <c r="U25" i="33"/>
  <c r="AB21" i="33"/>
  <c r="U21" i="33"/>
  <c r="AA21" i="33"/>
  <c r="S21" i="33"/>
  <c r="AA36" i="33"/>
  <c r="S44" i="21"/>
  <c r="W39" i="21"/>
  <c r="AC34" i="21"/>
  <c r="W32" i="21"/>
  <c r="U35" i="21"/>
  <c r="W43" i="21"/>
  <c r="AA37"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AA11" i="21"/>
  <c r="AC23" i="21"/>
  <c r="AC21" i="21"/>
  <c r="W21" i="21"/>
  <c r="W44" i="21"/>
  <c r="AC19" i="21"/>
  <c r="W10" i="21"/>
  <c r="AC38" i="21"/>
  <c r="AB21" i="21"/>
  <c r="U21" i="21"/>
  <c r="AA30" i="21"/>
  <c r="W33" i="40"/>
  <c r="U33" i="40"/>
  <c r="S35" i="40"/>
  <c r="S14" i="40"/>
  <c r="S15" i="40"/>
  <c r="AB13" i="40"/>
  <c r="S16" i="40"/>
  <c r="W11" i="40"/>
  <c r="AA21" i="40"/>
  <c r="U21" i="40"/>
  <c r="W25" i="40"/>
  <c r="U25" i="40"/>
  <c r="U35" i="40"/>
  <c r="F37" i="40"/>
  <c r="J37" i="40"/>
  <c r="AC37" i="40" s="1"/>
  <c r="H37" i="40"/>
  <c r="G113" i="40"/>
  <c r="H113" i="40" s="1"/>
  <c r="I113" i="40" s="1"/>
  <c r="J113" i="40" s="1"/>
  <c r="K113" i="40" s="1"/>
  <c r="L113" i="40" s="1"/>
  <c r="M113" i="40" s="1"/>
  <c r="F39" i="40"/>
  <c r="S39" i="40" s="1"/>
  <c r="H39" i="40"/>
  <c r="U39" i="40" s="1"/>
  <c r="J39" i="40"/>
  <c r="W38" i="40"/>
  <c r="F29" i="40"/>
  <c r="H29" i="40"/>
  <c r="AB29" i="40" s="1"/>
  <c r="J29" i="40"/>
  <c r="F98" i="40"/>
  <c r="G98" i="40" s="1"/>
  <c r="H98" i="40" s="1"/>
  <c r="I98" i="40" s="1"/>
  <c r="J98" i="40" s="1"/>
  <c r="K98" i="40" s="1"/>
  <c r="L98" i="40" s="1"/>
  <c r="M98" i="40" s="1"/>
  <c r="S25" i="40"/>
  <c r="AA23" i="40"/>
  <c r="F88" i="40"/>
  <c r="G88" i="40" s="1"/>
  <c r="F19" i="40"/>
  <c r="S19" i="40" s="1"/>
  <c r="H19" i="40"/>
  <c r="J19" i="40"/>
  <c r="AC19" i="40" s="1"/>
  <c r="W17" i="40"/>
  <c r="AC17" i="40"/>
  <c r="F17" i="40"/>
  <c r="AA17" i="40" s="1"/>
  <c r="H17" i="40"/>
  <c r="AB17" i="40" s="1"/>
  <c r="W21" i="40"/>
  <c r="AB40" i="40"/>
  <c r="U10" i="40"/>
  <c r="U27" i="40"/>
  <c r="AB27" i="40"/>
  <c r="AC44" i="39"/>
  <c r="S11" i="39"/>
  <c r="AB45" i="39"/>
  <c r="AA21" i="39"/>
  <c r="AC38" i="39"/>
  <c r="U11" i="39"/>
  <c r="AB38" i="39"/>
  <c r="U31" i="39"/>
  <c r="AB31" i="39"/>
  <c r="S38" i="39"/>
  <c r="S22" i="31"/>
  <c r="M20" i="15"/>
  <c r="D96" i="9"/>
  <c r="F28" i="15"/>
  <c r="M18" i="15"/>
  <c r="A18" i="64"/>
  <c r="B74" i="63" s="1"/>
  <c r="C53" i="10"/>
  <c r="A25" i="64" s="1"/>
  <c r="A18" i="51"/>
  <c r="B14" i="63" s="1"/>
  <c r="BA16" i="3"/>
  <c r="BA17" i="3"/>
  <c r="AZ17" i="3" s="1"/>
  <c r="F3" i="35"/>
  <c r="K1" i="43"/>
  <c r="K1" i="12"/>
  <c r="G1" i="44"/>
  <c r="I4" i="6"/>
  <c r="G3" i="46"/>
  <c r="AZ15" i="3"/>
  <c r="BK5" i="3"/>
  <c r="BO5" i="3"/>
  <c r="BP5" i="3"/>
  <c r="G29" i="6" s="1"/>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C51" i="10"/>
  <c r="A9" i="64" s="1"/>
  <c r="I100" i="46"/>
  <c r="C24" i="46"/>
  <c r="N100" i="46"/>
  <c r="H100" i="46"/>
  <c r="F108" i="46"/>
  <c r="H80" i="46"/>
  <c r="B45" i="46"/>
  <c r="E100" i="46"/>
  <c r="G100" i="46"/>
  <c r="H84" i="46"/>
  <c r="C100" i="46"/>
  <c r="J100" i="46"/>
  <c r="M100" i="46"/>
  <c r="U12" i="35"/>
  <c r="AB12" i="35"/>
  <c r="W11" i="35"/>
  <c r="AA11" i="35"/>
  <c r="U13" i="37"/>
  <c r="G9"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P6" i="1" s="1"/>
  <c r="G1" i="15"/>
  <c r="F66" i="36"/>
  <c r="H18" i="36"/>
  <c r="AB18" i="36" s="1"/>
  <c r="U16" i="36"/>
  <c r="S25" i="36"/>
  <c r="AA34" i="36"/>
  <c r="U23" i="36"/>
  <c r="AC27" i="36"/>
  <c r="W28" i="36"/>
  <c r="AA22" i="36"/>
  <c r="U10"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AA29" i="34"/>
  <c r="S19" i="34"/>
  <c r="S8" i="34"/>
  <c r="AA19" i="33"/>
  <c r="AC25" i="33"/>
  <c r="S43" i="33"/>
  <c r="AB42" i="33"/>
  <c r="AB14" i="33"/>
  <c r="AB12" i="33"/>
  <c r="S15" i="33"/>
  <c r="S9" i="33"/>
  <c r="S39" i="21"/>
  <c r="AB25" i="21"/>
  <c r="W25" i="21"/>
  <c r="AA25" i="21"/>
  <c r="AC37" i="21"/>
  <c r="AA15" i="21"/>
  <c r="G96" i="40"/>
  <c r="J27" i="40"/>
  <c r="AC27" i="40" s="1"/>
  <c r="W37" i="40"/>
  <c r="S17" i="40"/>
  <c r="W30" i="40"/>
  <c r="S34" i="40"/>
  <c r="U17" i="40"/>
  <c r="U38" i="40"/>
  <c r="S40" i="40"/>
  <c r="S42" i="40"/>
  <c r="G105" i="39"/>
  <c r="J31" i="39"/>
  <c r="W31" i="39" s="1"/>
  <c r="S45" i="39"/>
  <c r="AB43" i="39"/>
  <c r="AB33" i="39"/>
  <c r="AC46" i="39"/>
  <c r="S34" i="39"/>
  <c r="W42" i="39"/>
  <c r="W36"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AB20" i="36"/>
  <c r="AC14" i="36"/>
  <c r="U14" i="36"/>
  <c r="AB14" i="36"/>
  <c r="U18" i="36"/>
  <c r="AA26" i="35"/>
  <c r="S26" i="35"/>
  <c r="U26" i="35"/>
  <c r="W26" i="35"/>
  <c r="S19" i="37"/>
  <c r="W19" i="37"/>
  <c r="AB19" i="37"/>
  <c r="U19" i="37"/>
  <c r="AC17" i="37"/>
  <c r="U25" i="34"/>
  <c r="AA25" i="34"/>
  <c r="S25" i="34"/>
  <c r="W25" i="34"/>
  <c r="AC25" i="34"/>
  <c r="U23" i="34"/>
  <c r="AA23" i="34"/>
  <c r="S23" i="34"/>
  <c r="AC23" i="34"/>
  <c r="AA25" i="33"/>
  <c r="S25" i="33"/>
  <c r="U23" i="33"/>
  <c r="AB23" i="33"/>
  <c r="W23" i="33"/>
  <c r="AC23" i="33"/>
  <c r="S23" i="33"/>
  <c r="W17" i="33"/>
  <c r="AA17" i="33"/>
  <c r="U17" i="33"/>
  <c r="AB17" i="33"/>
  <c r="U23" i="21"/>
  <c r="AA23" i="21"/>
  <c r="S23" i="21"/>
  <c r="U15" i="21"/>
  <c r="W15" i="21"/>
  <c r="AC15" i="21"/>
  <c r="AB39" i="40"/>
  <c r="AC39" i="40"/>
  <c r="W39" i="40"/>
  <c r="AA39" i="40"/>
  <c r="U37" i="40"/>
  <c r="AB37" i="40"/>
  <c r="AA37" i="40"/>
  <c r="S37" i="40"/>
  <c r="U29" i="40"/>
  <c r="AC29" i="40"/>
  <c r="W29" i="40"/>
  <c r="AA29" i="40"/>
  <c r="S29" i="40"/>
  <c r="W19" i="40"/>
  <c r="AA19" i="40"/>
  <c r="AB19" i="40"/>
  <c r="U19" i="40"/>
  <c r="W27" i="40"/>
  <c r="B20" i="31"/>
  <c r="R22" i="31"/>
  <c r="B21" i="31" s="1"/>
  <c r="A17" i="51"/>
  <c r="B13" i="63" s="1"/>
  <c r="E5" i="6"/>
  <c r="D12" i="11" s="1"/>
  <c r="C12" i="11" s="1"/>
  <c r="AT6" i="3"/>
  <c r="AZ16" i="3"/>
  <c r="A9" i="51"/>
  <c r="B9" i="63" s="1"/>
  <c r="A3" i="55"/>
  <c r="B56" i="63"/>
  <c r="E4" i="4"/>
  <c r="C4" i="4"/>
  <c r="G66" i="36"/>
  <c r="J18" i="36"/>
  <c r="AC18" i="36" s="1"/>
  <c r="AE8" i="1"/>
  <c r="AE7" i="1"/>
  <c r="AG6" i="1"/>
  <c r="L20" i="6"/>
  <c r="L19" i="6"/>
  <c r="B21" i="55"/>
  <c r="B72" i="63" s="1"/>
  <c r="B20" i="55"/>
  <c r="B70" i="63" s="1"/>
  <c r="S7" i="1"/>
  <c r="S8" i="1"/>
  <c r="S9" i="1"/>
  <c r="R9" i="1"/>
  <c r="R7" i="1"/>
  <c r="R8" i="1"/>
  <c r="C45" i="9"/>
  <c r="H14" i="66" s="1"/>
  <c r="B7" i="66" s="1"/>
  <c r="N76" i="9"/>
  <c r="H58" i="46"/>
  <c r="J17" i="46"/>
  <c r="C17" i="46"/>
  <c r="F34" i="46"/>
  <c r="F38" i="46"/>
  <c r="F37" i="46"/>
  <c r="H113" i="46"/>
  <c r="H49" i="46"/>
  <c r="D19" i="59"/>
  <c r="C18" i="59"/>
  <c r="D18" i="59" s="1"/>
  <c r="U16" i="59"/>
  <c r="F19" i="59"/>
  <c r="F18" i="59"/>
  <c r="F17" i="59" s="1"/>
  <c r="F16" i="59" s="1"/>
  <c r="Y18" i="59"/>
  <c r="Z18" i="59"/>
  <c r="AA18" i="59"/>
  <c r="AB18" i="59"/>
  <c r="Y17" i="59"/>
  <c r="Z17" i="59"/>
  <c r="Y16" i="59"/>
  <c r="Z16" i="59" s="1"/>
  <c r="Y15" i="59"/>
  <c r="Z15" i="59" s="1"/>
  <c r="AB17" i="59"/>
  <c r="AB16" i="59"/>
  <c r="AB15" i="59"/>
  <c r="AA20" i="59"/>
  <c r="X18" i="59"/>
  <c r="X16" i="59"/>
  <c r="X15" i="59"/>
  <c r="AA16" i="59"/>
  <c r="AA15" i="59"/>
  <c r="H1" i="65"/>
  <c r="H51" i="46"/>
  <c r="X7" i="46"/>
  <c r="E17" i="46"/>
  <c r="N17" i="46"/>
  <c r="O17" i="46"/>
  <c r="M17" i="46"/>
  <c r="L17" i="46"/>
  <c r="H22" i="46"/>
  <c r="Y11" i="46"/>
  <c r="Y13" i="46" s="1"/>
  <c r="H101" i="46"/>
  <c r="H102" i="46" s="1"/>
  <c r="G22" i="46"/>
  <c r="J22" i="46"/>
  <c r="F101" i="46"/>
  <c r="F106" i="46" s="1"/>
  <c r="D101" i="46"/>
  <c r="D106" i="46" s="1"/>
  <c r="O12" i="1"/>
  <c r="P12" i="1" s="1"/>
  <c r="AP7" i="1"/>
  <c r="H70" i="46"/>
  <c r="F107" i="46"/>
  <c r="H73" i="46"/>
  <c r="H50" i="46"/>
  <c r="F35" i="46"/>
  <c r="I17" i="46"/>
  <c r="G17" i="46"/>
  <c r="C16" i="46" s="1"/>
  <c r="C5" i="46" s="1"/>
  <c r="H63" i="46"/>
  <c r="I101" i="46"/>
  <c r="I102" i="46" s="1"/>
  <c r="M101" i="46"/>
  <c r="M107" i="46" s="1"/>
  <c r="N101" i="46"/>
  <c r="N105" i="46" s="1"/>
  <c r="AC11" i="46"/>
  <c r="AC13" i="46" s="1"/>
  <c r="AD11" i="46"/>
  <c r="AD13" i="46" s="1"/>
  <c r="AJ11" i="46"/>
  <c r="H64" i="46"/>
  <c r="H66" i="46"/>
  <c r="D100" i="46"/>
  <c r="M103" i="46"/>
  <c r="H62" i="46"/>
  <c r="AF12" i="46"/>
  <c r="K100" i="46"/>
  <c r="M109" i="46"/>
  <c r="AB12" i="46"/>
  <c r="AJ12" i="46"/>
  <c r="C101" i="46"/>
  <c r="C109" i="46" s="1"/>
  <c r="G101" i="46"/>
  <c r="G103" i="46" s="1"/>
  <c r="J101" i="46"/>
  <c r="J106" i="46" s="1"/>
  <c r="B113" i="46"/>
  <c r="I118" i="46" s="1"/>
  <c r="J118" i="46" s="1"/>
  <c r="K118" i="46" s="1"/>
  <c r="L118" i="46" s="1"/>
  <c r="M118" i="46" s="1"/>
  <c r="N104" i="45"/>
  <c r="L101" i="46"/>
  <c r="L102" i="46" s="1"/>
  <c r="F22" i="46"/>
  <c r="E101" i="46"/>
  <c r="E104" i="46" s="1"/>
  <c r="Z7" i="46"/>
  <c r="K101" i="46"/>
  <c r="K107" i="46" s="1"/>
  <c r="E22" i="46"/>
  <c r="AG11" i="46"/>
  <c r="AG13" i="46" s="1"/>
  <c r="Z11" i="46"/>
  <c r="Z13" i="46" s="1"/>
  <c r="AH11" i="46"/>
  <c r="AA11" i="46"/>
  <c r="AI11" i="46"/>
  <c r="AF11" i="46"/>
  <c r="AF13" i="46" s="1"/>
  <c r="AE11" i="46"/>
  <c r="AE13" i="46" s="1"/>
  <c r="H60" i="46"/>
  <c r="H59" i="46"/>
  <c r="H74" i="46"/>
  <c r="H65" i="46"/>
  <c r="AB11" i="46"/>
  <c r="AB13" i="46" s="1"/>
  <c r="H75" i="46"/>
  <c r="E10" i="46"/>
  <c r="C7" i="46" s="1"/>
  <c r="E9" i="46"/>
  <c r="E11" i="46"/>
  <c r="E8" i="46"/>
  <c r="I106" i="46"/>
  <c r="H72" i="46"/>
  <c r="H69" i="46"/>
  <c r="H77" i="46"/>
  <c r="H76" i="46"/>
  <c r="H54" i="46"/>
  <c r="H47" i="46"/>
  <c r="AD12" i="46"/>
  <c r="AH12" i="46"/>
  <c r="C17" i="59"/>
  <c r="C16" i="59" s="1"/>
  <c r="C15" i="59" s="1"/>
  <c r="C14" i="59" s="1"/>
  <c r="C13" i="59" s="1"/>
  <c r="B17" i="59"/>
  <c r="B16" i="59" s="1"/>
  <c r="D17" i="59"/>
  <c r="M104" i="46"/>
  <c r="D5" i="46"/>
  <c r="N106" i="46"/>
  <c r="C23" i="46"/>
  <c r="B118" i="46"/>
  <c r="C118" i="46" s="1"/>
  <c r="J107" i="46"/>
  <c r="J103" i="46"/>
  <c r="C103" i="46"/>
  <c r="J109" i="46"/>
  <c r="D14" i="59"/>
  <c r="G20" i="46"/>
  <c r="E41" i="46"/>
  <c r="C41" i="46" s="1"/>
  <c r="S5" i="46"/>
  <c r="S2" i="46"/>
  <c r="S3" i="46"/>
  <c r="S7" i="46"/>
  <c r="S6" i="46"/>
  <c r="S4" i="46"/>
  <c r="N3" i="65"/>
  <c r="F9" i="44"/>
  <c r="E13" i="67"/>
  <c r="N4" i="65"/>
  <c r="F11" i="44"/>
  <c r="B9" i="67"/>
  <c r="M10" i="44"/>
  <c r="F10" i="44"/>
  <c r="E8" i="67"/>
  <c r="F38" i="44"/>
  <c r="N7" i="65"/>
  <c r="F14" i="67"/>
  <c r="F9" i="67"/>
  <c r="L48" i="44"/>
  <c r="B8" i="67"/>
  <c r="F13" i="67"/>
  <c r="M8" i="44"/>
  <c r="F11" i="67"/>
  <c r="N5" i="65"/>
  <c r="E9" i="67"/>
  <c r="F37" i="44"/>
  <c r="B13" i="67"/>
  <c r="M25" i="44"/>
  <c r="M11" i="44"/>
  <c r="F28" i="44"/>
  <c r="B10" i="67"/>
  <c r="L48" i="15"/>
  <c r="F8" i="15"/>
  <c r="F40" i="44"/>
  <c r="J6" i="65"/>
  <c r="C19" i="44"/>
  <c r="F43" i="44"/>
  <c r="F12" i="67"/>
  <c r="F39" i="44"/>
  <c r="F10" i="67"/>
  <c r="M26" i="44"/>
  <c r="F38" i="15"/>
  <c r="E10" i="67"/>
  <c r="J5" i="65"/>
  <c r="E14" i="67"/>
  <c r="B11" i="67"/>
  <c r="E11" i="67"/>
  <c r="N6" i="65"/>
  <c r="M31" i="44"/>
  <c r="J4" i="65"/>
  <c r="I6" i="65"/>
  <c r="F18" i="44"/>
  <c r="M29" i="15"/>
  <c r="M23" i="44"/>
  <c r="M29" i="44"/>
  <c r="F8" i="67"/>
  <c r="L49" i="44"/>
  <c r="I5" i="65"/>
  <c r="B14" i="67"/>
  <c r="M27" i="15"/>
  <c r="M30" i="44"/>
  <c r="F8" i="44"/>
  <c r="F16" i="15"/>
  <c r="J17" i="44"/>
  <c r="M8" i="15"/>
  <c r="F13" i="15"/>
  <c r="M28" i="44"/>
  <c r="F15" i="44"/>
  <c r="F43" i="15"/>
  <c r="F45" i="44"/>
  <c r="F9" i="15"/>
  <c r="F46" i="44"/>
  <c r="B12" i="67"/>
  <c r="M24" i="44"/>
  <c r="F26" i="15"/>
  <c r="E12" i="67"/>
  <c r="M26" i="15"/>
  <c r="I3" i="65"/>
  <c r="F37" i="15"/>
  <c r="D22" i="46" l="1"/>
  <c r="C21" i="46" s="1"/>
  <c r="AZ572" i="3"/>
  <c r="AZ555" i="3"/>
  <c r="S38" i="37"/>
  <c r="AA38" i="37"/>
  <c r="U28" i="36"/>
  <c r="AB28" i="36"/>
  <c r="BL572" i="3"/>
  <c r="BF5" i="3"/>
  <c r="AB33" i="33"/>
  <c r="U33" i="33"/>
  <c r="AC9" i="34"/>
  <c r="W9" i="34"/>
  <c r="W12" i="35"/>
  <c r="AC12" i="35"/>
  <c r="H9" i="35"/>
  <c r="J9" i="35"/>
  <c r="F31" i="33"/>
  <c r="J31" i="33"/>
  <c r="H31" i="33"/>
  <c r="AA46" i="33"/>
  <c r="S46" i="33"/>
  <c r="H13" i="34"/>
  <c r="F13" i="34"/>
  <c r="J31" i="34"/>
  <c r="AC31" i="34" s="1"/>
  <c r="F31" i="34"/>
  <c r="H47" i="34"/>
  <c r="J47" i="34"/>
  <c r="J25" i="35"/>
  <c r="H25" i="35"/>
  <c r="H13" i="36"/>
  <c r="J13" i="36"/>
  <c r="F13" i="36"/>
  <c r="J24" i="36"/>
  <c r="W24" i="36" s="1"/>
  <c r="H24" i="36"/>
  <c r="AB24" i="36" s="1"/>
  <c r="F24" i="36"/>
  <c r="F32" i="36"/>
  <c r="H32" i="36"/>
  <c r="H14" i="37"/>
  <c r="F14" i="37"/>
  <c r="J14" i="37"/>
  <c r="J39" i="37"/>
  <c r="F39" i="37"/>
  <c r="H39" i="37"/>
  <c r="AC31" i="35"/>
  <c r="W31" i="35"/>
  <c r="BA566" i="3"/>
  <c r="AZ566" i="3" s="1"/>
  <c r="BA565" i="3"/>
  <c r="AZ565" i="3" s="1"/>
  <c r="BA560" i="3"/>
  <c r="BL559" i="3"/>
  <c r="BA559" i="3"/>
  <c r="AZ559" i="3" s="1"/>
  <c r="BL557" i="3"/>
  <c r="AZ557" i="3" s="1"/>
  <c r="BA556" i="3"/>
  <c r="BA536" i="3"/>
  <c r="BL533" i="3"/>
  <c r="AZ533" i="3" s="1"/>
  <c r="BA528" i="3"/>
  <c r="AZ528" i="3" s="1"/>
  <c r="BL527" i="3"/>
  <c r="BL514" i="3"/>
  <c r="AZ514" i="3" s="1"/>
  <c r="BA512" i="3"/>
  <c r="AZ512" i="3" s="1"/>
  <c r="BL511" i="3"/>
  <c r="AZ511" i="3" s="1"/>
  <c r="BA505" i="3"/>
  <c r="AZ505" i="3" s="1"/>
  <c r="BA502" i="3"/>
  <c r="AZ502" i="3" s="1"/>
  <c r="BL484" i="3"/>
  <c r="AZ484" i="3" s="1"/>
  <c r="BA484" i="3"/>
  <c r="BL482" i="3"/>
  <c r="AZ482" i="3" s="1"/>
  <c r="C106" i="46"/>
  <c r="C104" i="46"/>
  <c r="J102" i="46"/>
  <c r="I107" i="46"/>
  <c r="N107" i="46"/>
  <c r="H52" i="46"/>
  <c r="H55" i="46"/>
  <c r="AJ13" i="46"/>
  <c r="H48" i="46"/>
  <c r="W18" i="36"/>
  <c r="AA20" i="36"/>
  <c r="S14" i="36"/>
  <c r="E29" i="6"/>
  <c r="K15" i="1" s="1"/>
  <c r="AC33" i="37"/>
  <c r="C20" i="46"/>
  <c r="AB15" i="39"/>
  <c r="S30" i="40"/>
  <c r="S38" i="40"/>
  <c r="W42" i="40"/>
  <c r="U15" i="40"/>
  <c r="S42" i="21"/>
  <c r="W10" i="33"/>
  <c r="AB41" i="33"/>
  <c r="S35" i="33"/>
  <c r="AC32" i="34"/>
  <c r="U30" i="34"/>
  <c r="W46" i="34"/>
  <c r="AB14" i="35"/>
  <c r="S33" i="36"/>
  <c r="U27" i="36"/>
  <c r="AA26" i="36"/>
  <c r="AB20" i="35"/>
  <c r="AC16" i="35"/>
  <c r="AB13" i="33"/>
  <c r="AC14" i="34"/>
  <c r="U32" i="34"/>
  <c r="U30" i="40"/>
  <c r="AB23" i="40"/>
  <c r="W34" i="40"/>
  <c r="AA40" i="21"/>
  <c r="AA11" i="34"/>
  <c r="AC13" i="33"/>
  <c r="W12" i="34"/>
  <c r="AC30" i="34"/>
  <c r="AA11" i="36"/>
  <c r="U39" i="39"/>
  <c r="AB37" i="39"/>
  <c r="U23" i="35"/>
  <c r="AZ490" i="3"/>
  <c r="AZ507" i="3"/>
  <c r="AZ517" i="3"/>
  <c r="AZ527" i="3"/>
  <c r="AZ531" i="3"/>
  <c r="AZ536" i="3"/>
  <c r="AZ539" i="3"/>
  <c r="F29" i="39"/>
  <c r="AA29" i="39" s="1"/>
  <c r="S45" i="34"/>
  <c r="AC27" i="37"/>
  <c r="AB35" i="35"/>
  <c r="U32" i="33"/>
  <c r="AA36" i="35"/>
  <c r="U42" i="21"/>
  <c r="AB15" i="37"/>
  <c r="AZ370" i="3"/>
  <c r="AZ356" i="3"/>
  <c r="AZ345" i="3"/>
  <c r="AZ340" i="3"/>
  <c r="AZ329" i="3"/>
  <c r="AZ324" i="3"/>
  <c r="AZ305" i="3"/>
  <c r="AZ381" i="3"/>
  <c r="AZ359" i="3"/>
  <c r="AZ358" i="3"/>
  <c r="AZ355" i="3"/>
  <c r="AZ307" i="3"/>
  <c r="U12" i="37"/>
  <c r="S10" i="35"/>
  <c r="AB8" i="34"/>
  <c r="AC33" i="36"/>
  <c r="W23" i="37"/>
  <c r="AC23" i="37"/>
  <c r="AZ541" i="3"/>
  <c r="AB45" i="33"/>
  <c r="J35" i="35"/>
  <c r="AC35" i="35" s="1"/>
  <c r="H13" i="35"/>
  <c r="F47" i="34"/>
  <c r="H45" i="34"/>
  <c r="H29" i="34"/>
  <c r="J13" i="34"/>
  <c r="J46" i="33"/>
  <c r="AC46" i="33" s="1"/>
  <c r="J32" i="36"/>
  <c r="H28" i="33"/>
  <c r="AB46" i="21"/>
  <c r="U46" i="21"/>
  <c r="S42" i="34"/>
  <c r="AB42" i="34"/>
  <c r="U34" i="37"/>
  <c r="S38" i="33"/>
  <c r="AA38" i="21"/>
  <c r="S31" i="35"/>
  <c r="U36" i="21"/>
  <c r="AB36" i="21"/>
  <c r="J9" i="33"/>
  <c r="J26" i="33"/>
  <c r="F26" i="33"/>
  <c r="AB9" i="34"/>
  <c r="U9" i="34"/>
  <c r="F9" i="35"/>
  <c r="H30" i="33"/>
  <c r="J30" i="33"/>
  <c r="H36" i="35"/>
  <c r="J36" i="35"/>
  <c r="W27" i="35"/>
  <c r="AC27" i="35"/>
  <c r="U8" i="36"/>
  <c r="AB8" i="36"/>
  <c r="J23" i="36"/>
  <c r="F23" i="36"/>
  <c r="AB30" i="37"/>
  <c r="U30" i="37"/>
  <c r="U41" i="21"/>
  <c r="AB41" i="21"/>
  <c r="BL569" i="3"/>
  <c r="AZ569" i="3" s="1"/>
  <c r="G564" i="3"/>
  <c r="BL551" i="3"/>
  <c r="AZ551" i="3" s="1"/>
  <c r="BA550" i="3"/>
  <c r="AZ550" i="3" s="1"/>
  <c r="BL546" i="3"/>
  <c r="AZ546" i="3" s="1"/>
  <c r="BL545" i="3"/>
  <c r="AZ545" i="3" s="1"/>
  <c r="BL544" i="3"/>
  <c r="BA544" i="3"/>
  <c r="AZ544" i="3" s="1"/>
  <c r="BA543" i="3"/>
  <c r="AZ543" i="3" s="1"/>
  <c r="BA521" i="3"/>
  <c r="AZ521" i="3" s="1"/>
  <c r="BA520" i="3"/>
  <c r="BL516" i="3"/>
  <c r="AZ516" i="3" s="1"/>
  <c r="G500" i="3"/>
  <c r="BL495" i="3"/>
  <c r="AZ495" i="3" s="1"/>
  <c r="BA493" i="3"/>
  <c r="AZ493" i="3" s="1"/>
  <c r="BA492" i="3"/>
  <c r="AZ492" i="3" s="1"/>
  <c r="BL491" i="3"/>
  <c r="AZ491" i="3" s="1"/>
  <c r="G482" i="3"/>
  <c r="BL20" i="3"/>
  <c r="AZ20" i="3" s="1"/>
  <c r="BA19" i="3"/>
  <c r="BL500" i="3"/>
  <c r="AZ500" i="3" s="1"/>
  <c r="BL510" i="3"/>
  <c r="AZ510" i="3" s="1"/>
  <c r="BL538" i="3"/>
  <c r="AZ538" i="3" s="1"/>
  <c r="BL552" i="3"/>
  <c r="AZ552" i="3" s="1"/>
  <c r="BL556" i="3"/>
  <c r="AZ556" i="3" s="1"/>
  <c r="BL560" i="3"/>
  <c r="AZ560" i="3" s="1"/>
  <c r="G542" i="3"/>
  <c r="H5" i="3"/>
  <c r="BI5" i="3"/>
  <c r="BA570" i="3"/>
  <c r="AZ570" i="3" s="1"/>
  <c r="G568" i="3"/>
  <c r="G553" i="3"/>
  <c r="G548" i="3"/>
  <c r="G541" i="3"/>
  <c r="G533" i="3"/>
  <c r="G527" i="3"/>
  <c r="G519" i="3"/>
  <c r="G509" i="3"/>
  <c r="G503" i="3"/>
  <c r="G495" i="3"/>
  <c r="G486" i="3"/>
  <c r="G14" i="3"/>
  <c r="A2" i="55"/>
  <c r="B55" i="63" s="1"/>
  <c r="BA389" i="3"/>
  <c r="AZ389" i="3" s="1"/>
  <c r="BA390" i="3"/>
  <c r="AZ390" i="3" s="1"/>
  <c r="BA391" i="3"/>
  <c r="AZ391" i="3" s="1"/>
  <c r="G394" i="3"/>
  <c r="AZ405" i="3"/>
  <c r="G395" i="3"/>
  <c r="BL395" i="3"/>
  <c r="AZ395" i="3" s="1"/>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A457" i="3"/>
  <c r="AZ457" i="3" s="1"/>
  <c r="BL459" i="3"/>
  <c r="AZ459" i="3" s="1"/>
  <c r="BA460" i="3"/>
  <c r="AZ460" i="3" s="1"/>
  <c r="BA461" i="3"/>
  <c r="AZ461" i="3" s="1"/>
  <c r="BA462" i="3"/>
  <c r="AZ462" i="3" s="1"/>
  <c r="BA463" i="3"/>
  <c r="AZ463" i="3" s="1"/>
  <c r="BA464" i="3"/>
  <c r="AZ464" i="3" s="1"/>
  <c r="G466" i="3"/>
  <c r="G467" i="3"/>
  <c r="BL467" i="3"/>
  <c r="AZ467" i="3" s="1"/>
  <c r="G468" i="3"/>
  <c r="G469" i="3"/>
  <c r="BL469" i="3"/>
  <c r="AZ469" i="3" s="1"/>
  <c r="BA470" i="3"/>
  <c r="AZ470" i="3" s="1"/>
  <c r="BA471" i="3"/>
  <c r="AZ471" i="3" s="1"/>
  <c r="G474" i="3"/>
  <c r="G475" i="3"/>
  <c r="G476" i="3"/>
  <c r="G477" i="3"/>
  <c r="BL477" i="3"/>
  <c r="AZ477" i="3" s="1"/>
  <c r="BA478" i="3"/>
  <c r="AZ478" i="3" s="1"/>
  <c r="BA479" i="3"/>
  <c r="AZ479" i="3" s="1"/>
  <c r="BA480" i="3"/>
  <c r="AZ480" i="3" s="1"/>
  <c r="G307" i="3"/>
  <c r="BA309" i="3"/>
  <c r="AZ309" i="3" s="1"/>
  <c r="G313" i="3"/>
  <c r="BL314" i="3"/>
  <c r="AZ314" i="3" s="1"/>
  <c r="BA317" i="3"/>
  <c r="AZ317" i="3" s="1"/>
  <c r="BL318" i="3"/>
  <c r="G320" i="3"/>
  <c r="G331" i="3"/>
  <c r="BA333" i="3"/>
  <c r="AZ333" i="3" s="1"/>
  <c r="BL335" i="3"/>
  <c r="AZ335" i="3" s="1"/>
  <c r="G336" i="3"/>
  <c r="BA337" i="3"/>
  <c r="AZ337" i="3" s="1"/>
  <c r="G345" i="3"/>
  <c r="G349" i="3"/>
  <c r="BA351" i="3"/>
  <c r="AZ351" i="3" s="1"/>
  <c r="BA357" i="3"/>
  <c r="AZ357" i="3" s="1"/>
  <c r="BL364" i="3"/>
  <c r="AZ364" i="3" s="1"/>
  <c r="BL369" i="3"/>
  <c r="AZ369" i="3" s="1"/>
  <c r="G375" i="3"/>
  <c r="AZ411" i="3"/>
  <c r="AZ420" i="3"/>
  <c r="AZ432" i="3"/>
  <c r="AZ447" i="3"/>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G259" i="3"/>
  <c r="BL259" i="3"/>
  <c r="BL261" i="3"/>
  <c r="AZ261" i="3" s="1"/>
  <c r="G263" i="3"/>
  <c r="G264" i="3"/>
  <c r="BL264" i="3"/>
  <c r="G267" i="3"/>
  <c r="BL267" i="3"/>
  <c r="BA269" i="3"/>
  <c r="AZ269" i="3" s="1"/>
  <c r="BA270" i="3"/>
  <c r="AZ270" i="3" s="1"/>
  <c r="G274" i="3"/>
  <c r="G275" i="3"/>
  <c r="BL275" i="3"/>
  <c r="G278" i="3"/>
  <c r="G279" i="3"/>
  <c r="BL279" i="3"/>
  <c r="BA280" i="3"/>
  <c r="AZ280" i="3" s="1"/>
  <c r="BA375" i="3"/>
  <c r="AZ375" i="3" s="1"/>
  <c r="BL380" i="3"/>
  <c r="AZ380" i="3" s="1"/>
  <c r="BL385" i="3"/>
  <c r="AZ385" i="3" s="1"/>
  <c r="BA386" i="3"/>
  <c r="AZ386" i="3" s="1"/>
  <c r="BL388" i="3"/>
  <c r="AZ388" i="3" s="1"/>
  <c r="AZ267" i="3"/>
  <c r="AZ272"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AZ89" i="3"/>
  <c r="D54" i="59"/>
  <c r="C55" i="59"/>
  <c r="AA12" i="46"/>
  <c r="AA13" i="46" s="1"/>
  <c r="AI12" i="46"/>
  <c r="AI13" i="46" s="1"/>
  <c r="T20" i="59"/>
  <c r="BL106" i="3"/>
  <c r="AZ106" i="3" s="1"/>
  <c r="BA108" i="3"/>
  <c r="AZ108" i="3" s="1"/>
  <c r="BL110" i="3"/>
  <c r="AZ110" i="3" s="1"/>
  <c r="BA111" i="3"/>
  <c r="AZ111" i="3" s="1"/>
  <c r="BA112" i="3"/>
  <c r="AZ112" i="3" s="1"/>
  <c r="K13" i="1"/>
  <c r="M13" i="1" s="1"/>
  <c r="O13" i="1" s="1"/>
  <c r="P13" i="1" s="1"/>
  <c r="I10" i="57"/>
  <c r="C31" i="39"/>
  <c r="S21" i="21"/>
  <c r="T60" i="59"/>
  <c r="T48" i="59"/>
  <c r="C52" i="59"/>
  <c r="N16" i="4"/>
  <c r="AB23" i="59"/>
  <c r="Y23" i="59"/>
  <c r="Z23" i="59" s="1"/>
  <c r="AA23" i="59"/>
  <c r="X24" i="59"/>
  <c r="X3" i="59"/>
  <c r="B26" i="59"/>
  <c r="B27" i="59" s="1"/>
  <c r="B28" i="59" s="1"/>
  <c r="S28" i="59" s="1"/>
  <c r="AA25" i="59"/>
  <c r="AA26" i="59"/>
  <c r="AA28" i="59"/>
  <c r="F30" i="59"/>
  <c r="F31" i="59" s="1"/>
  <c r="F32" i="59" s="1"/>
  <c r="V32" i="59" s="1"/>
  <c r="X30" i="59"/>
  <c r="AA30" i="59"/>
  <c r="X31" i="59"/>
  <c r="AA31" i="59"/>
  <c r="X32" i="59"/>
  <c r="B34" i="59"/>
  <c r="B35" i="59" s="1"/>
  <c r="B36" i="59" s="1"/>
  <c r="S36" i="59" s="1"/>
  <c r="J37" i="39"/>
  <c r="W37" i="39" s="1"/>
  <c r="AA37" i="39"/>
  <c r="S40" i="39"/>
  <c r="K109" i="46"/>
  <c r="B116" i="46"/>
  <c r="C116" i="46" s="1"/>
  <c r="E106" i="46"/>
  <c r="G104" i="46"/>
  <c r="I117" i="46"/>
  <c r="J117" i="46" s="1"/>
  <c r="K117" i="46" s="1"/>
  <c r="L117" i="46" s="1"/>
  <c r="M117" i="46" s="1"/>
  <c r="L107" i="46"/>
  <c r="L106" i="46"/>
  <c r="H109" i="46"/>
  <c r="G6" i="1"/>
  <c r="G8" i="1"/>
  <c r="D18" i="9"/>
  <c r="M44" i="9" s="1"/>
  <c r="M43" i="9"/>
  <c r="P75" i="15"/>
  <c r="W43" i="39"/>
  <c r="W41" i="39"/>
  <c r="U41" i="39"/>
  <c r="S41" i="39"/>
  <c r="AC31" i="39"/>
  <c r="AB29" i="39"/>
  <c r="S29" i="39"/>
  <c r="W29" i="39"/>
  <c r="S27" i="39"/>
  <c r="U27" i="39"/>
  <c r="W27" i="39"/>
  <c r="W25" i="39"/>
  <c r="S25" i="39"/>
  <c r="W23" i="39"/>
  <c r="U23" i="39"/>
  <c r="U19" i="39"/>
  <c r="AA19" i="39"/>
  <c r="AC19" i="39"/>
  <c r="AC21" i="39"/>
  <c r="AC17" i="39"/>
  <c r="S14" i="39"/>
  <c r="G107" i="46"/>
  <c r="G106" i="46"/>
  <c r="G118" i="46"/>
  <c r="H118" i="46" s="1"/>
  <c r="D118" i="46"/>
  <c r="E118" i="46" s="1"/>
  <c r="F118" i="46" s="1"/>
  <c r="I115" i="46"/>
  <c r="J115" i="46" s="1"/>
  <c r="K115" i="46" s="1"/>
  <c r="L115" i="46" s="1"/>
  <c r="M115" i="46" s="1"/>
  <c r="E107" i="46"/>
  <c r="K106" i="46"/>
  <c r="D105" i="46"/>
  <c r="H106" i="46"/>
  <c r="M105" i="46"/>
  <c r="L27" i="6"/>
  <c r="N102" i="46"/>
  <c r="I103" i="46"/>
  <c r="I104" i="46"/>
  <c r="E53" i="40"/>
  <c r="E58" i="39"/>
  <c r="F27" i="6"/>
  <c r="C105" i="46"/>
  <c r="C102" i="46"/>
  <c r="C107" i="46"/>
  <c r="J105" i="46"/>
  <c r="J104" i="46"/>
  <c r="I105" i="46"/>
  <c r="N103" i="46"/>
  <c r="N109" i="46"/>
  <c r="N104" i="46"/>
  <c r="I109" i="46"/>
  <c r="M102" i="46"/>
  <c r="M106" i="46"/>
  <c r="F105" i="46"/>
  <c r="F104" i="46"/>
  <c r="E109" i="46"/>
  <c r="G109" i="46"/>
  <c r="G105" i="46"/>
  <c r="G102" i="46"/>
  <c r="B117" i="46"/>
  <c r="C117" i="46" s="1"/>
  <c r="D115" i="46"/>
  <c r="E115" i="46" s="1"/>
  <c r="F115" i="46" s="1"/>
  <c r="G115" i="46" s="1"/>
  <c r="H115" i="46" s="1"/>
  <c r="D117" i="46"/>
  <c r="E117" i="46" s="1"/>
  <c r="F117" i="46" s="1"/>
  <c r="G117" i="46" s="1"/>
  <c r="H117" i="46" s="1"/>
  <c r="D116" i="46"/>
  <c r="E116" i="46" s="1"/>
  <c r="F116" i="46" s="1"/>
  <c r="G116" i="46" s="1"/>
  <c r="H116" i="46" s="1"/>
  <c r="I116" i="46"/>
  <c r="J116" i="46" s="1"/>
  <c r="K116" i="46" s="1"/>
  <c r="L116" i="46" s="1"/>
  <c r="M116" i="46" s="1"/>
  <c r="L105" i="46"/>
  <c r="E103" i="46"/>
  <c r="K105" i="46"/>
  <c r="K103" i="46"/>
  <c r="D104" i="46"/>
  <c r="D102" i="46"/>
  <c r="AH13" i="46"/>
  <c r="H16" i="1"/>
  <c r="F30" i="6"/>
  <c r="B115" i="46"/>
  <c r="L103" i="46"/>
  <c r="L109" i="46"/>
  <c r="L104" i="46"/>
  <c r="E102" i="46"/>
  <c r="E105" i="46"/>
  <c r="K104" i="46"/>
  <c r="K102" i="46"/>
  <c r="D109" i="46"/>
  <c r="H104" i="46"/>
  <c r="D103" i="46"/>
  <c r="H105" i="46"/>
  <c r="H107" i="46"/>
  <c r="D107" i="46"/>
  <c r="H103" i="46"/>
  <c r="L16" i="4"/>
  <c r="K17" i="4" s="1"/>
  <c r="A22" i="51" s="1"/>
  <c r="B16" i="63" s="1"/>
  <c r="O40" i="9"/>
  <c r="K31" i="9" s="1"/>
  <c r="K32" i="9" s="1"/>
  <c r="B21" i="63"/>
  <c r="D15" i="59"/>
  <c r="D16" i="59"/>
  <c r="B15" i="59"/>
  <c r="B14" i="59" s="1"/>
  <c r="B13" i="59" s="1"/>
  <c r="S16" i="59"/>
  <c r="T16" i="59"/>
  <c r="F15" i="59"/>
  <c r="F14" i="59" s="1"/>
  <c r="F13" i="59" s="1"/>
  <c r="F12" i="59" s="1"/>
  <c r="V16" i="59"/>
  <c r="C12" i="59"/>
  <c r="D13" i="59"/>
  <c r="F103" i="46"/>
  <c r="F102" i="46"/>
  <c r="F109" i="46"/>
  <c r="R7" i="54"/>
  <c r="B52" i="63" s="1"/>
  <c r="D21" i="12"/>
  <c r="C21" i="12" s="1"/>
  <c r="AB34" i="40"/>
  <c r="U16" i="40"/>
  <c r="W14" i="39"/>
  <c r="S23" i="39"/>
  <c r="AB25" i="39"/>
  <c r="AC47" i="39"/>
  <c r="W40" i="40"/>
  <c r="AZ520" i="3"/>
  <c r="AC8" i="21"/>
  <c r="W8" i="21"/>
  <c r="W40" i="21"/>
  <c r="AC40" i="21"/>
  <c r="BG5" i="3"/>
  <c r="B73" i="46"/>
  <c r="C29" i="39"/>
  <c r="F9" i="21"/>
  <c r="H9" i="21"/>
  <c r="S12" i="33"/>
  <c r="AA12" i="33"/>
  <c r="AC38" i="33"/>
  <c r="W38" i="33"/>
  <c r="H27" i="33"/>
  <c r="J27" i="33"/>
  <c r="F27" i="33"/>
  <c r="U40" i="34"/>
  <c r="AB40" i="34"/>
  <c r="J34" i="35"/>
  <c r="H34" i="35"/>
  <c r="F34" i="35"/>
  <c r="AC41" i="34"/>
  <c r="W31" i="34"/>
  <c r="W46" i="33"/>
  <c r="W35" i="35"/>
  <c r="S39" i="37"/>
  <c r="AA39" i="37"/>
  <c r="BT5" i="3"/>
  <c r="G28" i="6" s="1"/>
  <c r="BL13" i="3"/>
  <c r="H13" i="21"/>
  <c r="J13" i="21"/>
  <c r="F13" i="21"/>
  <c r="H27" i="21"/>
  <c r="J27" i="21"/>
  <c r="F27" i="21"/>
  <c r="J29" i="21"/>
  <c r="H29" i="21"/>
  <c r="F29" i="21"/>
  <c r="J31" i="21"/>
  <c r="H31" i="21"/>
  <c r="F31" i="21"/>
  <c r="J45" i="21"/>
  <c r="F45" i="21"/>
  <c r="H45" i="21"/>
  <c r="AB9" i="33"/>
  <c r="U9" i="33"/>
  <c r="AA33" i="33"/>
  <c r="S33" i="33"/>
  <c r="AB38" i="33"/>
  <c r="U38" i="33"/>
  <c r="AA34" i="34"/>
  <c r="S34" i="34"/>
  <c r="S28" i="34"/>
  <c r="AA28" i="34"/>
  <c r="AA31" i="33"/>
  <c r="S31" i="33"/>
  <c r="H44" i="33"/>
  <c r="J44" i="33"/>
  <c r="F44" i="33"/>
  <c r="S10" i="36"/>
  <c r="F12" i="36"/>
  <c r="U24" i="36"/>
  <c r="AC24" i="36"/>
  <c r="W22" i="36"/>
  <c r="U22" i="36"/>
  <c r="W41" i="21"/>
  <c r="F25" i="37"/>
  <c r="J25" i="37"/>
  <c r="K145" i="21"/>
  <c r="AZ392" i="3"/>
  <c r="AZ397" i="3"/>
  <c r="AZ408" i="3"/>
  <c r="AZ413" i="3"/>
  <c r="AZ424" i="3"/>
  <c r="AZ437" i="3"/>
  <c r="AZ451" i="3"/>
  <c r="AZ472" i="3"/>
  <c r="A30" i="51"/>
  <c r="B22" i="63" s="1"/>
  <c r="A30" i="64"/>
  <c r="AZ318" i="3"/>
  <c r="AZ387" i="3"/>
  <c r="AZ216" i="3"/>
  <c r="AZ219" i="3"/>
  <c r="AZ232" i="3"/>
  <c r="AZ235" i="3"/>
  <c r="AZ248" i="3"/>
  <c r="AZ251" i="3"/>
  <c r="AZ259" i="3"/>
  <c r="AZ264" i="3"/>
  <c r="AZ271" i="3"/>
  <c r="AZ21" i="3"/>
  <c r="AZ28" i="3"/>
  <c r="AZ34" i="3"/>
  <c r="AZ38" i="3"/>
  <c r="AZ49" i="3"/>
  <c r="AZ54" i="3"/>
  <c r="AZ64" i="3"/>
  <c r="AZ69" i="3"/>
  <c r="AZ80" i="3"/>
  <c r="AZ275" i="3"/>
  <c r="AZ279" i="3"/>
  <c r="AZ291" i="3"/>
  <c r="AZ294" i="3"/>
  <c r="AZ113" i="3"/>
  <c r="AZ116" i="3"/>
  <c r="AZ129" i="3"/>
  <c r="AZ132" i="3"/>
  <c r="AZ145" i="3"/>
  <c r="AZ148" i="3"/>
  <c r="AZ61" i="3"/>
  <c r="AZ76" i="3"/>
  <c r="AZ83" i="3"/>
  <c r="AZ87" i="3"/>
  <c r="AZ93" i="3"/>
  <c r="AZ96" i="3"/>
  <c r="AZ103" i="3"/>
  <c r="I21" i="57"/>
  <c r="D1" i="57" s="1"/>
  <c r="E10" i="57" s="1"/>
  <c r="AZ109" i="3"/>
  <c r="AB25" i="59"/>
  <c r="F26" i="59"/>
  <c r="F27" i="59" s="1"/>
  <c r="F28" i="59" s="1"/>
  <c r="V28" i="59" s="1"/>
  <c r="AB3" i="59"/>
  <c r="AB22" i="59"/>
  <c r="X29" i="59"/>
  <c r="B30" i="59"/>
  <c r="B31" i="59" s="1"/>
  <c r="B32" i="59" s="1"/>
  <c r="S32" i="59" s="1"/>
  <c r="AB33" i="59"/>
  <c r="F34" i="59"/>
  <c r="F35" i="59" s="1"/>
  <c r="F36" i="59" s="1"/>
  <c r="V36" i="59" s="1"/>
  <c r="AA5" i="59"/>
  <c r="AA6" i="59"/>
  <c r="C43" i="59"/>
  <c r="D43" i="59" s="1"/>
  <c r="D42" i="59"/>
  <c r="Q62" i="59"/>
  <c r="Q61" i="59"/>
  <c r="O64" i="59"/>
  <c r="C63" i="59"/>
  <c r="B54" i="46"/>
  <c r="C27" i="40"/>
  <c r="S27" i="40"/>
  <c r="S21" i="34"/>
  <c r="S18" i="35"/>
  <c r="D59" i="59"/>
  <c r="Y22" i="59"/>
  <c r="Z22" i="59" s="1"/>
  <c r="C27" i="59"/>
  <c r="X27" i="59"/>
  <c r="Y29" i="59"/>
  <c r="Z29" i="59" s="1"/>
  <c r="C30" i="59"/>
  <c r="AA32" i="59"/>
  <c r="C35" i="59"/>
  <c r="AA33" i="59"/>
  <c r="E34" i="59"/>
  <c r="E35" i="59" s="1"/>
  <c r="E36" i="59" s="1"/>
  <c r="U36" i="59" s="1"/>
  <c r="AA34" i="59"/>
  <c r="X5" i="59"/>
  <c r="X6" i="59"/>
  <c r="X35" i="59"/>
  <c r="AB6" i="59"/>
  <c r="AB5" i="59"/>
  <c r="AB35" i="59"/>
  <c r="T68" i="59"/>
  <c r="C67" i="59"/>
  <c r="C79" i="59"/>
  <c r="C75" i="59"/>
  <c r="AA24" i="59"/>
  <c r="AA22" i="59"/>
  <c r="AA3" i="59"/>
  <c r="X23" i="59"/>
  <c r="X21" i="59"/>
  <c r="Y25" i="59"/>
  <c r="Z25" i="59" s="1"/>
  <c r="X26" i="59"/>
  <c r="AA27" i="59"/>
  <c r="X28" i="59"/>
  <c r="AA29" i="59"/>
  <c r="AB30" i="59"/>
  <c r="Y31" i="59"/>
  <c r="Z31" i="59" s="1"/>
  <c r="AB32" i="59"/>
  <c r="Y33" i="59"/>
  <c r="Z33" i="59" s="1"/>
  <c r="Y5" i="59"/>
  <c r="Z5" i="59" s="1"/>
  <c r="Y6" i="59"/>
  <c r="Z6" i="59" s="1"/>
  <c r="Y20" i="59"/>
  <c r="Z20" i="59" s="1"/>
  <c r="C24" i="59"/>
  <c r="AB20" i="59"/>
  <c r="F24" i="59"/>
  <c r="D20" i="59"/>
  <c r="U24" i="59"/>
  <c r="X14" i="59"/>
  <c r="X13" i="59"/>
  <c r="Y13" i="59"/>
  <c r="Z13" i="59" s="1"/>
  <c r="AB14" i="59"/>
  <c r="X10" i="59"/>
  <c r="A28" i="64"/>
  <c r="S24" i="59"/>
  <c r="X19" i="59"/>
  <c r="X17" i="59"/>
  <c r="AA19" i="59"/>
  <c r="Y19" i="59"/>
  <c r="Z19" i="59" s="1"/>
  <c r="AB19" i="59"/>
  <c r="AA14" i="59"/>
  <c r="AA13" i="59"/>
  <c r="AB13" i="59"/>
  <c r="Y10" i="59"/>
  <c r="Z10" i="59" s="1"/>
  <c r="AB10" i="59"/>
  <c r="X20" i="59"/>
  <c r="AA17" i="59"/>
  <c r="Y14" i="59"/>
  <c r="Z14" i="59" s="1"/>
  <c r="AA11" i="59"/>
  <c r="X12" i="59"/>
  <c r="AB7" i="59"/>
  <c r="Y8" i="59"/>
  <c r="Z8" i="59" s="1"/>
  <c r="Y9" i="59"/>
  <c r="Z9" i="59" s="1"/>
  <c r="AA7" i="59"/>
  <c r="AA8" i="59"/>
  <c r="AA10" i="59"/>
  <c r="X8" i="59"/>
  <c r="X7" i="59"/>
  <c r="AB11" i="59"/>
  <c r="AB8" i="59"/>
  <c r="AB9" i="59"/>
  <c r="Y7" i="59"/>
  <c r="Z7" i="59" s="1"/>
  <c r="AA9" i="59"/>
  <c r="X9" i="59"/>
  <c r="A25" i="51"/>
  <c r="B18" i="63" s="1"/>
  <c r="AP16" i="1"/>
  <c r="F22" i="11" s="1"/>
  <c r="G10" i="1"/>
  <c r="G13" i="1"/>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E12" i="59"/>
  <c r="B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C36" i="44"/>
  <c r="Q73" i="44"/>
  <c r="F65" i="15"/>
  <c r="C29" i="44"/>
  <c r="C8" i="44"/>
  <c r="F50" i="15"/>
  <c r="C27" i="15"/>
  <c r="F64" i="15"/>
  <c r="I1" i="65"/>
  <c r="F70" i="15"/>
  <c r="M9" i="44"/>
  <c r="J8" i="44" s="1"/>
  <c r="L60" i="44"/>
  <c r="L59" i="44"/>
  <c r="J53" i="15"/>
  <c r="J57" i="15"/>
  <c r="J55" i="15" s="1"/>
  <c r="J58" i="15" s="1"/>
  <c r="Q51" i="15" s="1"/>
  <c r="I54" i="15"/>
  <c r="L56" i="15"/>
  <c r="I55" i="44"/>
  <c r="J54" i="44"/>
  <c r="L57" i="44"/>
  <c r="J58" i="44"/>
  <c r="J56" i="44" s="1"/>
  <c r="J59" i="44" s="1"/>
  <c r="Q52" i="44" s="1"/>
  <c r="J60" i="44"/>
  <c r="J61" i="44"/>
  <c r="Q50" i="44" s="1"/>
  <c r="J22" i="44"/>
  <c r="C4" i="65"/>
  <c r="B39" i="1" s="1"/>
  <c r="M23" i="15"/>
  <c r="M6" i="15"/>
  <c r="F6" i="15"/>
  <c r="F40" i="15"/>
  <c r="M28" i="15"/>
  <c r="F7" i="15"/>
  <c r="J36" i="15"/>
  <c r="L47" i="15"/>
  <c r="I7" i="65"/>
  <c r="C16" i="15"/>
  <c r="I4" i="65"/>
  <c r="J7" i="65"/>
  <c r="F36" i="15"/>
  <c r="M24" i="15"/>
  <c r="M9" i="15"/>
  <c r="J15" i="15"/>
  <c r="M22" i="15"/>
  <c r="J3" i="65"/>
  <c r="F42" i="15"/>
  <c r="C18" i="44"/>
  <c r="E2" i="65"/>
  <c r="J1" i="65" l="1"/>
  <c r="F63" i="15"/>
  <c r="L58" i="15"/>
  <c r="Q61" i="15" s="1"/>
  <c r="L59" i="15"/>
  <c r="Q72" i="15"/>
  <c r="M7" i="15"/>
  <c r="M17" i="15" s="1"/>
  <c r="F49" i="15"/>
  <c r="C48" i="15" s="1"/>
  <c r="F67" i="15"/>
  <c r="C6" i="15"/>
  <c r="C32" i="15" s="1"/>
  <c r="D52" i="59"/>
  <c r="T52" i="59"/>
  <c r="BA5" i="3"/>
  <c r="E27" i="6" s="1"/>
  <c r="AA23" i="36"/>
  <c r="S23" i="36"/>
  <c r="AC36" i="35"/>
  <c r="W36" i="35"/>
  <c r="AC30" i="33"/>
  <c r="W30" i="33"/>
  <c r="AA9" i="35"/>
  <c r="S9" i="35"/>
  <c r="AC26" i="33"/>
  <c r="W26" i="33"/>
  <c r="AB28" i="33"/>
  <c r="U28" i="33"/>
  <c r="U29" i="34"/>
  <c r="AB29" i="34"/>
  <c r="AA47" i="34"/>
  <c r="S47" i="34"/>
  <c r="Q16" i="1"/>
  <c r="AB39" i="37"/>
  <c r="U39" i="37"/>
  <c r="AC39" i="37"/>
  <c r="W39" i="37"/>
  <c r="AA14" i="37"/>
  <c r="S14" i="37"/>
  <c r="AB32" i="36"/>
  <c r="U32" i="36"/>
  <c r="S24" i="36"/>
  <c r="AA24" i="36"/>
  <c r="AC13" i="36"/>
  <c r="W13" i="36"/>
  <c r="AB25" i="35"/>
  <c r="U25" i="35"/>
  <c r="AC47" i="34"/>
  <c r="W47" i="34"/>
  <c r="S31" i="34"/>
  <c r="AA31" i="34"/>
  <c r="AA13" i="34"/>
  <c r="S13" i="34"/>
  <c r="AB31" i="33"/>
  <c r="U31" i="33"/>
  <c r="AB9" i="35"/>
  <c r="U9" i="35"/>
  <c r="AZ19" i="3"/>
  <c r="H7" i="34"/>
  <c r="AC37" i="39"/>
  <c r="D55" i="59"/>
  <c r="C56" i="59"/>
  <c r="G5" i="3"/>
  <c r="B3" i="3" s="1"/>
  <c r="AC23" i="36"/>
  <c r="W23" i="36"/>
  <c r="AB36" i="35"/>
  <c r="U36" i="35"/>
  <c r="AB30" i="33"/>
  <c r="U30" i="33"/>
  <c r="AA26" i="33"/>
  <c r="S26" i="33"/>
  <c r="AC9" i="33"/>
  <c r="W9" i="33"/>
  <c r="AC32" i="36"/>
  <c r="W32" i="36"/>
  <c r="W13" i="34"/>
  <c r="AC13" i="34"/>
  <c r="U45" i="34"/>
  <c r="AB45" i="34"/>
  <c r="U13" i="35"/>
  <c r="AB13" i="35"/>
  <c r="W14" i="37"/>
  <c r="AC14" i="37"/>
  <c r="U14" i="37"/>
  <c r="AB14" i="37"/>
  <c r="S32" i="36"/>
  <c r="AA32" i="36"/>
  <c r="S13" i="36"/>
  <c r="AA13" i="36"/>
  <c r="AB13" i="36"/>
  <c r="U13" i="36"/>
  <c r="AC25" i="35"/>
  <c r="W25" i="35"/>
  <c r="U47" i="34"/>
  <c r="AB47" i="34"/>
  <c r="U13" i="34"/>
  <c r="AB13" i="34"/>
  <c r="AC31" i="33"/>
  <c r="W31" i="33"/>
  <c r="W9" i="35"/>
  <c r="AC9" i="35"/>
  <c r="F31" i="6"/>
  <c r="C115" i="46"/>
  <c r="D113" i="46" s="1"/>
  <c r="G16" i="1"/>
  <c r="J12" i="40" s="1"/>
  <c r="F7" i="34"/>
  <c r="S7" i="34" s="1"/>
  <c r="J7" i="34"/>
  <c r="E11" i="59"/>
  <c r="E10" i="59" s="1"/>
  <c r="E9" i="59" s="1"/>
  <c r="E8" i="59" s="1"/>
  <c r="U12" i="59"/>
  <c r="V24" i="59"/>
  <c r="F23" i="59"/>
  <c r="F22" i="59" s="1"/>
  <c r="D24" i="59"/>
  <c r="T24" i="59"/>
  <c r="C23" i="59"/>
  <c r="C74" i="59"/>
  <c r="D74" i="59" s="1"/>
  <c r="D75" i="59"/>
  <c r="D67" i="59"/>
  <c r="C66" i="59"/>
  <c r="D66" i="59" s="1"/>
  <c r="D27" i="59"/>
  <c r="C28" i="59"/>
  <c r="O63" i="59"/>
  <c r="C62" i="59"/>
  <c r="D63" i="59"/>
  <c r="AA25" i="37"/>
  <c r="S25" i="37"/>
  <c r="S12" i="36"/>
  <c r="AA12" i="36"/>
  <c r="S44" i="33"/>
  <c r="AA44" i="33"/>
  <c r="U44" i="33"/>
  <c r="AB44" i="33"/>
  <c r="AA45" i="21"/>
  <c r="S45" i="21"/>
  <c r="S31" i="21"/>
  <c r="AA31" i="21"/>
  <c r="AC31" i="21"/>
  <c r="W31" i="21"/>
  <c r="U29" i="21"/>
  <c r="AB29" i="21"/>
  <c r="AA27" i="21"/>
  <c r="S27" i="21"/>
  <c r="AB27" i="21"/>
  <c r="U27" i="21"/>
  <c r="AC13" i="21"/>
  <c r="W13" i="21"/>
  <c r="BL5" i="3"/>
  <c r="AZ13" i="3"/>
  <c r="AZ5" i="3" s="1"/>
  <c r="AA34" i="35"/>
  <c r="S34" i="35"/>
  <c r="AC34" i="35"/>
  <c r="W34" i="35"/>
  <c r="AC27" i="33"/>
  <c r="W27" i="33"/>
  <c r="AB9" i="21"/>
  <c r="U9" i="21"/>
  <c r="E15" i="6"/>
  <c r="E12" i="6"/>
  <c r="E11" i="6"/>
  <c r="E14" i="6"/>
  <c r="E13" i="6"/>
  <c r="E10" i="6"/>
  <c r="C11" i="59"/>
  <c r="T12" i="59"/>
  <c r="B11" i="59"/>
  <c r="B10" i="59" s="1"/>
  <c r="B9" i="59" s="1"/>
  <c r="B8" i="59" s="1"/>
  <c r="S8" i="59" s="1"/>
  <c r="S12" i="59"/>
  <c r="D79" i="59"/>
  <c r="C78" i="59"/>
  <c r="D78" i="59" s="1"/>
  <c r="D35" i="59"/>
  <c r="C36" i="59"/>
  <c r="D30" i="59"/>
  <c r="C31" i="59"/>
  <c r="W25" i="37"/>
  <c r="AC25" i="37"/>
  <c r="AC44" i="33"/>
  <c r="W44" i="33"/>
  <c r="U45" i="21"/>
  <c r="AB45" i="21"/>
  <c r="AC45" i="21"/>
  <c r="W45" i="21"/>
  <c r="U31" i="21"/>
  <c r="AB31" i="21"/>
  <c r="S29" i="21"/>
  <c r="AA29" i="21"/>
  <c r="AC29" i="21"/>
  <c r="W29" i="21"/>
  <c r="W27" i="21"/>
  <c r="AC27" i="21"/>
  <c r="AA13" i="21"/>
  <c r="S13" i="21"/>
  <c r="AB13" i="21"/>
  <c r="U13" i="21"/>
  <c r="G30" i="6"/>
  <c r="G31" i="6" s="1"/>
  <c r="E28" i="6"/>
  <c r="U34" i="35"/>
  <c r="AB34" i="35"/>
  <c r="AA27" i="33"/>
  <c r="S27" i="33"/>
  <c r="U27" i="33"/>
  <c r="AB27" i="33"/>
  <c r="S9" i="21"/>
  <c r="AA9" i="21"/>
  <c r="F11" i="59"/>
  <c r="F10" i="59" s="1"/>
  <c r="F9" i="59" s="1"/>
  <c r="F8" i="59" s="1"/>
  <c r="V12" i="59"/>
  <c r="F7" i="21"/>
  <c r="AA7" i="21" s="1"/>
  <c r="R48" i="21" s="1"/>
  <c r="H7" i="21"/>
  <c r="AB7" i="21" s="1"/>
  <c r="T48" i="21" s="1"/>
  <c r="G48" i="21" s="1"/>
  <c r="B7" i="59"/>
  <c r="E7" i="59"/>
  <c r="U8" i="59"/>
  <c r="F58" i="15"/>
  <c r="H7" i="35"/>
  <c r="U7" i="35" s="1"/>
  <c r="B40" i="1"/>
  <c r="E65" i="40"/>
  <c r="D67" i="40"/>
  <c r="AC7" i="33"/>
  <c r="V48" i="33" s="1"/>
  <c r="I48" i="33" s="1"/>
  <c r="W7" i="33"/>
  <c r="AA7" i="34"/>
  <c r="R49" i="34" s="1"/>
  <c r="W7" i="34"/>
  <c r="AC7" i="34"/>
  <c r="V49" i="34" s="1"/>
  <c r="I49" i="34" s="1"/>
  <c r="U7" i="21"/>
  <c r="J7" i="37"/>
  <c r="W7" i="21"/>
  <c r="AC7" i="21"/>
  <c r="V48" i="21" s="1"/>
  <c r="I48" i="21" s="1"/>
  <c r="D72" i="39"/>
  <c r="E70" i="39"/>
  <c r="AB7" i="34"/>
  <c r="T49" i="34" s="1"/>
  <c r="G49" i="34" s="1"/>
  <c r="U7" i="34"/>
  <c r="H7" i="33"/>
  <c r="F7" i="33"/>
  <c r="J46" i="36"/>
  <c r="J7" i="35"/>
  <c r="F7" i="35"/>
  <c r="H7" i="37"/>
  <c r="F7" i="37"/>
  <c r="M19" i="44"/>
  <c r="C19" i="46"/>
  <c r="C34" i="46"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J6" i="15"/>
  <c r="E3" i="65"/>
  <c r="AE6" i="1"/>
  <c r="Q74" i="15" l="1"/>
  <c r="F17" i="11"/>
  <c r="C17" i="11" s="1"/>
  <c r="C19" i="11" s="1"/>
  <c r="S7" i="21"/>
  <c r="D56" i="59"/>
  <c r="T56" i="59"/>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266" i="3"/>
  <c r="E215" i="3"/>
  <c r="I6" i="3"/>
  <c r="E548" i="3"/>
  <c r="Z6" i="3"/>
  <c r="E454" i="3"/>
  <c r="E520" i="3"/>
  <c r="AK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124" i="3"/>
  <c r="E299" i="3"/>
  <c r="E327" i="3"/>
  <c r="E103" i="3"/>
  <c r="E200" i="3"/>
  <c r="E62" i="3"/>
  <c r="E389" i="3"/>
  <c r="E230" i="3"/>
  <c r="E143"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311" i="3"/>
  <c r="E263" i="3"/>
  <c r="E424" i="3"/>
  <c r="E82" i="3"/>
  <c r="E164" i="3"/>
  <c r="E99" i="3"/>
  <c r="E262" i="3"/>
  <c r="E101" i="3"/>
  <c r="F33" i="12"/>
  <c r="C34" i="12" s="1"/>
  <c r="D33" i="12" s="1"/>
  <c r="F24" i="43"/>
  <c r="C26" i="43" s="1"/>
  <c r="D24" i="43" s="1"/>
  <c r="J12" i="39"/>
  <c r="AC12" i="39" s="1"/>
  <c r="H12" i="40"/>
  <c r="H12" i="39"/>
  <c r="W12" i="40"/>
  <c r="AC12" i="40"/>
  <c r="F12" i="40"/>
  <c r="F12" i="39"/>
  <c r="K19" i="6"/>
  <c r="S6" i="1" s="1"/>
  <c r="K26" i="6"/>
  <c r="M26" i="6" s="1"/>
  <c r="I26" i="6" s="1"/>
  <c r="S26" i="6" s="1"/>
  <c r="K22" i="6"/>
  <c r="M22" i="6" s="1"/>
  <c r="I22" i="6" s="1"/>
  <c r="S22" i="6" s="1"/>
  <c r="E30" i="6"/>
  <c r="E31" i="6" s="1"/>
  <c r="K23" i="6"/>
  <c r="M23" i="6" s="1"/>
  <c r="I23" i="6" s="1"/>
  <c r="S23" i="6" s="1"/>
  <c r="K25" i="6"/>
  <c r="M25" i="6" s="1"/>
  <c r="I25" i="6" s="1"/>
  <c r="S25" i="6" s="1"/>
  <c r="K20" i="6"/>
  <c r="M20" i="6" s="1"/>
  <c r="I20" i="6" s="1"/>
  <c r="S20" i="6" s="1"/>
  <c r="K14" i="1"/>
  <c r="K24" i="6"/>
  <c r="M24" i="6" s="1"/>
  <c r="I24" i="6" s="1"/>
  <c r="S24" i="6" s="1"/>
  <c r="K21" i="6"/>
  <c r="M21" i="6" s="1"/>
  <c r="I21" i="6" s="1"/>
  <c r="S21" i="6" s="1"/>
  <c r="C32" i="59"/>
  <c r="D31" i="59"/>
  <c r="D36" i="59"/>
  <c r="T36" i="59"/>
  <c r="E16" i="6"/>
  <c r="E61" i="40"/>
  <c r="E66" i="39"/>
  <c r="E64" i="39"/>
  <c r="E59" i="40"/>
  <c r="E3" i="6"/>
  <c r="AY6" i="3"/>
  <c r="F7" i="59"/>
  <c r="F6" i="59" s="1"/>
  <c r="F5" i="59" s="1"/>
  <c r="V5" i="59" s="1"/>
  <c r="V8" i="59"/>
  <c r="C10" i="59"/>
  <c r="D11" i="59"/>
  <c r="E65" i="39"/>
  <c r="E60" i="40"/>
  <c r="E58" i="40"/>
  <c r="E63" i="39"/>
  <c r="E62" i="40"/>
  <c r="E67" i="39"/>
  <c r="D62" i="59"/>
  <c r="O62" i="59"/>
  <c r="O61" i="59"/>
  <c r="D28" i="59"/>
  <c r="T28" i="59"/>
  <c r="C22" i="59"/>
  <c r="D22" i="59" s="1"/>
  <c r="D23" i="59"/>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C17" i="15"/>
  <c r="H6" i="3" l="1"/>
  <c r="E6" i="3" s="1"/>
  <c r="AC6" i="3"/>
  <c r="S16" i="1"/>
  <c r="G43" i="35"/>
  <c r="H43" i="35" s="1"/>
  <c r="F68" i="15"/>
  <c r="W12" i="39"/>
  <c r="U12" i="40"/>
  <c r="AB12" i="40"/>
  <c r="U12" i="39"/>
  <c r="AB12" i="39"/>
  <c r="AA12" i="39"/>
  <c r="S12" i="39"/>
  <c r="AA12" i="40"/>
  <c r="S12"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82" i="3"/>
  <c r="AY203" i="3"/>
  <c r="AY95" i="3"/>
  <c r="AY182" i="3"/>
  <c r="AY175" i="3"/>
  <c r="AY264" i="3"/>
  <c r="AY467" i="3"/>
  <c r="AY479" i="3"/>
  <c r="AY286" i="3"/>
  <c r="AY398" i="3"/>
  <c r="AY238" i="3"/>
  <c r="AY72" i="3"/>
  <c r="AY241" i="3"/>
  <c r="AY30" i="3"/>
  <c r="AY542" i="3"/>
  <c r="AY420" i="3"/>
  <c r="AY188" i="3"/>
  <c r="AY157" i="3"/>
  <c r="AY528" i="3"/>
  <c r="AY52" i="3"/>
  <c r="AY246" i="3"/>
  <c r="AY408" i="3"/>
  <c r="AY374" i="3"/>
  <c r="AY183" i="3"/>
  <c r="AY25" i="3"/>
  <c r="AY197" i="3"/>
  <c r="AY321" i="3"/>
  <c r="AY86" i="3"/>
  <c r="AY428" i="3"/>
  <c r="AY42" i="3"/>
  <c r="AY218" i="3"/>
  <c r="AY392" i="3"/>
  <c r="AY356" i="3"/>
  <c r="AY288" i="3"/>
  <c r="AY147" i="3"/>
  <c r="AY162" i="3"/>
  <c r="AY562" i="3"/>
  <c r="AY127" i="3"/>
  <c r="AY407" i="3"/>
  <c r="AY140" i="3"/>
  <c r="AY461" i="3"/>
  <c r="AY546" i="3"/>
  <c r="AY242" i="3"/>
  <c r="AY417" i="3"/>
  <c r="AY287" i="3"/>
  <c r="AY163" i="3"/>
  <c r="AY385" i="3"/>
  <c r="AY492" i="3"/>
  <c r="AY15" i="3"/>
  <c r="AY355" i="3"/>
  <c r="AY220" i="3"/>
  <c r="BR6" i="3"/>
  <c r="AY68" i="3"/>
  <c r="AY357" i="3"/>
  <c r="AY133" i="3"/>
  <c r="AY84" i="3"/>
  <c r="AY538" i="3"/>
  <c r="AY534" i="3"/>
  <c r="AY557" i="3"/>
  <c r="AY478" i="3"/>
  <c r="AY418" i="3"/>
  <c r="AY434" i="3"/>
  <c r="AY289" i="3"/>
  <c r="AY93" i="3"/>
  <c r="AY130" i="3"/>
  <c r="AY334" i="3"/>
  <c r="AY331" i="3"/>
  <c r="AY270" i="3"/>
  <c r="AY487" i="3"/>
  <c r="AY571" i="3"/>
  <c r="AY509" i="3"/>
  <c r="AY423" i="3"/>
  <c r="AY228" i="3"/>
  <c r="AY18" i="3"/>
  <c r="AY212" i="3"/>
  <c r="BB6" i="3"/>
  <c r="AY251" i="3"/>
  <c r="AY296" i="3"/>
  <c r="AY353" i="3"/>
  <c r="AY338" i="3"/>
  <c r="AY284" i="3"/>
  <c r="AY79" i="3"/>
  <c r="AY419" i="3"/>
  <c r="AY243" i="3"/>
  <c r="AY426" i="3"/>
  <c r="AY165" i="3"/>
  <c r="AY570" i="3"/>
  <c r="AY255" i="3"/>
  <c r="AY521" i="3"/>
  <c r="AY354" i="3"/>
  <c r="BE6" i="3"/>
  <c r="AY12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37" i="3"/>
  <c r="AY41" i="3"/>
  <c r="AY128" i="3"/>
  <c r="AY504" i="3"/>
  <c r="AY83" i="3"/>
  <c r="AY45" i="3"/>
  <c r="AY277" i="3"/>
  <c r="AY384" i="3"/>
  <c r="AY425" i="3"/>
  <c r="AY202" i="3"/>
  <c r="AY139" i="3"/>
  <c r="AY364" i="3"/>
  <c r="AY70" i="3"/>
  <c r="AY169" i="3"/>
  <c r="AY348" i="3"/>
  <c r="BK6" i="3"/>
  <c r="AY115" i="3"/>
  <c r="AY435" i="3"/>
  <c r="AY230" i="3"/>
  <c r="AY132" i="3"/>
  <c r="AY382" i="3"/>
  <c r="AY555" i="3"/>
  <c r="AY143" i="3"/>
  <c r="AY308" i="3"/>
  <c r="AY236" i="3"/>
  <c r="AY516" i="3"/>
  <c r="AY36" i="3"/>
  <c r="AY333" i="3"/>
  <c r="AY117" i="3"/>
  <c r="AY123" i="3"/>
  <c r="AY337" i="3"/>
  <c r="AY341" i="3"/>
  <c r="AY76" i="3"/>
  <c r="AY465" i="3"/>
  <c r="BH6" i="3"/>
  <c r="AY431" i="3"/>
  <c r="AY526" i="3"/>
  <c r="AY34" i="3"/>
  <c r="AY309" i="3"/>
  <c r="AY176" i="3"/>
  <c r="AY44" i="3"/>
  <c r="AY318" i="3"/>
  <c r="AY561" i="3"/>
  <c r="AY22" i="3"/>
  <c r="AY406" i="3"/>
  <c r="AY303" i="3"/>
  <c r="AY498" i="3"/>
  <c r="AY552" i="3"/>
  <c r="AY527" i="3"/>
  <c r="AY519" i="3"/>
  <c r="AY66" i="3"/>
  <c r="AY325" i="3"/>
  <c r="AY186" i="3"/>
  <c r="BF6" i="3"/>
  <c r="AY222" i="3"/>
  <c r="AY390" i="3"/>
  <c r="AY540" i="3"/>
  <c r="AY484" i="3"/>
  <c r="AY505" i="3"/>
  <c r="AY17" i="3"/>
  <c r="AY563" i="3"/>
  <c r="AY497" i="3"/>
  <c r="AY285" i="3"/>
  <c r="AY404" i="3"/>
  <c r="AY327" i="3"/>
  <c r="AY567" i="3"/>
  <c r="AY276" i="3"/>
  <c r="AY436" i="3"/>
  <c r="AY113" i="3"/>
  <c r="AY192" i="3"/>
  <c r="AY387" i="3"/>
  <c r="AY410" i="3"/>
  <c r="AY56" i="3"/>
  <c r="AY512" i="3"/>
  <c r="AY313" i="3"/>
  <c r="AY125" i="3"/>
  <c r="AY421" i="3"/>
  <c r="AY362" i="3"/>
  <c r="AY205" i="3"/>
  <c r="AY252" i="3"/>
  <c r="BM6" i="3"/>
  <c r="AY260" i="3"/>
  <c r="AY554" i="3"/>
  <c r="AY539" i="3"/>
  <c r="AY532" i="3"/>
  <c r="AY564" i="3"/>
  <c r="AY566" i="3"/>
  <c r="AY488" i="3"/>
  <c r="AY568" i="3"/>
  <c r="AY451" i="3"/>
  <c r="AY54" i="3"/>
  <c r="AY460" i="3"/>
  <c r="AY312" i="3"/>
  <c r="AY444" i="3"/>
  <c r="AY134" i="3"/>
  <c r="AY261" i="3"/>
  <c r="BG6" i="3"/>
  <c r="AY196" i="3"/>
  <c r="AY373" i="3"/>
  <c r="AY301" i="3"/>
  <c r="AY466" i="3"/>
  <c r="AY496" i="3"/>
  <c r="AY474" i="3"/>
  <c r="AY482" i="3"/>
  <c r="AY441" i="3"/>
  <c r="AY491" i="3"/>
  <c r="D32" i="59"/>
  <c r="T32" i="59"/>
  <c r="M19" i="6"/>
  <c r="K27" i="6"/>
  <c r="C9" i="59"/>
  <c r="D10" i="59"/>
  <c r="D16" i="43"/>
  <c r="C16" i="43" s="1"/>
  <c r="E6" i="6"/>
  <c r="L38" i="9"/>
  <c r="B14" i="66" s="1"/>
  <c r="B1" i="66" s="1"/>
  <c r="D45" i="9"/>
  <c r="C21" i="4"/>
  <c r="O5" i="54" s="1"/>
  <c r="B45" i="63" s="1"/>
  <c r="D16" i="12"/>
  <c r="K16" i="1"/>
  <c r="M14" i="1"/>
  <c r="B5" i="59"/>
  <c r="S5" i="59" s="1"/>
  <c r="E5" i="59"/>
  <c r="U5" i="59" s="1"/>
  <c r="G39" i="46"/>
  <c r="I39" i="46" s="1"/>
  <c r="E38" i="46"/>
  <c r="E36" i="46"/>
  <c r="G33" i="46"/>
  <c r="I33" i="46" s="1"/>
  <c r="C27"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3" i="11"/>
  <c r="J26" i="15"/>
  <c r="J29" i="15" s="1"/>
  <c r="J24" i="15"/>
  <c r="C38" i="15"/>
  <c r="Q58" i="44"/>
  <c r="Q67" i="44"/>
  <c r="Q49" i="44"/>
  <c r="Q55" i="44" s="1"/>
  <c r="F7" i="67"/>
  <c r="B5" i="11" l="1"/>
  <c r="B27" i="9"/>
  <c r="K20" i="1"/>
  <c r="M20" i="1" s="1"/>
  <c r="K19" i="1"/>
  <c r="M19" i="1" s="1"/>
  <c r="D13" i="11"/>
  <c r="C13" i="11" s="1"/>
  <c r="D22" i="12"/>
  <c r="C22" i="12" s="1"/>
  <c r="C20" i="12" s="1"/>
  <c r="B4" i="11"/>
  <c r="T13" i="1"/>
  <c r="T9" i="1"/>
  <c r="T12" i="1"/>
  <c r="O14" i="1"/>
  <c r="O16" i="1" s="1"/>
  <c r="T7" i="1"/>
  <c r="T6" i="1"/>
  <c r="M16" i="1"/>
  <c r="T11" i="1"/>
  <c r="T10" i="1"/>
  <c r="T8" i="1"/>
  <c r="C7" i="66"/>
  <c r="C8" i="59"/>
  <c r="D9" i="59"/>
  <c r="M27" i="6"/>
  <c r="I19" i="6"/>
  <c r="D19" i="12"/>
  <c r="C19" i="12" s="1"/>
  <c r="C16" i="12"/>
  <c r="E63" i="40"/>
  <c r="D19" i="6"/>
  <c r="D25" i="6"/>
  <c r="D13" i="6"/>
  <c r="H24" i="6"/>
  <c r="D23" i="6"/>
  <c r="D28" i="6"/>
  <c r="D8" i="6"/>
  <c r="E45" i="9"/>
  <c r="K38" i="9"/>
  <c r="C14" i="66" s="1"/>
  <c r="B2" i="66" s="1"/>
  <c r="D26" i="6"/>
  <c r="D22" i="6"/>
  <c r="D12" i="6"/>
  <c r="H25" i="6"/>
  <c r="D5" i="6"/>
  <c r="H22" i="6"/>
  <c r="H26" i="6"/>
  <c r="C22" i="4"/>
  <c r="D21" i="6"/>
  <c r="D10" i="6"/>
  <c r="H21" i="6"/>
  <c r="D6" i="6"/>
  <c r="D14" i="6"/>
  <c r="D20" i="6"/>
  <c r="H23" i="6"/>
  <c r="F45" i="9"/>
  <c r="E68" i="39"/>
  <c r="D24" i="6"/>
  <c r="D11" i="6"/>
  <c r="H20" i="6"/>
  <c r="D9" i="6"/>
  <c r="D29" i="6"/>
  <c r="D15" i="6"/>
  <c r="H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6" i="44"/>
  <c r="E7" i="67"/>
  <c r="B7" i="67"/>
  <c r="C14" i="15"/>
  <c r="B30" i="9" l="1"/>
  <c r="D27" i="9"/>
  <c r="D30" i="9" s="1"/>
  <c r="M21" i="1"/>
  <c r="L21" i="1" s="1"/>
  <c r="H27" i="6"/>
  <c r="R24" i="6"/>
  <c r="D16" i="6"/>
  <c r="D30" i="6"/>
  <c r="P14" i="1"/>
  <c r="P16" i="1" s="1"/>
  <c r="C13" i="12" s="1"/>
  <c r="C17" i="12" s="1"/>
  <c r="T16" i="1"/>
  <c r="C15" i="15"/>
  <c r="C18" i="15"/>
  <c r="C17" i="44"/>
  <c r="C20" i="44"/>
  <c r="R20" i="6"/>
  <c r="A20" i="64"/>
  <c r="A6" i="51"/>
  <c r="B7" i="63" s="1"/>
  <c r="A6" i="64"/>
  <c r="A20" i="51"/>
  <c r="B15" i="63" s="1"/>
  <c r="N5" i="54"/>
  <c r="B43" i="63" s="1"/>
  <c r="R26" i="6"/>
  <c r="R23" i="6"/>
  <c r="R19" i="6"/>
  <c r="D27" i="6"/>
  <c r="D31" i="6" s="1"/>
  <c r="S19" i="6"/>
  <c r="S27" i="6" s="1"/>
  <c r="I27" i="6"/>
  <c r="R21" i="6"/>
  <c r="R22" i="6"/>
  <c r="D7" i="66"/>
  <c r="R25" i="6"/>
  <c r="C7" i="59"/>
  <c r="T8" i="59"/>
  <c r="D8" i="59"/>
  <c r="C13" i="43"/>
  <c r="L16" i="1"/>
  <c r="N16" i="1"/>
  <c r="C29" i="43" s="1"/>
  <c r="I65" i="40"/>
  <c r="H67" i="40"/>
  <c r="H72" i="39"/>
  <c r="I70" i="39"/>
  <c r="N46" i="36"/>
  <c r="E3" i="67"/>
  <c r="B2" i="67"/>
  <c r="D4" i="46"/>
  <c r="B3" i="46"/>
  <c r="B4" i="46"/>
  <c r="C25" i="9" l="1"/>
  <c r="C24" i="9"/>
  <c r="R27" i="6"/>
  <c r="R6" i="1"/>
  <c r="C14" i="12"/>
  <c r="C18" i="12" s="1"/>
  <c r="C23" i="12" s="1"/>
  <c r="C19" i="15"/>
  <c r="C21" i="44"/>
  <c r="C22" i="44" s="1"/>
  <c r="C28" i="44" s="1"/>
  <c r="C6" i="59"/>
  <c r="D7" i="59"/>
  <c r="I6" i="6"/>
  <c r="C13" i="39" s="1"/>
  <c r="I5" i="6"/>
  <c r="C14" i="43"/>
  <c r="C17" i="43"/>
  <c r="C20" i="15"/>
  <c r="C26" i="15" s="1"/>
  <c r="O46" i="36"/>
  <c r="J7" i="36" s="1"/>
  <c r="J65" i="40"/>
  <c r="I67" i="40"/>
  <c r="J70" i="39"/>
  <c r="I72" i="39"/>
  <c r="B3" i="67"/>
  <c r="B4" i="67"/>
  <c r="F35" i="15"/>
  <c r="M21" i="15"/>
  <c r="J20" i="15" l="1"/>
  <c r="F62" i="15"/>
  <c r="C61" i="15" s="1"/>
  <c r="C34" i="15"/>
  <c r="R16" i="1"/>
  <c r="H13" i="39"/>
  <c r="J13" i="39"/>
  <c r="F13" i="39"/>
  <c r="H7" i="36"/>
  <c r="U7" i="36" s="1"/>
  <c r="F7" i="36"/>
  <c r="S7" i="36" s="1"/>
  <c r="C18" i="43"/>
  <c r="C19" i="43" s="1"/>
  <c r="C25" i="43" s="1"/>
  <c r="C24" i="43" s="1"/>
  <c r="C5" i="59"/>
  <c r="D6" i="59"/>
  <c r="K70" i="39"/>
  <c r="J72" i="39"/>
  <c r="AB7" i="36"/>
  <c r="T36" i="36" s="1"/>
  <c r="G36" i="36" s="1"/>
  <c r="AC7" i="36"/>
  <c r="V36" i="36" s="1"/>
  <c r="I36" i="36" s="1"/>
  <c r="W7" i="36"/>
  <c r="J67" i="40"/>
  <c r="K65" i="40"/>
  <c r="AB13" i="39" l="1"/>
  <c r="U13" i="39"/>
  <c r="AC13" i="39"/>
  <c r="W13" i="39"/>
  <c r="S13" i="39"/>
  <c r="AA13" i="39"/>
  <c r="AA7" i="36"/>
  <c r="R36" i="36" s="1"/>
  <c r="R37" i="36" s="1"/>
  <c r="T5" i="59"/>
  <c r="D5" i="59"/>
  <c r="M20" i="46" s="1"/>
  <c r="K67" i="40"/>
  <c r="L65" i="40"/>
  <c r="G41" i="36"/>
  <c r="H41" i="36" s="1"/>
  <c r="G40" i="36"/>
  <c r="H40" i="36" s="1"/>
  <c r="I40" i="36"/>
  <c r="J40" i="36" s="1"/>
  <c r="L70" i="39"/>
  <c r="K72" i="39"/>
  <c r="E36" i="36" l="1"/>
  <c r="I41" i="36" s="1"/>
  <c r="J41" i="36" s="1"/>
  <c r="L72" i="39"/>
  <c r="M70" i="39"/>
  <c r="M65" i="40"/>
  <c r="L67" i="40"/>
  <c r="E41" i="36"/>
  <c r="F41" i="36" s="1"/>
  <c r="C37" i="36"/>
  <c r="B3" i="36" s="1"/>
  <c r="B2" i="36" s="1"/>
  <c r="C36" i="36"/>
  <c r="E40" i="36" l="1"/>
  <c r="F40" i="36"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L46" i="15"/>
  <c r="B2" i="15" s="1"/>
  <c r="B3" i="15" s="1"/>
  <c r="C8" i="12" s="1"/>
  <c r="Q58" i="15"/>
  <c r="Q63" i="15" s="1"/>
  <c r="L52" i="44"/>
  <c r="L58" i="44" s="1"/>
  <c r="L61" i="44" s="1"/>
  <c r="B3" i="44"/>
  <c r="B5" i="44"/>
  <c r="B4" i="44"/>
  <c r="Q76" i="15" l="1"/>
  <c r="C10" i="12"/>
  <c r="C6" i="12" s="1"/>
  <c r="C24" i="12" s="1"/>
  <c r="Q69" i="44"/>
  <c r="Q59" i="44"/>
  <c r="Q64" i="44" s="1"/>
  <c r="Q68" i="44"/>
  <c r="Q77" i="44" s="1"/>
  <c r="C29" i="12" l="1"/>
  <c r="C35" i="12"/>
  <c r="C33" i="12" s="1"/>
  <c r="C28" i="12"/>
  <c r="C26" i="12" s="1"/>
  <c r="C31" i="12" s="1"/>
  <c r="C30" i="12" s="1"/>
  <c r="C36" i="12" l="1"/>
  <c r="B2" i="12" s="1"/>
  <c r="B3" i="12" s="1"/>
  <c r="D20" i="9"/>
  <c r="D19" i="9"/>
  <c r="B4" i="12" l="1"/>
  <c r="B5" i="12"/>
  <c r="D22" i="9"/>
  <c r="L44" i="9"/>
  <c r="G19" i="9"/>
  <c r="N43" i="9" s="1"/>
  <c r="G20" i="9"/>
  <c r="D21" i="9"/>
  <c r="G21" i="9" l="1"/>
  <c r="C32" i="9"/>
  <c r="O38" i="9" s="1"/>
  <c r="G22" i="9"/>
  <c r="O43" i="9"/>
  <c r="C34" i="9" l="1"/>
  <c r="E42" i="9" s="1"/>
  <c r="P5" i="54" s="1"/>
  <c r="B46" i="63" s="1"/>
  <c r="C42" i="9"/>
  <c r="C44" i="9" s="1"/>
  <c r="C35" i="9"/>
  <c r="F42" i="9" s="1"/>
  <c r="C33" i="9"/>
  <c r="D42" i="9" s="1"/>
  <c r="Q5" i="54" s="1"/>
  <c r="B47" i="63" s="1"/>
  <c r="K26" i="9"/>
  <c r="K25" i="9"/>
  <c r="M38" i="9"/>
  <c r="K27" i="9" s="1"/>
  <c r="D14" i="66"/>
  <c r="R5" i="54" l="1"/>
  <c r="B48" i="63" s="1"/>
  <c r="D63" i="9"/>
  <c r="C82" i="9" s="1"/>
  <c r="C81" i="9" s="1"/>
  <c r="C85" i="9" s="1"/>
  <c r="C86" i="9" s="1"/>
  <c r="D72" i="9" s="1"/>
  <c r="N68" i="9"/>
  <c r="N38" i="9"/>
  <c r="K28" i="9" s="1"/>
  <c r="F14" i="66"/>
  <c r="E14" i="66"/>
  <c r="B5" i="66"/>
  <c r="C111" i="9"/>
  <c r="C104" i="9" s="1"/>
  <c r="G14" i="66"/>
  <c r="B6" i="66" s="1"/>
  <c r="N69" i="9"/>
  <c r="O39" i="9"/>
  <c r="D44" i="9"/>
  <c r="F44" i="9"/>
  <c r="E44" i="9"/>
  <c r="D73" i="9" l="1"/>
  <c r="N73" i="9" s="1"/>
  <c r="C103" i="9"/>
  <c r="D70" i="9"/>
  <c r="C113" i="9"/>
  <c r="C90" i="9"/>
  <c r="C96" i="9"/>
  <c r="C91" i="9" s="1"/>
  <c r="D71" i="9"/>
  <c r="D66" i="9" s="1"/>
  <c r="N72" i="9" s="1"/>
  <c r="K29" i="9"/>
  <c r="K30" i="9" s="1"/>
  <c r="R6" i="54"/>
  <c r="B50" i="63" s="1"/>
  <c r="C6" i="66"/>
  <c r="D6" i="66"/>
  <c r="C114" i="9"/>
  <c r="E114" i="9" s="1"/>
  <c r="E115" i="9" s="1"/>
  <c r="M87" i="9"/>
  <c r="N87" i="9" s="1"/>
  <c r="M86" i="9"/>
  <c r="N86" i="9" s="1"/>
  <c r="M85" i="9"/>
  <c r="N85" i="9" s="1"/>
  <c r="M84" i="9"/>
  <c r="N84" i="9" s="1"/>
  <c r="M83" i="9"/>
  <c r="N83" i="9" s="1"/>
  <c r="M88" i="9"/>
  <c r="N88" i="9" s="1"/>
  <c r="C5" i="66"/>
  <c r="D5" i="66"/>
  <c r="C97" i="9" l="1"/>
  <c r="C98" i="9" s="1"/>
  <c r="E98" i="9" s="1"/>
  <c r="E99" i="9" s="1"/>
  <c r="N89" i="9"/>
  <c r="O89" i="9" s="1"/>
  <c r="C115" i="9"/>
  <c r="D76" i="9" s="1"/>
  <c r="D74" i="9" s="1"/>
  <c r="N74" i="9" s="1"/>
  <c r="O77" i="9" s="1"/>
  <c r="O79" i="9" s="1"/>
  <c r="C99" i="9" l="1"/>
  <c r="O81" i="9"/>
  <c r="C46" i="9"/>
  <c r="O80" i="9"/>
  <c r="Q77" i="9"/>
  <c r="O78" i="9"/>
  <c r="K33" i="9" l="1"/>
  <c r="O41" i="9"/>
  <c r="R8" i="54" s="1"/>
  <c r="B54" i="63" s="1"/>
  <c r="I14" i="66"/>
  <c r="B8" i="66" s="1"/>
  <c r="D46" i="9"/>
  <c r="E46" i="9"/>
  <c r="F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<sst xmlns="http://schemas.openxmlformats.org/spreadsheetml/2006/main" count="7855" uniqueCount="3250">
  <si>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</si>
  <si>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</si>
  <si>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</si>
  <si>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</si>
  <si>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</si>
  <si>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</si>
  <si>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</si>
  <si>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</si>
  <si>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</si>
  <si>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</si>
  <si>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</si>
  <si>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</si>
  <si>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</si>
  <si>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</si>
  <si>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</si>
  <si>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</si>
  <si>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</si>
  <si>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</si>
  <si>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</si>
  <si>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</si>
  <si>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</si>
  <si>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</si>
  <si>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</si>
  <si>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</si>
  <si>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</si>
  <si>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</si>
  <si>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</si>
  <si>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</si>
  <si>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</si>
  <si>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</si>
  <si>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</si>
  <si>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</si>
  <si>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</si>
  <si>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</si>
  <si>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</si>
  <si>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</si>
  <si>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</si>
  <si>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</si>
  <si>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</si>
  <si>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</si>
  <si>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</si>
  <si>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</si>
  <si>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</si>
  <si>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</si>
  <si>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</si>
  <si>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</si>
  <si>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</si>
  <si>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</si>
  <si>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</si>
  <si>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</si>
  <si>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</si>
  <si>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</si>
  <si>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</si>
  <si>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</si>
  <si>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</si>
  <si>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</si>
  <si>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</si>
  <si>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</si>
  <si>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</si>
  <si>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</si>
  <si>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</si>
  <si>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</si>
  <si>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</si>
  <si>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</si>
  <si>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</si>
  <si>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</si>
  <si>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</si>
  <si>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</si>
  <si>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</si>
  <si>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</si>
  <si>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</si>
  <si>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</si>
  <si>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</si>
  <si>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</si>
  <si>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</si>
  <si>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</si>
  <si>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</si>
  <si>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</si>
  <si>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</si>
  <si>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</si>
  <si>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</si>
  <si>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</si>
  <si>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</si>
  <si>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</si>
  <si>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</si>
  <si>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</si>
  <si>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</si>
  <si>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</si>
  <si>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</si>
  <si>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</si>
  <si>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</si>
  <si>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</si>
  <si>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</si>
  <si>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</si>
  <si>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</si>
  <si>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</si>
  <si>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</si>
  <si>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</si>
  <si>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</si>
  <si>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</si>
  <si>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</si>
  <si>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</si>
  <si>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</si>
  <si>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</si>
  <si>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</si>
  <si>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</si>
  <si>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</si>
  <si>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</si>
  <si>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</si>
  <si>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</si>
  <si>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</si>
  <si>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</si>
  <si>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</si>
  <si>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</si>
  <si>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</si>
  <si>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</si>
  <si>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</si>
  <si>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</si>
  <si>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</si>
  <si>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</si>
  <si>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</si>
  <si>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</si>
  <si>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</si>
  <si>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</si>
  <si>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</si>
  <si>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</si>
  <si>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</si>
  <si>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</si>
  <si>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</si>
  <si>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</si>
  <si>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</si>
  <si>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</si>
  <si>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</si>
  <si>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</si>
  <si>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</si>
  <si>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</si>
  <si>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</si>
  <si>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</si>
  <si>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</si>
  <si>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</si>
  <si>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</si>
  <si>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</si>
  <si>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</si>
  <si>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</si>
  <si>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</si>
  <si>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</si>
  <si>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</si>
  <si>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</si>
  <si>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</si>
  <si>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</si>
  <si>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</si>
  <si>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</si>
  <si>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</si>
  <si>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</si>
  <si>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</si>
  <si>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</si>
  <si>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</si>
  <si>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</si>
  <si>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</si>
  <si>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</si>
  <si>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</si>
  <si>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</si>
  <si>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</si>
  <si>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</si>
  <si>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</si>
  <si>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</si>
  <si>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</si>
  <si>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</si>
  <si>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</si>
  <si>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</si>
  <si>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</si>
  <si>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</si>
  <si>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</si>
  <si>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</si>
  <si>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</si>
  <si>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</si>
  <si>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</si>
  <si>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</si>
  <si>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</si>
  <si>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</si>
  <si>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</si>
  <si>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</si>
  <si>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</si>
  <si>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</si>
  <si>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</si>
  <si>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</si>
  <si>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</si>
  <si>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</si>
  <si>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</si>
  <si>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</si>
  <si>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</si>
  <si>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</si>
  <si>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</si>
  <si>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</si>
  <si>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</si>
  <si>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</si>
  <si>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</si>
  <si>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</si>
  <si>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</si>
  <si>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</si>
  <si>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</si>
  <si>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</si>
  <si>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</si>
  <si>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</si>
  <si>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</si>
  <si>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</si>
  <si>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</si>
  <si>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</si>
  <si>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</si>
  <si>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</si>
  <si>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</si>
  <si>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</si>
  <si>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</si>
  <si>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</si>
  <si>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</si>
  <si>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</si>
  <si>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</si>
  <si>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</si>
  <si>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</si>
  <si>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</si>
  <si>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</si>
  <si>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</si>
  <si>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</si>
  <si>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</si>
  <si>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</si>
  <si>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</si>
  <si>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</si>
  <si>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</si>
  <si>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</si>
  <si>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</si>
  <si>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</si>
  <si>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</si>
  <si>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</si>
  <si>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</si>
  <si>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</si>
  <si>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</si>
  <si>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</si>
  <si>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</si>
  <si>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</si>
  <si>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</si>
  <si>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</si>
  <si>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</si>
  <si>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</si>
  <si>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</si>
  <si>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</si>
  <si>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</si>
  <si>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</si>
  <si>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</si>
  <si>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</si>
  <si>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</si>
  <si>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</si>
  <si>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</si>
  <si>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</si>
  <si>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</si>
  <si>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</si>
  <si>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</si>
  <si>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</si>
  <si>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</si>
  <si>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</si>
  <si>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</si>
  <si>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</si>
  <si>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</si>
  <si>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</si>
  <si>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</si>
  <si>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</si>
  <si>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</si>
  <si>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</si>
  <si>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</si>
  <si>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</si>
  <si>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</si>
  <si>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</si>
  <si>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</si>
  <si>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</si>
  <si>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</si>
  <si>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</si>
  <si>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</si>
  <si>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</si>
  <si>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</si>
  <si>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</si>
  <si>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</si>
  <si>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</si>
  <si>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</si>
  <si>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</si>
  <si>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</si>
  <si>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</si>
  <si>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</si>
  <si>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</si>
  <si>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</si>
  <si>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</si>
  <si>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</si>
  <si>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</si>
  <si>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</si>
  <si>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</si>
  <si>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</si>
  <si>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</si>
  <si>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</si>
  <si>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</si>
  <si>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</si>
  <si>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</si>
  <si>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</si>
  <si>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</si>
  <si>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</si>
  <si>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</si>
  <si>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</si>
  <si>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</si>
  <si>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</si>
  <si>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</si>
  <si>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</si>
  <si>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</si>
  <si>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</si>
  <si>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</si>
  <si>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</si>
  <si>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</si>
  <si>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</si>
  <si>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</si>
  <si>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</si>
  <si>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</si>
  <si>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</si>
  <si>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</si>
  <si>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</si>
  <si>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</si>
  <si>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</si>
  <si>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</si>
  <si>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</si>
  <si>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</si>
  <si>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</si>
  <si>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</si>
  <si>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</si>
  <si>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</si>
  <si>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</si>
  <si>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</si>
  <si>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</si>
  <si>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</si>
  <si>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</si>
  <si>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</si>
  <si>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</si>
  <si>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</si>
  <si>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</si>
  <si>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</si>
  <si>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</si>
  <si>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</si>
  <si>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</si>
  <si>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</si>
  <si>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</si>
  <si>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</si>
  <si>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</si>
  <si>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</si>
  <si>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</si>
  <si>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</si>
  <si>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</si>
  <si>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</si>
  <si>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</si>
  <si>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</si>
  <si>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</si>
  <si>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</si>
  <si>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</si>
  <si>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</si>
  <si>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</si>
  <si>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</si>
  <si>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</si>
  <si>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</si>
  <si>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</si>
  <si>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</si>
  <si>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</si>
  <si>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</si>
  <si>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</si>
  <si>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</si>
  <si>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</si>
  <si>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</si>
  <si>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</si>
  <si>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</si>
  <si>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</si>
  <si>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</si>
  <si>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</si>
  <si>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</si>
  <si>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</si>
  <si>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</si>
  <si>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</si>
  <si>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</si>
  <si>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</si>
  <si>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</si>
  <si>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</si>
  <si>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</si>
  <si>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</si>
  <si>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</si>
  <si>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</si>
  <si>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</si>
  <si>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</si>
  <si>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</si>
  <si>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</si>
  <si>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</si>
  <si>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</si>
  <si>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</si>
  <si>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</si>
  <si>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</si>
  <si>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</si>
  <si>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</si>
  <si>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</si>
  <si>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</si>
  <si>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</si>
  <si>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</si>
  <si>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</si>
  <si>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</si>
  <si>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</si>
  <si>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</si>
  <si>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</si>
  <si>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</si>
  <si>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</si>
  <si>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</si>
  <si>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</si>
  <si>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</si>
  <si>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</si>
  <si>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</si>
  <si>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</si>
  <si>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</si>
  <si>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</si>
  <si>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</si>
  <si>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</si>
  <si>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</si>
  <si>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</si>
  <si>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</si>
  <si>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</si>
  <si>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</si>
  <si>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</si>
  <si>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</si>
  <si>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</si>
  <si>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</si>
  <si>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</si>
  <si>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</si>
  <si>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</si>
  <si>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</si>
  <si>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</si>
  <si>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</si>
  <si>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</si>
  <si>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</si>
  <si>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</si>
  <si>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</si>
  <si>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</si>
  <si>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</si>
  <si>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</si>
  <si>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</si>
  <si>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</si>
  <si>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</si>
  <si>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</si>
  <si>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</si>
  <si>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</si>
  <si>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</si>
  <si>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</si>
  <si>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</si>
  <si>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</si>
  <si>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</si>
  <si>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</si>
  <si>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</si>
  <si>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</si>
  <si>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</si>
  <si>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</si>
  <si>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</si>
  <si>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</si>
  <si>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</si>
  <si>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</si>
  <si>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</si>
  <si>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</si>
  <si>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</si>
  <si>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</si>
  <si>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</si>
  <si>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</si>
  <si>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</si>
  <si>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</si>
  <si>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</si>
  <si>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</si>
  <si>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</si>
  <si>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</si>
  <si>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</si>
  <si>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</si>
  <si>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</si>
  <si>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</si>
  <si>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</si>
  <si>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</si>
  <si>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</si>
  <si>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</si>
  <si>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</si>
  <si>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</si>
  <si>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</si>
  <si>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</si>
  <si>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</si>
  <si>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</si>
  <si>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</si>
  <si>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</si>
  <si>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</si>
  <si>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</si>
  <si>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</si>
  <si>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</si>
  <si>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</si>
  <si>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</si>
  <si>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</si>
  <si>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</si>
  <si>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</si>
  <si>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</si>
  <si>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</si>
  <si>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</si>
  <si>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</si>
  <si>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</si>
  <si>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</si>
  <si>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</si>
  <si>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</si>
  <si>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</si>
  <si>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</si>
  <si>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</si>
  <si>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</si>
  <si>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</si>
  <si>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</si>
  <si>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</si>
  <si>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</si>
  <si>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</si>
  <si>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</si>
  <si>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</si>
  <si>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</si>
  <si>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</si>
  <si>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</si>
  <si>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</si>
  <si>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</si>
  <si>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</si>
  <si>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</si>
  <si>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</si>
  <si>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</si>
  <si>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</si>
  <si>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</si>
  <si>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</si>
  <si>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</si>
  <si>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</si>
  <si>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</si>
  <si>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</si>
  <si>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</si>
  <si>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</si>
  <si>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</si>
  <si>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</si>
  <si>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</si>
  <si>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</si>
  <si>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</si>
  <si>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</si>
  <si>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</si>
  <si>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</si>
  <si>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</si>
  <si>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</si>
  <si>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</si>
  <si>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</si>
  <si>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</si>
  <si>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</si>
  <si>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</si>
  <si>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</si>
  <si>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</si>
  <si>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</si>
  <si>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</si>
  <si>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</si>
  <si>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</si>
  <si>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</si>
  <si>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</si>
  <si>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</si>
  <si>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</si>
  <si>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</si>
  <si>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</si>
  <si>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</si>
  <si>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</si>
  <si>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</si>
  <si>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</si>
  <si>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</si>
  <si>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</si>
  <si>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</si>
  <si>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</si>
  <si>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</si>
  <si>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</si>
  <si>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</si>
  <si>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</si>
  <si>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</si>
  <si>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</si>
  <si>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</si>
  <si>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</si>
  <si>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</si>
  <si>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</si>
  <si>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</si>
  <si>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</si>
  <si>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</si>
  <si>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</si>
  <si>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</si>
  <si>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</si>
  <si>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</si>
  <si>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</si>
  <si>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</si>
  <si>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</si>
  <si>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</si>
  <si>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</si>
  <si>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</si>
  <si>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</si>
  <si>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</si>
  <si>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</si>
  <si>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</si>
  <si>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</si>
  <si>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</si>
  <si>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</si>
  <si>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</si>
  <si>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</si>
  <si>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</si>
  <si>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</si>
  <si>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</si>
  <si>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</si>
  <si>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</si>
  <si>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</si>
  <si>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</si>
  <si>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</si>
  <si>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</si>
  <si>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</si>
  <si>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</si>
  <si>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</si>
  <si>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</si>
  <si>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</si>
  <si>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</si>
  <si>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</si>
  <si>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</si>
  <si>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</si>
  <si>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</si>
  <si>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</si>
  <si>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</si>
  <si>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</si>
  <si>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</si>
  <si>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</si>
  <si>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</si>
  <si>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</si>
  <si>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</si>
  <si>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</si>
  <si>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</si>
  <si>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</si>
  <si>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</si>
  <si>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</si>
  <si>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</si>
  <si>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</si>
  <si>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</si>
  <si>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</si>
  <si>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</si>
  <si>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</si>
  <si>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</si>
  <si>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</si>
  <si>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</si>
  <si>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</si>
  <si>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</si>
  <si>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</si>
  <si>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</si>
  <si>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</si>
  <si>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</si>
  <si>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</si>
  <si>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</si>
  <si>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</si>
  <si>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</si>
  <si>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</si>
  <si>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</si>
  <si>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</si>
  <si>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</si>
  <si>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</si>
  <si>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</si>
  <si>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</si>
  <si>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</si>
  <si>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</si>
  <si>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</si>
  <si>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</si>
  <si>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</si>
  <si>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</si>
  <si>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</si>
  <si>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</si>
  <si>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</si>
  <si>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</si>
  <si>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</si>
  <si>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</si>
  <si>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</si>
  <si>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</si>
  <si>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</si>
  <si>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</si>
  <si>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</si>
  <si>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</si>
  <si>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</si>
  <si>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</si>
  <si>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</si>
  <si>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</si>
  <si>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</si>
  <si>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</si>
  <si>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</si>
  <si>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</si>
  <si>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</si>
  <si>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</si>
  <si>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</si>
  <si>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</si>
  <si>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</si>
  <si>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</si>
  <si>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</si>
  <si>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</si>
  <si>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</si>
  <si>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</si>
  <si>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</si>
  <si>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</si>
  <si>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</si>
  <si>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</si>
  <si>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</si>
  <si>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</si>
  <si>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</si>
  <si>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</si>
  <si>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</si>
  <si>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</si>
  <si>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</si>
  <si>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</si>
  <si>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</si>
  <si>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</si>
  <si>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</si>
  <si>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</si>
  <si>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</si>
  <si>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</si>
  <si>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</si>
  <si>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</si>
  <si>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</si>
  <si>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</si>
  <si>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</si>
  <si>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</si>
  <si>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</si>
  <si>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</si>
  <si>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</si>
  <si>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</si>
  <si>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</si>
  <si>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</si>
  <si>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</si>
  <si>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</si>
  <si>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</si>
  <si>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</si>
  <si>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</si>
  <si>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</si>
  <si>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</si>
  <si>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</si>
  <si>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</si>
  <si>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</si>
  <si>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</si>
  <si>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</si>
  <si>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</si>
  <si>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</si>
  <si>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</si>
  <si>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</si>
  <si>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</si>
  <si>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</si>
  <si>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</si>
  <si>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</si>
  <si>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</si>
  <si>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</si>
  <si>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</si>
  <si>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</si>
  <si>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</si>
  <si>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</si>
  <si>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</si>
  <si>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</si>
  <si>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</si>
  <si>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</si>
  <si>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</si>
  <si>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</si>
  <si>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</si>
  <si>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</si>
  <si>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</si>
  <si>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</si>
  <si>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</si>
  <si>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</si>
  <si>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</si>
  <si>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</si>
  <si>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</si>
  <si>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</si>
  <si>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</si>
  <si>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</si>
  <si>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</si>
  <si>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</si>
  <si>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</si>
  <si>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</si>
  <si>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</si>
  <si>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</si>
  <si>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</si>
  <si>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</si>
  <si>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</si>
  <si>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</si>
  <si>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</si>
  <si>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</si>
  <si>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</si>
  <si>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</si>
  <si>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</si>
  <si>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</si>
  <si>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</si>
  <si>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</si>
  <si>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</si>
  <si>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</si>
  <si>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</si>
  <si>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</si>
  <si>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</si>
  <si>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</si>
  <si>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</si>
  <si>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</si>
  <si>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</si>
  <si>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</si>
  <si>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</si>
  <si>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</si>
  <si>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</si>
  <si>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</si>
  <si>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</si>
  <si>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</si>
  <si>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</si>
  <si>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</si>
  <si>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</si>
  <si>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</si>
  <si>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</si>
  <si>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</si>
  <si>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</si>
  <si>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</si>
  <si>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</si>
  <si>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</si>
  <si>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</si>
  <si>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</si>
  <si>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</si>
  <si>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</si>
  <si>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</si>
  <si>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</si>
  <si>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</si>
  <si>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</si>
  <si>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</si>
  <si>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</si>
  <si>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</si>
  <si>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</si>
  <si>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</si>
  <si>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</si>
  <si>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</si>
  <si>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</si>
  <si>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</si>
  <si>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</si>
  <si>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</si>
  <si>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</si>
  <si>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</si>
  <si>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</si>
  <si>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</si>
  <si>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</si>
  <si>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</si>
  <si>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</si>
  <si>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</si>
  <si>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</si>
  <si>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</si>
  <si>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</si>
  <si>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</si>
  <si>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</si>
  <si>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</si>
  <si>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</si>
  <si>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</si>
  <si>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</si>
  <si>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</si>
  <si>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</si>
  <si>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</si>
  <si>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</si>
  <si>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</si>
  <si>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</si>
  <si>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</si>
  <si>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</si>
  <si>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</si>
  <si>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</si>
  <si>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</si>
  <si>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</si>
  <si>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</si>
  <si>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</si>
  <si>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</si>
  <si>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</si>
  <si>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</si>
  <si>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</si>
  <si>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</si>
  <si>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</si>
  <si>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</si>
  <si>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</si>
  <si>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</si>
  <si>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</si>
  <si>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</si>
  <si>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</si>
  <si>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</si>
  <si>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</si>
  <si>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</si>
  <si>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</si>
  <si>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</si>
  <si>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</si>
  <si>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</si>
  <si>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</si>
  <si>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</si>
  <si>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</si>
  <si>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</si>
  <si>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</si>
  <si>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</si>
  <si>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</si>
  <si>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</si>
  <si>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</si>
  <si>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</si>
  <si>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</si>
  <si>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</si>
  <si>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</si>
  <si>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</si>
  <si>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</si>
  <si>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</si>
  <si>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</si>
  <si>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</si>
  <si>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</si>
  <si>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</si>
  <si>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</si>
  <si>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</si>
  <si>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</si>
  <si>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</si>
  <si>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</si>
  <si>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</si>
  <si>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</si>
  <si>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</si>
  <si>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</si>
  <si>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</si>
  <si>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</si>
  <si>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</si>
  <si>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</si>
  <si>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</si>
  <si>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</si>
  <si>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</si>
  <si>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</si>
  <si>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</si>
  <si>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</si>
  <si>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</si>
  <si>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</si>
  <si>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</si>
  <si>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</si>
  <si>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</si>
  <si>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</si>
  <si>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</si>
  <si>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</si>
  <si>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</si>
  <si>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</si>
  <si>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</si>
  <si>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</si>
  <si>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</si>
  <si>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</si>
  <si>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</si>
  <si>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</si>
  <si>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</si>
  <si>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</si>
  <si>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</si>
  <si>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</si>
  <si>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</si>
  <si>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</si>
  <si>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</si>
  <si>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</si>
  <si>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</si>
  <si>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</si>
  <si>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</si>
  <si>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</si>
  <si>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</si>
  <si>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</si>
  <si>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</si>
  <si>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</si>
  <si>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</si>
  <si>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</si>
  <si>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</si>
  <si>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</si>
  <si>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</si>
  <si>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</si>
  <si>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</si>
  <si>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</si>
  <si>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</si>
  <si>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</si>
  <si>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</si>
  <si>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</si>
  <si>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</si>
  <si>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</si>
  <si>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</si>
  <si>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</si>
  <si>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</si>
  <si>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</si>
  <si>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</si>
  <si>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</si>
  <si>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</si>
  <si>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</si>
  <si>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</si>
  <si>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</si>
  <si>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</si>
  <si>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</si>
  <si>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</si>
  <si>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</si>
  <si>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</si>
  <si>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</si>
  <si>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</si>
  <si>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</si>
  <si>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</si>
  <si>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</si>
  <si>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</si>
  <si>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</si>
  <si>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</si>
  <si>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</si>
  <si>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</si>
  <si>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</si>
  <si>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</si>
  <si>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</si>
  <si>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</si>
  <si>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</si>
  <si>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</si>
  <si>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</si>
  <si>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</si>
  <si>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</si>
  <si>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</si>
  <si>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</si>
  <si>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</si>
  <si>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</si>
  <si>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</si>
  <si>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</si>
  <si>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</si>
  <si>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</si>
  <si>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</si>
  <si>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</si>
  <si>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</si>
  <si>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</si>
  <si>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</si>
  <si>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</si>
  <si>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</si>
  <si>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</si>
  <si>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</si>
  <si>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</si>
  <si>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</si>
  <si>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</si>
  <si>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</si>
  <si>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</si>
  <si>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</si>
  <si>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</si>
  <si>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</si>
  <si>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</si>
  <si>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</si>
  <si>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</si>
  <si>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</si>
  <si>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</si>
  <si>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</si>
  <si>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</si>
  <si>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</si>
  <si>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</si>
  <si>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</si>
  <si>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</si>
  <si>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</si>
  <si>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</si>
  <si>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</si>
  <si>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</si>
  <si>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</si>
  <si>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</si>
  <si>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</si>
  <si>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</si>
  <si>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</si>
  <si>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</si>
  <si>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</si>
  <si>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</si>
  <si>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</si>
  <si>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</si>
  <si>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</si>
  <si>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</si>
  <si>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</si>
  <si>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</si>
  <si>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</si>
  <si>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</si>
  <si>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</si>
  <si>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</si>
  <si>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</si>
  <si>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</si>
  <si>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</si>
  <si>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</si>
  <si>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</si>
  <si>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</si>
  <si>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</si>
  <si>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</si>
  <si>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</si>
  <si>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</si>
  <si>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</si>
  <si>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</si>
  <si>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</si>
  <si>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</si>
  <si>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</si>
  <si>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</si>
  <si>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</si>
  <si>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</si>
  <si>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</si>
  <si>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</si>
  <si>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</si>
  <si>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</si>
  <si>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</si>
  <si>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</si>
  <si>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</si>
  <si>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</si>
  <si>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</si>
  <si>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</si>
  <si>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</si>
  <si>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</si>
  <si>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</si>
  <si>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</si>
  <si>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</si>
  <si>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</si>
  <si>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</si>
  <si>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</si>
  <si>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</si>
  <si>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</si>
  <si>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</si>
  <si>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</si>
  <si>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</si>
  <si>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</si>
  <si>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</si>
  <si>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</si>
  <si>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</si>
  <si>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</si>
  <si>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</si>
  <si>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</si>
  <si>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</si>
  <si>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</si>
  <si>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</si>
  <si>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</si>
  <si>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</si>
  <si>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</si>
  <si>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</si>
  <si>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</si>
  <si>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</si>
  <si>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</si>
  <si>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</si>
  <si>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</si>
  <si>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</si>
  <si>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</si>
  <si>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</si>
  <si>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</si>
  <si>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</si>
  <si>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</si>
  <si>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</si>
  <si>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</si>
  <si>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</si>
  <si>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</si>
  <si>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</si>
  <si>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</si>
  <si>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</si>
  <si>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</si>
  <si>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</si>
  <si>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</si>
  <si>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</si>
  <si>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</si>
  <si>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</si>
  <si>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</si>
  <si>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</si>
  <si>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</si>
  <si>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</si>
  <si>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</si>
  <si>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</si>
  <si>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</si>
  <si>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</si>
  <si>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</si>
  <si>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</si>
  <si>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</si>
  <si>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</si>
  <si>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</si>
  <si>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</si>
  <si>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</si>
  <si>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</si>
  <si>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</si>
  <si>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</si>
  <si>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</si>
  <si>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</si>
  <si>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</si>
  <si>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</si>
  <si>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</si>
  <si>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</si>
  <si>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</si>
  <si>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</si>
  <si>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</si>
  <si>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</si>
  <si>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</si>
  <si>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</si>
  <si>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</si>
  <si>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</si>
  <si>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</si>
  <si>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</si>
  <si>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</si>
  <si>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</si>
  <si>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</si>
  <si>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</si>
  <si>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</si>
  <si>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</si>
  <si>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</si>
  <si>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</si>
  <si>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</si>
  <si>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</si>
  <si>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</si>
  <si>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</si>
  <si>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</si>
  <si>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</si>
  <si>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</si>
  <si>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</si>
  <si>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</si>
  <si>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</si>
  <si>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</si>
  <si>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</si>
  <si>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</si>
  <si>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</si>
  <si>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</si>
  <si>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</si>
  <si>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</si>
  <si>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</si>
  <si>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</si>
  <si>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</si>
  <si>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</si>
  <si>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</si>
  <si>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</si>
  <si>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</si>
  <si>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</si>
  <si>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</si>
  <si>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</si>
  <si>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</si>
  <si>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</si>
  <si>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</si>
  <si>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</si>
  <si>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</si>
  <si>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</si>
  <si>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</si>
  <si>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</si>
  <si>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</si>
  <si>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</si>
  <si>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</si>
  <si>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</si>
  <si>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</si>
  <si>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</si>
  <si>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</si>
  <si>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</si>
  <si>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</si>
  <si>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</si>
  <si>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</si>
  <si>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</si>
  <si>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</si>
  <si>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</si>
  <si>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</si>
  <si>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</si>
  <si>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</si>
  <si>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</si>
  <si>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</si>
  <si>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</si>
  <si>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</si>
  <si>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</si>
  <si>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</si>
  <si>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</si>
  <si>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</si>
  <si>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</si>
  <si>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</si>
  <si>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</si>
  <si>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</si>
  <si>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</si>
  <si>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</si>
  <si>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</si>
  <si>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</si>
  <si>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</si>
  <si>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</si>
  <si>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</si>
  <si>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</si>
  <si>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</si>
  <si>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</si>
  <si>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</si>
  <si>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</si>
  <si>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</si>
  <si>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</si>
  <si>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</si>
  <si>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</si>
  <si>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</si>
  <si>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</si>
  <si>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</si>
  <si>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</si>
  <si>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</si>
  <si>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</si>
  <si>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</si>
  <si>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</si>
  <si>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</si>
  <si>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</si>
  <si>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</si>
  <si>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</si>
  <si>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</si>
  <si>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</si>
  <si>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</si>
  <si>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</si>
  <si>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</si>
  <si>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</si>
  <si>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</si>
  <si>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</si>
  <si>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</si>
  <si>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</si>
  <si>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</si>
  <si>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</si>
  <si>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</si>
  <si>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</si>
  <si>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</si>
  <si>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</si>
  <si>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</si>
  <si>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</si>
  <si>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</si>
  <si>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</si>
  <si>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</si>
  <si>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</si>
  <si>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</si>
  <si>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</si>
  <si>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</si>
  <si>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</si>
  <si>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</si>
  <si>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</si>
  <si>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</si>
  <si>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</si>
  <si>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</si>
  <si>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</si>
  <si>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</si>
  <si>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</si>
  <si>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</si>
  <si>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</si>
  <si>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</si>
  <si>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</si>
  <si>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</si>
  <si>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</si>
  <si>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</si>
  <si>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</si>
  <si>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</si>
  <si>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</si>
  <si>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</si>
  <si>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</si>
  <si>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</si>
  <si>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</si>
  <si>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</si>
  <si>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</si>
  <si>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</si>
  <si>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</si>
  <si>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</si>
  <si>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</si>
  <si>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</si>
  <si>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</si>
  <si>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</si>
  <si>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</si>
  <si>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</si>
  <si>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</si>
  <si>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</si>
  <si>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</si>
  <si>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</si>
  <si>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</si>
  <si>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</si>
  <si>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</si>
  <si>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</si>
  <si>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</si>
  <si>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</si>
  <si>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</si>
  <si>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</si>
  <si>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</si>
  <si>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</si>
  <si>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</si>
  <si>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</si>
  <si>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</si>
  <si>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</si>
  <si>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</si>
  <si>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</si>
  <si>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</si>
  <si>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</si>
  <si>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</si>
  <si>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</si>
  <si>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</si>
  <si>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</si>
  <si>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</si>
  <si>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</si>
  <si>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</si>
  <si>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</si>
  <si>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</si>
  <si>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</si>
  <si>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</si>
  <si>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</si>
  <si>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</si>
  <si>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</si>
  <si>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</si>
  <si>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</si>
  <si>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</si>
  <si>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</si>
  <si>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</si>
  <si>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</si>
  <si>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</si>
  <si>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</si>
  <si>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</si>
  <si>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</si>
  <si>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</si>
  <si>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</si>
  <si>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</si>
  <si>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</si>
  <si>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</si>
  <si>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</si>
  <si>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</si>
  <si>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</si>
  <si>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</si>
  <si>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</si>
  <si>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</si>
  <si>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</si>
  <si>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</si>
  <si>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</si>
  <si>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</si>
  <si>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</si>
  <si>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</si>
  <si>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</si>
  <si>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</si>
  <si>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</si>
  <si>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</si>
  <si>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</si>
  <si>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</si>
  <si>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</si>
  <si>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</si>
  <si>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</si>
  <si>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</si>
  <si>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</si>
  <si>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</si>
  <si>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</si>
  <si>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</si>
  <si>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</si>
  <si>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</si>
  <si>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</si>
  <si>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</si>
  <si>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</si>
  <si>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</si>
  <si>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</si>
  <si>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</si>
  <si>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</si>
  <si>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</si>
  <si>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</si>
  <si>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</si>
  <si>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</si>
  <si>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</si>
  <si>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</si>
  <si>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</si>
  <si>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</si>
  <si>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</si>
  <si>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</si>
  <si>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</si>
  <si>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</si>
  <si>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</si>
  <si>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</si>
  <si>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</si>
  <si>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</si>
  <si>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</si>
  <si>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</si>
  <si>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</si>
  <si>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</si>
  <si>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</si>
  <si>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</si>
  <si>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</si>
  <si>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</si>
  <si>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</si>
  <si>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</si>
  <si>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</si>
  <si>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</si>
  <si>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</si>
  <si>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</si>
  <si>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</si>
  <si>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</si>
  <si>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</si>
  <si>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</si>
  <si>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</si>
  <si>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</si>
  <si>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</si>
  <si>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</si>
  <si>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</si>
  <si>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</si>
  <si>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</si>
  <si>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</si>
  <si>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</si>
  <si>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</si>
  <si>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</si>
  <si>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</si>
  <si>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</si>
  <si>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</si>
  <si>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</si>
  <si>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</si>
  <si>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</si>
  <si>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</si>
  <si>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</si>
  <si>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</si>
  <si>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</si>
  <si>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</si>
  <si>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</si>
  <si>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</si>
  <si>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</si>
  <si>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</si>
  <si>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</si>
  <si>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</si>
  <si>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</si>
  <si>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</si>
  <si>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</si>
  <si>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</si>
  <si>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</si>
  <si>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</si>
  <si>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</si>
  <si>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</si>
  <si>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</si>
  <si>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</si>
  <si>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</si>
  <si>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</si>
  <si>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</si>
  <si>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</si>
  <si>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</si>
  <si>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</si>
  <si>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</si>
  <si>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</si>
  <si>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</si>
  <si>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</si>
  <si>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</si>
  <si>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</si>
  <si>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</si>
  <si>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</si>
  <si>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</si>
  <si>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</si>
  <si>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</si>
  <si>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</si>
  <si>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</si>
  <si>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</si>
  <si>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</si>
  <si>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</si>
  <si>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</si>
  <si>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</si>
  <si>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</si>
  <si>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</si>
  <si>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</si>
  <si>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</si>
  <si>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</si>
  <si>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</si>
  <si>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</si>
  <si>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</si>
  <si>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</si>
  <si>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</si>
  <si>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</si>
  <si>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</si>
  <si>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</si>
  <si>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</si>
  <si>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</si>
  <si>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</si>
  <si>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</si>
  <si>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</si>
  <si>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</si>
  <si>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</si>
  <si>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</si>
  <si>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</si>
  <si>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</si>
  <si>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</si>
  <si>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</si>
  <si>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</si>
  <si>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</si>
  <si>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</si>
  <si>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</si>
  <si>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</si>
  <si>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</si>
  <si>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</si>
  <si>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</si>
  <si>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</si>
  <si>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</si>
  <si>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</si>
  <si>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</si>
  <si>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</si>
  <si>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</si>
  <si>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</si>
  <si>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</si>
  <si>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</si>
  <si>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</si>
  <si>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</si>
  <si>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</si>
  <si>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</si>
  <si>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</si>
  <si>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</si>
  <si>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</si>
  <si>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</si>
  <si>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</si>
  <si>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</si>
  <si>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</si>
  <si>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</si>
  <si>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</si>
  <si>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</si>
  <si>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</si>
  <si>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</si>
  <si>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</si>
  <si>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</si>
  <si>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</si>
  <si>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</si>
  <si>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</si>
  <si>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</si>
  <si>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</si>
  <si>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</si>
  <si>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</si>
  <si>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</si>
  <si>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</si>
  <si>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</si>
  <si>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</si>
  <si>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</si>
  <si>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</si>
  <si>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</si>
  <si>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</si>
  <si>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</si>
  <si>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</si>
  <si>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</si>
  <si>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</si>
  <si>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</si>
  <si>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</si>
  <si>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</si>
  <si>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</si>
  <si>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</si>
  <si>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</si>
  <si>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</si>
  <si>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</si>
  <si>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</si>
  <si>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</si>
  <si>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</si>
  <si>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</si>
  <si>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</si>
  <si>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</si>
  <si>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</si>
  <si>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</si>
  <si>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</si>
  <si>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</si>
  <si>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</si>
  <si>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</si>
  <si>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</si>
  <si>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</si>
  <si>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</si>
  <si>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</si>
  <si>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</si>
  <si>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</si>
  <si>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</si>
  <si>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</si>
  <si>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</si>
  <si>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</si>
  <si>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</si>
  <si>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</si>
  <si>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</si>
  <si>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</si>
  <si>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</si>
  <si>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</si>
  <si>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</si>
  <si>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</si>
  <si>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</si>
  <si>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</si>
  <si>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</si>
  <si>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</si>
  <si>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</si>
  <si>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</si>
  <si>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</si>
  <si>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</si>
  <si>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</si>
  <si>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</si>
  <si>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</si>
  <si>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</si>
  <si>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</si>
  <si>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</si>
  <si>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</si>
  <si>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</si>
  <si>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</si>
  <si>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</si>
  <si>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</si>
  <si>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</si>
  <si>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</si>
  <si>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</si>
  <si>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</si>
  <si>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</si>
  <si>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</si>
  <si>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</si>
  <si>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</si>
  <si>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</si>
  <si>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</si>
  <si>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</si>
  <si>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</si>
  <si>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</si>
  <si>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</si>
  <si>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</si>
  <si>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</si>
  <si>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</si>
  <si>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</si>
  <si>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</si>
  <si>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</si>
  <si>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</si>
  <si>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</si>
  <si>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</si>
  <si>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</si>
  <si>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</si>
  <si>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</si>
  <si>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</si>
  <si>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</si>
  <si>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</si>
  <si>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</si>
  <si>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</si>
  <si>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</si>
  <si>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</si>
  <si>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</si>
  <si>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</si>
  <si>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</si>
  <si>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</si>
  <si>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</si>
  <si>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</si>
  <si>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</si>
  <si>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</si>
  <si>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</si>
  <si>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</si>
  <si>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</si>
  <si>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</si>
  <si>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</si>
  <si>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</si>
  <si>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</si>
  <si>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</si>
  <si>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</si>
  <si>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</si>
  <si>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</si>
  <si>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</si>
  <si>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</si>
  <si>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</si>
  <si>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</si>
  <si>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</si>
  <si>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</si>
  <si>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</si>
  <si>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</si>
  <si>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</si>
  <si>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</si>
  <si>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</si>
  <si>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</si>
  <si>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</si>
  <si>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</si>
  <si>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</si>
  <si>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</si>
  <si>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</si>
  <si>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</si>
  <si>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</si>
  <si>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</si>
  <si>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</si>
  <si>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</si>
  <si>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</si>
  <si>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</si>
  <si>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</si>
  <si>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</si>
  <si>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</si>
  <si>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</si>
  <si>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</si>
  <si>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</si>
  <si>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</si>
  <si>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</si>
  <si>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</si>
  <si>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</si>
  <si>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</si>
  <si>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</si>
  <si>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</si>
  <si>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</si>
  <si>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</si>
  <si>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</si>
  <si>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</si>
  <si>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</si>
  <si>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</si>
  <si>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</si>
  <si>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</si>
  <si>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</si>
  <si>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</si>
  <si>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</si>
  <si>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</si>
  <si>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</si>
  <si>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</si>
  <si>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</si>
  <si>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</si>
  <si>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</si>
  <si>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</si>
  <si>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</si>
  <si>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</si>
  <si>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</si>
  <si>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</si>
  <si>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</si>
  <si>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</si>
  <si>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</si>
  <si>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</si>
  <si>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</si>
  <si>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</si>
  <si>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</si>
  <si>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</si>
  <si>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</si>
  <si>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</si>
  <si>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</si>
  <si>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</si>
  <si>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</si>
  <si>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</si>
  <si>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</si>
  <si>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</si>
  <si>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</si>
  <si>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</si>
  <si>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</si>
  <si>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</si>
  <si>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</si>
  <si>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</si>
  <si>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</si>
  <si>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</si>
  <si>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</si>
  <si>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</si>
  <si>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</si>
  <si>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</si>
  <si>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</si>
  <si>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</si>
  <si>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</si>
  <si>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</si>
  <si>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</si>
  <si>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</si>
  <si>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</si>
  <si>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</si>
  <si>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</si>
  <si>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</si>
  <si>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</si>
  <si>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</si>
  <si>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</si>
  <si>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</si>
  <si>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</si>
  <si>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</si>
  <si>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</si>
  <si>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</si>
  <si>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</si>
  <si>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</si>
  <si>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</si>
  <si>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</si>
  <si>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</si>
  <si>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</si>
  <si>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</si>
  <si>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</si>
  <si>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</si>
  <si>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</si>
  <si>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</si>
  <si>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</si>
  <si>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</si>
  <si>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</si>
  <si>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</si>
  <si>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</si>
  <si>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</si>
  <si>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</si>
  <si>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</si>
  <si>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</si>
  <si>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</si>
  <si>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</si>
  <si>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</si>
  <si>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</si>
  <si>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</si>
  <si>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</si>
  <si>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</si>
  <si>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</si>
  <si>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</si>
  <si>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</si>
  <si>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</si>
  <si>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</si>
  <si>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</si>
  <si>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</si>
  <si>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</si>
  <si>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</si>
  <si>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</si>
  <si>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</si>
  <si>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</si>
  <si>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</si>
  <si>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</si>
  <si>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</si>
  <si>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</si>
  <si>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</si>
  <si>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</si>
  <si>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</si>
  <si>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</si>
  <si>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</si>
  <si>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</si>
  <si>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</si>
  <si>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</si>
  <si>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</si>
  <si>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</si>
  <si>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</si>
  <si>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</si>
  <si>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</si>
  <si>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</si>
  <si>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</si>
  <si>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</si>
  <si>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</si>
  <si>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</si>
  <si>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</si>
  <si>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</si>
  <si>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</si>
  <si>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</si>
  <si>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</si>
  <si>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</si>
  <si>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</si>
  <si>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</si>
  <si>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</si>
  <si>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</si>
  <si>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</si>
  <si>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</si>
  <si>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</si>
  <si>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</si>
  <si>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</si>
  <si>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</si>
  <si>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</si>
  <si>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</si>
  <si>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</si>
  <si>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</si>
  <si>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</si>
  <si>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</si>
  <si>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</si>
  <si>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</si>
  <si>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</si>
  <si>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</si>
  <si>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</si>
  <si>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</si>
  <si>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</si>
  <si>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</si>
  <si>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</si>
  <si>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</si>
  <si>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</si>
  <si>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</si>
  <si>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</si>
  <si>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</si>
  <si>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</si>
  <si>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</si>
  <si>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</si>
  <si>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</si>
  <si>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</si>
  <si>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</si>
  <si>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</si>
  <si>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</si>
  <si>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</si>
  <si>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</si>
  <si>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</si>
  <si>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</si>
  <si>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</si>
  <si>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</si>
  <si>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</si>
  <si>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</si>
  <si>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</si>
  <si>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</si>
  <si>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</si>
  <si>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</si>
  <si>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</si>
  <si>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</si>
  <si>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</si>
  <si>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</si>
  <si>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</si>
  <si>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</si>
  <si>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</si>
  <si>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</si>
  <si>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</si>
  <si>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</si>
  <si>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</si>
  <si>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</si>
  <si>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</si>
  <si>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</si>
  <si>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</si>
  <si>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</si>
  <si>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</si>
  <si>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</si>
  <si>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</si>
  <si>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</si>
  <si>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</si>
  <si>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</si>
  <si>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</si>
  <si>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</si>
  <si>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</si>
  <si>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</si>
  <si>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</si>
  <si>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</si>
  <si>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</si>
  <si>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</si>
  <si>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</si>
  <si>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</si>
  <si>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</si>
  <si>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</si>
  <si>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</si>
  <si>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</si>
  <si>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</si>
  <si>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</si>
  <si>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</si>
  <si>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</si>
  <si>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</si>
  <si>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</si>
  <si>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</si>
  <si>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</si>
  <si>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</si>
  <si>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</si>
  <si>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</si>
  <si>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</si>
  <si>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</si>
  <si>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</si>
  <si>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</si>
  <si>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</si>
  <si>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</si>
  <si>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</si>
  <si>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</si>
  <si>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</si>
  <si>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</si>
  <si>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</si>
  <si>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</si>
  <si>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</si>
  <si>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</si>
  <si>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</si>
  <si>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</si>
  <si>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</si>
  <si>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</si>
  <si>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</si>
  <si>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</si>
  <si>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</si>
  <si>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</si>
  <si>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</si>
  <si>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</si>
  <si>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</si>
  <si>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</si>
  <si>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</si>
  <si>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</si>
  <si>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</si>
  <si>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</si>
  <si>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</si>
  <si>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</si>
  <si>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</si>
  <si>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</si>
  <si>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</si>
  <si>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</si>
  <si>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</si>
  <si>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</si>
  <si>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</si>
  <si>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</si>
  <si>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</si>
  <si>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</si>
  <si>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</si>
  <si>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</si>
  <si>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</si>
  <si>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</si>
  <si>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</si>
  <si>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</si>
  <si>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</si>
  <si>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</si>
  <si>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</si>
  <si>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</si>
  <si>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</si>
  <si>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</si>
  <si>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</si>
  <si>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</si>
  <si>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</si>
  <si>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</si>
  <si>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</si>
  <si>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</si>
  <si>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</si>
  <si>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</si>
  <si>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</si>
  <si>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</si>
  <si>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</si>
  <si>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</si>
  <si>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</si>
  <si>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</si>
  <si>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</si>
  <si>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</si>
  <si>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</si>
  <si>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</si>
  <si>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</si>
  <si>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</si>
  <si>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</si>
  <si>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</si>
  <si>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</si>
  <si>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</si>
  <si>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</si>
  <si>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</si>
  <si>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</si>
  <si>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</si>
  <si>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</si>
  <si>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</si>
  <si>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</si>
  <si>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</si>
  <si>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</si>
  <si>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</si>
  <si>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</si>
  <si>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</si>
  <si>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</si>
  <si>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</si>
  <si>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</si>
  <si>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</si>
  <si>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</si>
  <si>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</si>
  <si>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</si>
  <si>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</si>
  <si>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</si>
  <si>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</si>
  <si>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</si>
  <si>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</si>
  <si>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</si>
  <si>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</si>
  <si>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</si>
  <si>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</si>
  <si>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</si>
  <si>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</si>
  <si>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</si>
  <si>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</si>
  <si>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</si>
  <si>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</si>
  <si>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</si>
  <si>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</si>
  <si>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</si>
  <si>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</si>
  <si>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</si>
  <si>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</si>
  <si>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</si>
  <si>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</si>
  <si>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</si>
  <si>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</si>
  <si>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</si>
  <si>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</si>
  <si>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</si>
  <si>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</si>
  <si>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</si>
  <si>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</si>
  <si>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</si>
  <si>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</si>
  <si>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</si>
  <si>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</si>
  <si>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</si>
  <si>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</si>
  <si>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</si>
  <si>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</si>
  <si>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</si>
  <si>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</si>
  <si>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</si>
  <si>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</si>
  <si>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</si>
  <si>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</si>
  <si>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</si>
  <si>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</si>
  <si>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</si>
  <si>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</si>
  <si>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</si>
  <si>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</si>
  <si>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</si>
  <si>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</si>
  <si>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</si>
  <si>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</si>
  <si>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</si>
  <si>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</si>
  <si>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</si>
  <si>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</si>
  <si>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</si>
  <si>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</si>
  <si>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</si>
  <si>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</si>
  <si>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</si>
  <si>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</si>
  <si>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</si>
  <si>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</si>
  <si>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</si>
  <si>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</si>
  <si>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</si>
  <si>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</si>
  <si>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</si>
  <si>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</si>
  <si>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</si>
  <si>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</si>
  <si>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</si>
  <si>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</si>
  <si>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</si>
  <si>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</si>
  <si>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</si>
  <si>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</si>
  <si>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</si>
  <si>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</si>
  <si>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</si>
  <si>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</si>
  <si>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</si>
  <si>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</si>
  <si>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</si>
  <si>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</si>
  <si>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</si>
  <si>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</si>
  <si>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</si>
  <si>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</si>
  <si>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</si>
  <si>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</si>
  <si>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</si>
  <si>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</si>
  <si>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</si>
  <si>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</si>
  <si>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</si>
  <si>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</si>
  <si>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</si>
  <si>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</si>
  <si>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</si>
  <si>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</si>
  <si>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</si>
  <si>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</si>
  <si>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</si>
  <si>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</si>
  <si>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</si>
  <si>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</si>
  <si>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</si>
  <si>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</si>
  <si>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</si>
  <si>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</si>
  <si>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</si>
  <si>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</si>
  <si>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</si>
  <si>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</si>
  <si>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</si>
  <si>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</si>
  <si>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</si>
  <si>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</si>
  <si>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</si>
  <si>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</si>
  <si>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</si>
  <si>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</si>
  <si>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</si>
  <si>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</si>
  <si>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</si>
  <si>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</si>
  <si>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</si>
  <si>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</si>
  <si>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</si>
  <si>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</si>
  <si>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</si>
  <si>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</si>
  <si>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</si>
  <si>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</si>
  <si>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</si>
  <si>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</si>
  <si>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</si>
  <si>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</si>
  <si>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</si>
  <si>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</si>
  <si>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</si>
  <si>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</si>
  <si>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</si>
  <si>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</si>
  <si>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</si>
  <si>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</si>
  <si>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</si>
  <si>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</si>
  <si>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</si>
  <si>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</si>
  <si>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</si>
  <si>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</si>
  <si>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</si>
  <si>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</si>
  <si>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</si>
  <si>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</si>
  <si>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</si>
  <si>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</si>
  <si>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</si>
  <si>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</si>
  <si>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</si>
  <si>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</si>
  <si>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</si>
  <si>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</si>
  <si>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</si>
  <si>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</si>
  <si>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</si>
  <si>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</si>
  <si>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</si>
  <si>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</si>
  <si>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</si>
  <si>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</si>
  <si>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</si>
  <si>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</si>
  <si>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</si>
  <si>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</si>
  <si>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</si>
  <si>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</si>
  <si>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</si>
  <si>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</si>
  <si>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</si>
  <si>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</si>
  <si>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</si>
  <si>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</si>
  <si>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</si>
  <si>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</si>
  <si>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</si>
  <si>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</si>
  <si>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</si>
  <si>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</si>
  <si>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</si>
  <si>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</si>
  <si>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</si>
  <si>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</si>
  <si>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</si>
  <si>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</si>
  <si>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</si>
  <si>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</si>
  <si>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</si>
  <si>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</si>
  <si>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</si>
  <si>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</si>
  <si>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</si>
  <si>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</si>
  <si>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</si>
  <si>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</si>
  <si>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</si>
  <si>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</si>
  <si>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</si>
  <si>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</si>
  <si>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</si>
  <si>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</si>
  <si>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</si>
  <si>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</si>
  <si>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</si>
  <si>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</si>
  <si>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</si>
  <si>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</si>
  <si>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</si>
  <si>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</si>
  <si>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</si>
  <si>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</si>
  <si>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</si>
  <si>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</si>
  <si>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</si>
  <si>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</si>
  <si>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</si>
  <si>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</si>
  <si>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</si>
  <si>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</si>
  <si>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</si>
  <si>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</si>
  <si>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</si>
  <si>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</si>
  <si>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</si>
  <si>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</si>
  <si>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</si>
  <si>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</si>
  <si>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</si>
  <si>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</si>
  <si>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</si>
  <si>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</si>
  <si>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</si>
  <si>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</si>
  <si>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</si>
  <si>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</si>
  <si>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</si>
  <si>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</si>
  <si>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</si>
  <si>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</si>
  <si>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</si>
  <si>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</si>
  <si>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</si>
  <si>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</si>
  <si>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</si>
  <si>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</si>
  <si>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</si>
  <si>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</si>
  <si>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</si>
  <si>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</si>
  <si>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</si>
  <si>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</si>
  <si>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</si>
  <si>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</si>
  <si>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</si>
  <si>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</si>
  <si>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</si>
  <si>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</si>
  <si>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</si>
  <si>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</si>
  <si>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</si>
  <si>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</si>
  <si>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</si>
  <si>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</si>
  <si>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</si>
  <si>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</si>
  <si>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</si>
  <si>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</si>
  <si>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</si>
  <si>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</si>
  <si>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</si>
  <si>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</si>
  <si>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</si>
  <si>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</si>
  <si>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</si>
  <si>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</si>
  <si>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</si>
  <si>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</si>
  <si>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</si>
  <si>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</si>
  <si>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</si>
  <si>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</si>
  <si>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</si>
  <si>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</si>
  <si>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</si>
  <si>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</si>
  <si>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</si>
  <si>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</si>
  <si>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</si>
  <si>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</si>
  <si>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</si>
  <si>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</si>
  <si>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</si>
  <si>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</si>
  <si>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</si>
  <si>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</si>
  <si>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</si>
  <si>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</si>
  <si>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</si>
  <si>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</si>
  <si>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</si>
  <si>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</si>
  <si>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</si>
  <si>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</si>
  <si>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</si>
  <si>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</si>
  <si>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</si>
  <si>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</si>
  <si>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</si>
  <si>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</si>
  <si>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</si>
  <si>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</si>
  <si>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</si>
  <si>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</si>
  <si>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</si>
  <si>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</si>
  <si>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</si>
  <si>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</si>
  <si>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</si>
  <si>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</si>
  <si>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</si>
  <si>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</si>
  <si>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</si>
  <si>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</si>
  <si>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</si>
  <si>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</si>
  <si>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</si>
  <si>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</si>
  <si>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</si>
  <si>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</si>
  <si>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</si>
  <si>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</si>
  <si>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</si>
  <si>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</si>
  <si>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</si>
  <si>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</si>
  <si>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</si>
  <si>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</si>
  <si>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</si>
  <si>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</si>
  <si>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</si>
  <si>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</si>
  <si>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</si>
  <si>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</si>
  <si>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</si>
  <si>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</si>
  <si>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</si>
  <si>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</si>
  <si>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</si>
  <si>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</si>
  <si>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</si>
  <si>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</si>
  <si>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</si>
  <si>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</si>
  <si>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</si>
  <si>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</si>
  <si>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</si>
  <si>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</si>
  <si>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</si>
  <si>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</si>
  <si>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</si>
  <si>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</si>
  <si>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</si>
  <si>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</si>
  <si>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</si>
  <si>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</si>
  <si>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</si>
  <si>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</si>
  <si>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</si>
  <si>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</si>
  <si>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</si>
  <si>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</si>
  <si>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</si>
  <si>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</si>
  <si>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</si>
  <si>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</si>
  <si>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</si>
  <si>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</si>
  <si>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</si>
  <si>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</si>
  <si>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</si>
  <si>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</si>
  <si>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</si>
  <si>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</si>
  <si>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</si>
  <si>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</si>
  <si>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</si>
  <si>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</si>
  <si>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</si>
  <si>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</si>
  <si>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</si>
  <si>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</si>
  <si>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</si>
  <si>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</si>
  <si>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</si>
  <si>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</si>
  <si>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</si>
  <si>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</si>
  <si>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</si>
  <si>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</si>
  <si>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</si>
  <si>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</si>
  <si>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</si>
  <si>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</si>
  <si>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</si>
  <si>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</si>
  <si>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</si>
  <si>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</si>
  <si>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</si>
  <si>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</si>
  <si>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</si>
  <si>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</si>
  <si>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</si>
  <si>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</si>
  <si>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</si>
  <si>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</si>
  <si>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</si>
  <si>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</si>
  <si>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</si>
  <si>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</si>
  <si>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</si>
  <si>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</si>
  <si>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</si>
  <si>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</si>
  <si>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</si>
  <si>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</si>
  <si>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</si>
  <si>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</si>
  <si>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</si>
  <si>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</si>
  <si>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</si>
  <si>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</si>
  <si>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</si>
  <si>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</si>
  <si>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</si>
  <si>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</si>
  <si>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</si>
  <si>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</si>
  <si>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</si>
  <si>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</si>
  <si>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</si>
  <si>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</si>
  <si>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</si>
  <si>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</si>
  <si>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</si>
  <si>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</si>
  <si>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</si>
  <si>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</si>
  <si>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</si>
  <si>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</si>
  <si>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</si>
  <si>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</si>
  <si>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</si>
  <si>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</si>
  <si>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</si>
  <si>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</si>
  <si>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</si>
  <si>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</si>
  <si>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</si>
  <si>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</si>
  <si>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</si>
  <si>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</si>
  <si>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</si>
  <si>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</si>
  <si>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</si>
  <si>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</si>
  <si>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</si>
  <si>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</si>
  <si>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</si>
  <si>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</si>
  <si>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</si>
  <si>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</si>
  <si>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</si>
  <si>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</si>
  <si>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</si>
  <si>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</si>
  <si>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</si>
  <si>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</si>
  <si>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</si>
  <si>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</si>
  <si>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</si>
  <si>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</si>
  <si>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</si>
  <si>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</si>
  <si>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</si>
  <si>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</si>
  <si>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</si>
  <si>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</si>
  <si>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</si>
  <si>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</si>
  <si>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</si>
  <si>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</si>
  <si>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</si>
  <si>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</si>
  <si>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</si>
  <si>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</si>
  <si>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</si>
  <si>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</si>
  <si>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</si>
  <si>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</si>
  <si>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</si>
  <si>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</si>
  <si>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</si>
  <si>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</si>
  <si>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</si>
  <si>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</si>
  <si>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</si>
  <si>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</si>
  <si>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</si>
  <si>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</si>
  <si>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</si>
  <si>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</si>
  <si>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</si>
  <si>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</si>
  <si>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</si>
  <si>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</si>
  <si>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</si>
  <si>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</si>
  <si>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</si>
  <si>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</si>
  <si>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</si>
  <si>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</si>
  <si>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</si>
  <si>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</si>
  <si>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</si>
  <si>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</si>
  <si>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</si>
  <si>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</si>
  <si>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</si>
  <si>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</si>
  <si>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</si>
  <si>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</si>
  <si>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</si>
  <si>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</si>
  <si>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</si>
  <si>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</si>
  <si>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</si>
  <si>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</si>
  <si>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</si>
  <si>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</si>
  <si>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</si>
  <si>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</si>
  <si>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</si>
  <si>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</si>
  <si>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</si>
  <si>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</si>
  <si>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</si>
  <si>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</si>
  <si>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</si>
  <si>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</si>
  <si>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</si>
  <si>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</si>
  <si>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</si>
  <si>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</si>
  <si>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</si>
  <si>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</si>
  <si>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</si>
  <si>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</si>
  <si>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</si>
  <si>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</si>
  <si>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</si>
  <si>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</si>
  <si>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</si>
  <si>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</si>
  <si>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</si>
  <si>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</si>
  <si>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</si>
  <si>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</si>
  <si>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</si>
  <si>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</si>
  <si>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</si>
  <si>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</si>
  <si>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</si>
  <si>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</si>
  <si>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</si>
  <si>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</si>
  <si>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</si>
  <si>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</si>
  <si>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</si>
  <si>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</si>
  <si>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</si>
  <si>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</si>
  <si>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</si>
  <si>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</si>
  <si>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</si>
  <si>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</si>
  <si>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</si>
  <si>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</si>
  <si>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</si>
  <si>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</si>
  <si>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</si>
  <si>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</si>
  <si>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</si>
  <si>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</si>
  <si>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</si>
  <si>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</si>
  <si>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</si>
  <si>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</si>
  <si>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</si>
  <si>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</si>
  <si>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</si>
  <si>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</si>
  <si>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</si>
  <si>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</si>
  <si>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</si>
  <si>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</si>
  <si>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</si>
  <si>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</si>
  <si>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</si>
  <si>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</si>
  <si>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</si>
  <si>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</si>
  <si>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</si>
  <si>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</si>
  <si>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</si>
  <si>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</si>
  <si>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</si>
  <si>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</si>
  <si>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</si>
  <si>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</si>
  <si>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</si>
  <si>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</si>
  <si>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</si>
  <si>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</si>
  <si>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</si>
  <si>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</si>
  <si>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</si>
  <si>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</si>
  <si>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</si>
  <si>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</si>
  <si>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</si>
  <si>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</si>
  <si>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</si>
  <si>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</si>
  <si>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</si>
  <si>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</si>
  <si>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</si>
  <si>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</si>
  <si>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</si>
  <si>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</si>
  <si>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</si>
  <si>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</si>
  <si>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</si>
  <si>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</si>
  <si>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</si>
  <si>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</si>
  <si>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</si>
  <si>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</si>
  <si>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</si>
  <si>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</si>
  <si>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</si>
  <si>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</si>
  <si>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</si>
  <si>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</si>
  <si>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</si>
  <si>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</si>
  <si>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</si>
  <si>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</si>
  <si>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</si>
  <si>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</si>
  <si>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</si>
  <si>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</si>
  <si>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</si>
  <si>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</si>
  <si>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</si>
  <si>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</si>
  <si>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</si>
  <si>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</si>
  <si>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</si>
  <si>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</si>
  <si>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</si>
  <si>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</si>
  <si>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</si>
  <si>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</si>
  <si>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</si>
  <si>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</si>
  <si>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</si>
  <si>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</si>
  <si>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</si>
  <si>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</si>
  <si>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</si>
  <si>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</si>
  <si>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</si>
  <si>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</si>
  <si>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</si>
  <si>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</si>
  <si>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</si>
  <si>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</si>
  <si>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</si>
  <si>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</si>
  <si>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</si>
  <si>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</si>
  <si>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</si>
  <si>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</si>
  <si>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</si>
  <si>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</si>
  <si>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</si>
  <si>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</si>
  <si>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</si>
  <si>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</si>
  <si>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</si>
  <si>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</si>
  <si>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</si>
  <si>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</si>
  <si>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</si>
  <si>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</si>
  <si>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</si>
  <si>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</si>
  <si>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</si>
  <si>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</si>
  <si>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</si>
  <si>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</si>
  <si>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</si>
  <si>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</si>
  <si>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</si>
  <si>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</si>
  <si>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</si>
  <si>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</si>
  <si>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</si>
  <si>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</si>
  <si>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</si>
  <si>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</si>
  <si>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</si>
  <si>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</si>
  <si>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</si>
  <si>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</si>
  <si>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</si>
  <si>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</si>
  <si>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</si>
  <si>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</si>
  <si>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</si>
  <si>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</si>
  <si>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</si>
  <si>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</si>
  <si>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</si>
  <si>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</si>
  <si>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</si>
  <si>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</si>
  <si>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</si>
  <si>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</si>
  <si>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</si>
  <si>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</si>
  <si>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</si>
  <si>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</si>
  <si>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</si>
  <si>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</si>
  <si>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</si>
  <si>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</si>
  <si>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</si>
  <si>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</si>
  <si>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</si>
  <si>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</si>
  <si>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</si>
  <si>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</si>
  <si>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</si>
  <si>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</si>
  <si>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</si>
  <si>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</si>
  <si>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</si>
  <si>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</si>
  <si>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</si>
  <si>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</si>
  <si>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</si>
  <si>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</si>
  <si>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</si>
  <si>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</si>
  <si>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</si>
  <si>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</si>
  <si>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</si>
  <si>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</si>
  <si>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</si>
  <si>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</si>
  <si>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</si>
  <si>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</si>
  <si>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</si>
  <si>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</si>
  <si>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</si>
  <si>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</si>
  <si>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</si>
  <si>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</si>
  <si>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</si>
  <si>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</si>
  <si>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</si>
  <si>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</si>
  <si>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</si>
  <si>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</si>
  <si>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</si>
  <si>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</si>
  <si>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</si>
  <si>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</si>
  <si>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</si>
  <si>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</si>
  <si>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</si>
  <si>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</si>
  <si>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</si>
  <si>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</si>
  <si>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</si>
  <si>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</si>
  <si>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</si>
  <si>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</si>
  <si>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</si>
  <si>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</si>
  <si>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</si>
  <si>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</si>
  <si>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</si>
  <si>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</si>
  <si>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</si>
  <si>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</si>
  <si>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</si>
  <si>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</si>
  <si>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</si>
  <si>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</si>
  <si>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</si>
  <si>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</si>
  <si>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</si>
  <si>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</si>
  <si>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</si>
  <si>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</si>
  <si>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</si>
  <si>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</si>
  <si>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</si>
  <si>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</si>
  <si>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</si>
  <si>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</si>
  <si>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</si>
  <si>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</si>
  <si>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</si>
  <si>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</si>
  <si>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</si>
  <si>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</si>
  <si>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</si>
  <si>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</si>
  <si>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</si>
  <si>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</si>
  <si>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</si>
  <si>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</si>
  <si>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</si>
  <si>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</si>
  <si>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</si>
  <si>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</si>
  <si>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</si>
  <si>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</si>
  <si>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</si>
  <si>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</si>
  <si>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</si>
  <si>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</si>
  <si>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</si>
  <si>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</si>
  <si>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</si>
  <si>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</si>
  <si>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</si>
  <si>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</si>
  <si>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</si>
  <si>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</si>
  <si>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</si>
  <si>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</si>
  <si>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</si>
  <si>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</si>
  <si>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</si>
  <si>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</si>
  <si>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</si>
  <si>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</si>
  <si>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</si>
  <si>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</si>
  <si>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</si>
  <si>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</si>
  <si>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</si>
  <si>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</si>
  <si>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</si>
  <si>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</si>
  <si>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</si>
  <si>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</si>
  <si>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</si>
  <si>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</si>
  <si>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</si>
  <si>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</si>
  <si>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</si>
  <si>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</si>
  <si>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</si>
  <si>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</si>
  <si>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</si>
  <si>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</si>
  <si>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</si>
  <si>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</si>
  <si>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</si>
  <si>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</si>
  <si>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</si>
  <si>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</si>
  <si>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</si>
  <si>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</si>
  <si>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</si>
  <si>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</si>
  <si>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</si>
  <si>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</si>
  <si>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</si>
  <si>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</si>
  <si>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</si>
  <si>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</si>
  <si>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</si>
  <si>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</si>
  <si>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</si>
  <si>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</si>
  <si>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</si>
  <si>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</si>
  <si>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</si>
  <si>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</si>
  <si>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</si>
  <si>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</si>
  <si>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</si>
  <si>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</si>
  <si>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</si>
  <si>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</si>
  <si>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</si>
  <si>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</si>
  <si>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</si>
  <si>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</si>
  <si>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</si>
  <si>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</si>
  <si>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</si>
  <si>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</si>
  <si>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</si>
  <si>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</si>
  <si>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</si>
  <si>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</si>
  <si>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</si>
  <si>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抵押价格</t>
  </si>
  <si>
    <t>其他：</t>
  </si>
  <si>
    <t>企业</t>
  </si>
  <si>
    <t>一致</t>
  </si>
  <si>
    <t>商业</t>
  </si>
  <si>
    <t>地上</t>
  </si>
  <si>
    <t>商业</t>
    <phoneticPr fontId="7" type="noConversion"/>
  </si>
  <si>
    <t>地块名称</t>
  </si>
  <si>
    <t>城市</t>
  </si>
  <si>
    <t>用地性质</t>
  </si>
  <si>
    <t>建设用地面积(㎡)</t>
  </si>
  <si>
    <t>规划建筑面积(㎡)</t>
  </si>
  <si>
    <t>出让方式</t>
  </si>
  <si>
    <t>详细规划</t>
  </si>
  <si>
    <t>集中供地</t>
  </si>
  <si>
    <t>成交日期</t>
  </si>
  <si>
    <t>受让单位</t>
  </si>
  <si>
    <t>成交价(万元)</t>
  </si>
  <si>
    <t>成交楼面价(元/㎡)</t>
  </si>
  <si>
    <t>溢价率</t>
  </si>
  <si>
    <t>土地星级</t>
  </si>
  <si>
    <t>新城大道以东、兴源街北侧</t>
  </si>
  <si>
    <t>潍坊市</t>
  </si>
  <si>
    <t>商业/办公用地</t>
  </si>
  <si>
    <t>大于或等于1并且小于或等于1.5</t>
  </si>
  <si>
    <t>挂牌</t>
  </si>
  <si>
    <t>其他商服用地</t>
  </si>
  <si>
    <t>2020-11-30</t>
  </si>
  <si>
    <t>郭岐娟</t>
  </si>
  <si>
    <t>2星</t>
  </si>
  <si>
    <t>高密市城市建设投资集团有限公司</t>
  </si>
  <si>
    <t>凤凰大街北、祥云路西</t>
  </si>
  <si>
    <t>大于或等于1.2并且小于或等于3</t>
  </si>
  <si>
    <t>2020-08-07</t>
  </si>
  <si>
    <t>高密市远大投资建设发展有限公司</t>
  </si>
  <si>
    <t>3星</t>
  </si>
  <si>
    <t>孚日街北、秦岭路东、祥云路西</t>
  </si>
  <si>
    <t>大于或等于1并且小于或等于1.7</t>
  </si>
  <si>
    <t>2020-04-23</t>
  </si>
  <si>
    <t>高密市颐乐建设发展有限公司</t>
  </si>
  <si>
    <t>康成大街北、园区中心路东</t>
  </si>
  <si>
    <t>小于或等于2</t>
  </si>
  <si>
    <t>2019-12-16</t>
  </si>
  <si>
    <t>乐聚(山东)机器人科技有限公司</t>
  </si>
  <si>
    <t>不动产收益法</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</si>
  <si>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</si>
  <si>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</si>
  <si>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</si>
  <si>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</si>
  <si>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</si>
  <si>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</si>
  <si>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七通</t>
    <phoneticPr fontId="26" type="noConversion"/>
  </si>
  <si>
    <t>较规则</t>
    <phoneticPr fontId="26" type="noConversion"/>
  </si>
  <si>
    <t>较适宜</t>
    <phoneticPr fontId="26" type="noConversion"/>
  </si>
  <si>
    <t>三通</t>
    <phoneticPr fontId="26" type="noConversion"/>
  </si>
  <si>
    <t>楼面地价</t>
  </si>
  <si>
    <t>土地（套用方法）</t>
  </si>
  <si>
    <t>押一</t>
  </si>
  <si>
    <t>按租金收入计税</t>
  </si>
  <si>
    <t>钢混</t>
  </si>
  <si>
    <t>比较法-住宅、综合</t>
  </si>
  <si>
    <t>剩余法-待开发</t>
  </si>
  <si>
    <t>情况3</t>
  </si>
  <si>
    <t>正常</t>
  </si>
  <si>
    <t>自行开发建设</t>
  </si>
  <si>
    <t>非个人房产</t>
  </si>
  <si>
    <t>出让金+开发费</t>
  </si>
  <si>
    <t>利息：取LPR加浮动点数</t>
  </si>
  <si>
    <t>成交每亩价(万元/亩)</t>
  </si>
  <si>
    <t>出让年限</t>
  </si>
  <si>
    <t>姚前路东、西姚哥庄地块</t>
  </si>
  <si>
    <t>小于或等于4.5</t>
  </si>
  <si>
    <t>2021-10-20</t>
  </si>
  <si>
    <t>刘杰</t>
  </si>
  <si>
    <t>40年</t>
  </si>
  <si>
    <t>大于或等于1.2并且小于或等于1.5</t>
  </si>
  <si>
    <t>2021-09-22</t>
  </si>
  <si>
    <t>高密市瑞康养老服务有限公司</t>
  </si>
  <si>
    <t>红高粱大街以北、沙口子村东北</t>
  </si>
  <si>
    <t>大于或等于1并且小于或等于1.2</t>
  </si>
  <si>
    <t>2021-06-24</t>
  </si>
  <si>
    <t>高密市红高粱文化投资开发有限公司</t>
  </si>
  <si>
    <t>1星</t>
  </si>
  <si>
    <t>咸家工业区徐辛路西、陶家屋子村东</t>
  </si>
  <si>
    <t>小于或等于0.6</t>
  </si>
  <si>
    <t>零售商业用地</t>
  </si>
  <si>
    <t>2021-03-04</t>
  </si>
  <si>
    <t>高密市波德成品油销售有限公司</t>
  </si>
  <si>
    <t>石庵路北、纵二路西</t>
  </si>
  <si>
    <t>大于或等于0.7并且小于或等于1</t>
  </si>
  <si>
    <t>批发市场用地</t>
  </si>
  <si>
    <t>2021-01-04</t>
  </si>
  <si>
    <t>高密市路通路桥工程有限公司</t>
  </si>
  <si>
    <t>大牟家镇新府前街南、北平路西</t>
  </si>
  <si>
    <t>小于或等于1.2</t>
  </si>
  <si>
    <t>2020-10-19</t>
  </si>
  <si>
    <t>高密市孚高农业服务有限公司</t>
  </si>
  <si>
    <t>柏城镇干渠路以东、平安大道以南</t>
  </si>
  <si>
    <t>大于或等于0.25并且小于或等于1.1</t>
  </si>
  <si>
    <t>高密市赞丰农业发展有限公司</t>
  </si>
  <si>
    <t>柏城镇干渠路东、平安大道北</t>
  </si>
  <si>
    <t>李廷梅</t>
  </si>
  <si>
    <t>胶河生态发展区张家庄朱城路西侧</t>
  </si>
  <si>
    <t>2020-10-12</t>
  </si>
  <si>
    <t>高密市神泉山农产品有限公司</t>
  </si>
  <si>
    <t>高密市醴泉供销合作社</t>
  </si>
  <si>
    <t>胶河生态发展区张家庄朱城路东侧</t>
  </si>
  <si>
    <t>柴沟镇一号街南、一号路西</t>
  </si>
  <si>
    <t>高密市润鑫农业服务有限公司</t>
  </si>
  <si>
    <t>柴沟镇一号街南、新平日路西</t>
  </si>
  <si>
    <t>高密友安能源有限公司</t>
  </si>
  <si>
    <t>曙光路西、朝阳大街北</t>
  </si>
  <si>
    <t>小于或等于2.1</t>
  </si>
  <si>
    <t>2020-08-28</t>
  </si>
  <si>
    <t>高密市交运置业有限公司</t>
  </si>
  <si>
    <t>4星</t>
  </si>
  <si>
    <t>北平路南、夷安大道东</t>
  </si>
  <si>
    <t>小于或等于0.8</t>
  </si>
  <si>
    <t>双屯路东、烟草合作社北</t>
  </si>
  <si>
    <t>小于或等于1.1</t>
  </si>
  <si>
    <t>高密市润高农业服务有限公司</t>
  </si>
  <si>
    <t>龙河街南、富康路西</t>
  </si>
  <si>
    <t>高密市晟邦农业服务有限公司</t>
  </si>
  <si>
    <t>大于或等于1并且小于或等于1.3</t>
  </si>
  <si>
    <t>2020-05-14</t>
  </si>
  <si>
    <t>康成大街北、夷安大道东、花园街南</t>
  </si>
  <si>
    <t>大于或等于1并且小于或等于2.2</t>
  </si>
  <si>
    <t>2020-05-08</t>
  </si>
  <si>
    <t>潍坊骏鑫房地产开发有限公司</t>
  </si>
  <si>
    <t>东北乡文化发展区高东路北、都泺路东</t>
  </si>
  <si>
    <t>小于或等于1.8</t>
  </si>
  <si>
    <t>2020-03-13</t>
  </si>
  <si>
    <t>高密市红高粱集团有限公司</t>
  </si>
  <si>
    <t>37年</t>
  </si>
  <si>
    <t>红高粱大街北、都泺路西</t>
  </si>
  <si>
    <t>2019-11-25</t>
  </si>
  <si>
    <t>陆港路东、规划路南</t>
  </si>
  <si>
    <t>2019-11-15</t>
  </si>
  <si>
    <t>红高粱大街以北、都泺路西</t>
  </si>
  <si>
    <t>50年</t>
  </si>
  <si>
    <t>红高粱大街以北、都泺路东</t>
  </si>
  <si>
    <t>站北街北、站北一路西</t>
  </si>
  <si>
    <t>小于或等于1</t>
  </si>
  <si>
    <t>2019-10-28</t>
  </si>
  <si>
    <t>高密市国有资产管理有限公司</t>
  </si>
  <si>
    <t>咸家大街北、纵四路东</t>
  </si>
  <si>
    <t>高密市为民成品油销售有限公司</t>
  </si>
  <si>
    <t>夷安大道西、济青高铁南</t>
  </si>
  <si>
    <t>2019-09-12</t>
  </si>
  <si>
    <t>高密市国有资产经营投资有限公司</t>
  </si>
  <si>
    <t>小于或等于3.5</t>
  </si>
  <si>
    <t>柳河大道东、凤凰大街北</t>
  </si>
  <si>
    <t>大牟家镇北胶新河北、高周路西</t>
  </si>
  <si>
    <t>2019-06-14</t>
  </si>
  <si>
    <t>高密市盛昌加油站</t>
  </si>
  <si>
    <t>柴沟镇五龙河北、府前街西</t>
  </si>
  <si>
    <t>夷安大道西、通源街南</t>
  </si>
  <si>
    <t>小于或等于0.75</t>
  </si>
  <si>
    <t>2019-04-18</t>
  </si>
  <si>
    <t>潍坊元亨置业有限公司</t>
  </si>
  <si>
    <t>32年</t>
  </si>
  <si>
    <t>平安路西、通源街北</t>
  </si>
  <si>
    <t>平安路西、通源街南</t>
  </si>
  <si>
    <t>沂胶路北、谭西路东</t>
  </si>
  <si>
    <t>批发零售用地</t>
  </si>
  <si>
    <t>2019-01-11</t>
  </si>
  <si>
    <t>高密市八方加油站</t>
  </si>
  <si>
    <t>姜庄镇昌安大道西、惠和街北</t>
  </si>
  <si>
    <t>高密市吉顺燃气有限公司</t>
  </si>
  <si>
    <t>大牟家镇北平路北、五龙河东</t>
  </si>
  <si>
    <t>2018-12-16</t>
  </si>
  <si>
    <t>高密市百顺加油站</t>
  </si>
  <si>
    <t>咸家工业区高家屋子东、徐辛路东</t>
  </si>
  <si>
    <t>高密民生能源有限公司</t>
  </si>
  <si>
    <t>横一路南、徐辛路西</t>
  </si>
  <si>
    <t>高密市顺鑫加油站</t>
  </si>
  <si>
    <t>33年</t>
  </si>
  <si>
    <t>大牟家镇南环路北、北平路西</t>
  </si>
  <si>
    <t>2018-01-15</t>
  </si>
  <si>
    <t>高密市泰山成品油销售有限公司</t>
  </si>
  <si>
    <t>36年</t>
  </si>
  <si>
    <t>泽安大道南、龙潭路西</t>
  </si>
  <si>
    <t>2018-01-06</t>
  </si>
  <si>
    <t>高密市交运实华天然气有限公司</t>
  </si>
  <si>
    <t>凤凰西街南、郑一路东</t>
  </si>
  <si>
    <t>南二街北、火车站路西</t>
  </si>
  <si>
    <t>北平路北、规划路西</t>
  </si>
  <si>
    <t>周槐路南、昌盛路西</t>
  </si>
  <si>
    <t>红高粱大街南、规划路西</t>
  </si>
  <si>
    <t>北平路北、徐辛路西</t>
  </si>
  <si>
    <t>东北乡文化发展区北平路南</t>
  </si>
  <si>
    <t>2017-08-02</t>
  </si>
  <si>
    <t>高密市三河加油站</t>
  </si>
  <si>
    <t>小于或等于3.8</t>
  </si>
  <si>
    <t>商务金融用地</t>
  </si>
  <si>
    <t>2017-05-19</t>
  </si>
  <si>
    <t>山东天筑置业有限公司</t>
  </si>
  <si>
    <t>小于或等于5.5</t>
  </si>
  <si>
    <t>小于或等于3.6</t>
  </si>
  <si>
    <t>高密市新城建设投资有限公司</t>
  </si>
  <si>
    <t>东北乡高东路北、都泺路东</t>
  </si>
  <si>
    <t>住宿餐饮用地</t>
  </si>
  <si>
    <t>2016-12-22</t>
  </si>
  <si>
    <t>高密市高粱红文化发展股份有限公司</t>
  </si>
  <si>
    <t>晏子路东、朝阳大街北</t>
  </si>
  <si>
    <t>小于或等于1.75</t>
  </si>
  <si>
    <t>2016-11-13</t>
  </si>
  <si>
    <t>高密市新济健康产业管理有限公司</t>
  </si>
  <si>
    <t>昌安大道西、崇贤街南</t>
  </si>
  <si>
    <t>2016-05-19</t>
  </si>
  <si>
    <t>中国石化销售有限公司山东潍坊石油分公司</t>
  </si>
  <si>
    <t>柴沟镇平日路西、龙和街北</t>
  </si>
  <si>
    <t>小于或等于1.5</t>
  </si>
  <si>
    <t>2016-04-07</t>
  </si>
  <si>
    <t>山东潍坊烟草有限公司</t>
  </si>
  <si>
    <t>百脉湖大街北、夷安大道东</t>
  </si>
  <si>
    <t>月潭路西、花园街北</t>
  </si>
  <si>
    <t>小于或等于4.8</t>
  </si>
  <si>
    <t>2016-02-07</t>
  </si>
  <si>
    <t>山东金孚隆股份有限公司</t>
  </si>
  <si>
    <t>31年</t>
  </si>
  <si>
    <t>夷安大道东、平安大道南</t>
  </si>
  <si>
    <t>2016-01-16</t>
  </si>
  <si>
    <t>曲学礼</t>
  </si>
  <si>
    <t>崇德大街南、昌安大道西</t>
  </si>
  <si>
    <t>大于或等于1并且小于或等于2.47</t>
  </si>
  <si>
    <t>2015-11-19</t>
  </si>
  <si>
    <t>高密市冠祥置业开发有限公司</t>
  </si>
  <si>
    <t>昌安大道东、祥和路南</t>
  </si>
  <si>
    <t>2014-10-12</t>
  </si>
  <si>
    <t>高密市康泰实业有限公司</t>
  </si>
  <si>
    <t>夏庄镇河崖社区红高粱大街北</t>
  </si>
  <si>
    <t>2014-06-05</t>
  </si>
  <si>
    <t>高密市福顺加油站</t>
  </si>
  <si>
    <t>姜庄镇夷安大道以东、李仙街北</t>
  </si>
  <si>
    <t>小于或等于0.62</t>
  </si>
  <si>
    <t>高密市高建地产开发投资有限公司</t>
  </si>
  <si>
    <t>案例A</t>
    <phoneticPr fontId="228" type="noConversion"/>
  </si>
  <si>
    <r>
      <t>案例B</t>
    </r>
    <r>
      <rPr>
        <sz val="11"/>
        <color theme="1"/>
        <rFont val="宋体"/>
        <family val="3"/>
        <charset val="134"/>
        <scheme val="minor"/>
      </rPr>
      <t xml:space="preserve"> </t>
    </r>
    <phoneticPr fontId="228" type="noConversion"/>
  </si>
  <si>
    <t>案例C</t>
    <phoneticPr fontId="228" type="noConversion"/>
  </si>
  <si>
    <t>距市人民政府距离</t>
    <phoneticPr fontId="26" type="noConversion"/>
  </si>
  <si>
    <t>崇文街北、豪迈路东</t>
    <phoneticPr fontId="228" type="noConversion"/>
  </si>
  <si>
    <t>康庄大街南、康葛路西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</si>
</sst>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0" borderId="0" xfId="16"/>
    <xf numFmtId="0" fontId="0" fillId="6" borderId="0" xfId="0" applyFill="1">
      <alignment vertical="center"/>
    </xf>
    <xf numFmtId="0" fontId="86" fillId="6" borderId="0" xfId="16" applyFill="1"/>
    <xf numFmtId="0" fontId="0" fillId="0"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9" fontId="71" fillId="13" borderId="0" xfId="0" applyNumberFormat="1" applyFont="1" applyFill="1" applyAlignment="1" applyProtection="1">
      <alignment vertical="center"/>
      <protection locked="0"/>
    </xf>
    <xf numFmtId="177" fontId="76" fillId="13" borderId="0" xfId="0" applyNumberFormat="1" applyFont="1" applyFill="1" applyAlignment="1" applyProtection="1">
      <alignment horizontal="center" vertical="center"/>
      <protection locked="0"/>
    </xf>
    <xf numFmtId="0" fontId="0" fillId="0" borderId="0" xfId="0" applyAlignment="1">
      <alignment horizontal="right"/>
    </xf>
    <xf numFmtId="0" fontId="0" fillId="6" borderId="0" xfId="0" applyFill="1" applyAlignment="1"/>
    <xf numFmtId="0" fontId="0" fillId="6" borderId="0" xfId="0" applyFill="1" applyAlignment="1">
      <alignment horizontal="right"/>
    </xf>
    <xf numFmtId="0" fontId="81" fillId="0" borderId="12" xfId="0"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vertical="center"/>
      <protection locked="0"/>
    </xf>
    <xf numFmtId="10" fontId="71" fillId="17" borderId="2"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10" fontId="76" fillId="17" borderId="25" xfId="0" applyNumberFormat="1" applyFont="1" applyFill="1" applyBorder="1" applyAlignment="1" applyProtection="1">
      <alignment horizontal="center" vertical="center"/>
    </xf>
    <xf numFmtId="182" fontId="152" fillId="17" borderId="2"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84" fillId="17" borderId="6" xfId="0" applyNumberFormat="1" applyFont="1" applyFill="1" applyBorder="1" applyAlignment="1" applyProtection="1">
      <alignment horizontal="center" vertical="center" wrapText="1"/>
    </xf>
    <xf numFmtId="0" fontId="149" fillId="17" borderId="6" xfId="0" applyNumberFormat="1" applyFont="1" applyFill="1" applyBorder="1" applyAlignment="1" applyProtection="1">
      <alignment horizontal="center" vertical="center" wrapText="1"/>
    </xf>
    <xf numFmtId="0" fontId="71" fillId="17" borderId="2" xfId="0" applyNumberFormat="1" applyFont="1" applyFill="1" applyBorder="1" applyAlignment="1" applyProtection="1">
      <alignment horizontal="center" vertical="center" wrapText="1"/>
      <protection locked="0"/>
    </xf>
    <xf numFmtId="0" fontId="149" fillId="17" borderId="2"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84" fillId="17" borderId="4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6" borderId="0" xfId="0" applyFont="1" applyFill="1" applyAlignme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57150</xdr:rowOff>
    </xdr:from>
    <xdr:to>
      <xdr:col>13</xdr:col>
      <xdr:colOff>325120</xdr:colOff>
      <xdr:row>45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1650"/>
          <a:ext cx="10421620" cy="6057900"/>
        </a:xfrm>
        <a:prstGeom prst="rect">
          <a:avLst/>
        </a:prstGeom>
        <a:noFill/>
        <a:ln w="9525">
          <a:noFill/>
        </a:ln>
      </xdr:spPr>
    </xdr:pic>
    <xdr:clientData/>
  </xdr:twoCellAnchor>
  <xdr:twoCellAnchor editAs="oneCell">
    <xdr:from>
      <xdr:col>0</xdr:col>
      <xdr:colOff>0</xdr:colOff>
      <xdr:row>51</xdr:row>
      <xdr:rowOff>0</xdr:rowOff>
    </xdr:from>
    <xdr:to>
      <xdr:col>13</xdr:col>
      <xdr:colOff>458470</xdr:colOff>
      <xdr:row>86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0554970" cy="6096000"/>
        </a:xfrm>
        <a:prstGeom prst="rect">
          <a:avLst/>
        </a:prstGeom>
        <a:noFill/>
        <a:ln w="9525">
          <a:noFill/>
        </a:ln>
      </xdr:spPr>
    </xdr:pic>
    <xdr:clientData/>
  </xdr:twoCellAnchor>
  <xdr:twoCellAnchor editAs="oneCell">
    <xdr:from>
      <xdr:col>0</xdr:col>
      <xdr:colOff>0</xdr:colOff>
      <xdr:row>87</xdr:row>
      <xdr:rowOff>0</xdr:rowOff>
    </xdr:from>
    <xdr:to>
      <xdr:col>13</xdr:col>
      <xdr:colOff>325120</xdr:colOff>
      <xdr:row>123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16150"/>
          <a:ext cx="10421620" cy="61722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26</xdr:col>
      <xdr:colOff>297734</xdr:colOff>
      <xdr:row>21</xdr:row>
      <xdr:rowOff>15543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16619220" y="365760"/>
          <a:ext cx="6393734" cy="3490263"/>
        </a:xfrm>
        <a:prstGeom prst="rect">
          <a:avLst/>
        </a:prstGeom>
      </xdr:spPr>
    </xdr:pic>
    <xdr:clientData/>
  </xdr:twoCellAnchor>
  <xdr:twoCellAnchor editAs="oneCell">
    <xdr:from>
      <xdr:col>16</xdr:col>
      <xdr:colOff>0</xdr:colOff>
      <xdr:row>23</xdr:row>
      <xdr:rowOff>0</xdr:rowOff>
    </xdr:from>
    <xdr:to>
      <xdr:col>26</xdr:col>
      <xdr:colOff>213907</xdr:colOff>
      <xdr:row>42</xdr:row>
      <xdr:rowOff>106991</xdr:rowOff>
    </xdr:to>
    <xdr:pic>
      <xdr:nvPicPr>
        <xdr:cNvPr id="3" name="图片 2"/>
        <xdr:cNvPicPr>
          <a:picLocks noChangeAspect="1"/>
        </xdr:cNvPicPr>
      </xdr:nvPicPr>
      <xdr:blipFill>
        <a:blip xmlns:r="http://schemas.openxmlformats.org/officeDocument/2006/relationships" r:embed="rId2"/>
        <a:stretch>
          <a:fillRect/>
        </a:stretch>
      </xdr:blipFill>
      <xdr:spPr>
        <a:xfrm>
          <a:off x="16619220" y="4206240"/>
          <a:ext cx="6309907" cy="3581711"/>
        </a:xfrm>
        <a:prstGeom prst="rect">
          <a:avLst/>
        </a:prstGeom>
      </xdr:spPr>
    </xdr:pic>
    <xdr:clientData/>
  </xdr:twoCellAnchor>
  <xdr:twoCellAnchor editAs="oneCell">
    <xdr:from>
      <xdr:col>16</xdr:col>
      <xdr:colOff>0</xdr:colOff>
      <xdr:row>45</xdr:row>
      <xdr:rowOff>0</xdr:rowOff>
    </xdr:from>
    <xdr:to>
      <xdr:col>30</xdr:col>
      <xdr:colOff>107429</xdr:colOff>
      <xdr:row>64</xdr:row>
      <xdr:rowOff>145094</xdr:rowOff>
    </xdr:to>
    <xdr:pic>
      <xdr:nvPicPr>
        <xdr:cNvPr id="4" name="图片 3"/>
        <xdr:cNvPicPr>
          <a:picLocks noChangeAspect="1"/>
        </xdr:cNvPicPr>
      </xdr:nvPicPr>
      <xdr:blipFill>
        <a:blip xmlns:r="http://schemas.openxmlformats.org/officeDocument/2006/relationships" r:embed="rId3"/>
        <a:stretch>
          <a:fillRect/>
        </a:stretch>
      </xdr:blipFill>
      <xdr:spPr>
        <a:xfrm>
          <a:off x="16619220" y="8229600"/>
          <a:ext cx="8641829" cy="36198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受贵公司委托，我公司对出让国有建设用地使用权抵押价格进行了预评估。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266666.3平方米。根据《建设工程规划许可证》[]、《出让合同》[]，估价对象规划建筑面积为1146665.09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2021年10月30日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根据《国有土地使用证》[]，估价对象（分摊）出让国有建设用地使用权面积为266666.3平方米。根据《建设工程规划许可证》[]、《出让合同》[]，估价对象规划建筑面积为1146665.09平方米。</v>
      </c>
    </row>
    <row r="16" spans="1:55" s="2593" customFormat="1">
      <c r="A16" s="2594" t="s">
        <v>2649</v>
      </c>
      <c r="B16" s="2595" t="str">
        <f>'预评函-1'!A22</f>
        <v>本次估价对象为出让国有建设用地使用权，《国有土地使用证》[]证载土地终止日期为商业2045年2月25日。截至估价期日，出让国有建设用地使用权剩余土地使用年限为。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估价期日：2021年10月30日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266666.3</v>
      </c>
    </row>
    <row r="44" spans="1:2">
      <c r="A44" s="2594" t="s">
        <v>2720</v>
      </c>
      <c r="B44" s="2595" t="str">
        <f>'预评函-2'!O3</f>
        <v>规划建筑面积/㎡</v>
      </c>
    </row>
    <row r="45" spans="1:2">
      <c r="A45" s="2594" t="s">
        <v>2702</v>
      </c>
      <c r="B45" s="2595">
        <f>'预评函-2'!O5</f>
        <v>1146665.0900000001</v>
      </c>
    </row>
    <row r="46" spans="1:2">
      <c r="A46" s="2594" t="s">
        <v>2703</v>
      </c>
      <c r="B46" s="2595">
        <f ca="1">'预评函-2'!P5</f>
        <v>1467</v>
      </c>
    </row>
    <row r="47" spans="1:2">
      <c r="A47" s="2594" t="s">
        <v>2704</v>
      </c>
      <c r="B47" s="2595">
        <f ca="1">'预评函-2'!Q5</f>
        <v>341</v>
      </c>
    </row>
    <row r="48" spans="1:2">
      <c r="A48" s="2594" t="s">
        <v>2705</v>
      </c>
      <c r="B48" s="2595">
        <f ca="1">'预评函-2'!R5</f>
        <v>39124</v>
      </c>
    </row>
    <row r="49" spans="1:2">
      <c r="A49" s="2594" t="s">
        <v>2721</v>
      </c>
      <c r="B49" s="2595" t="str">
        <f>'预评函-2'!A6</f>
        <v>抵押价格</v>
      </c>
    </row>
    <row r="50" spans="1:2">
      <c r="A50" s="2594" t="s">
        <v>2706</v>
      </c>
      <c r="B50" s="2595">
        <f ca="1">'预评函-2'!R6</f>
        <v>39124</v>
      </c>
    </row>
    <row r="51" spans="1:2">
      <c r="A51" s="2594" t="s">
        <v>2722</v>
      </c>
      <c r="B51" s="2595" t="str">
        <f>'预评函-2'!A7</f>
        <v>——</v>
      </c>
    </row>
    <row r="52" spans="1:2">
      <c r="A52" s="2594" t="s">
        <v>2707</v>
      </c>
      <c r="B52" s="2595" t="str">
        <f>'预评函-2'!R7</f>
        <v>——</v>
      </c>
    </row>
    <row r="53" spans="1:2">
      <c r="A53" s="2594" t="s">
        <v>2723</v>
      </c>
      <c r="B53" s="2595" t="str">
        <f>'预评函-2'!A8</f>
        <v>抵押净值</v>
      </c>
    </row>
    <row r="54" spans="1:2" s="2609" customFormat="1" ht="15" thickBot="1">
      <c r="A54" s="2616" t="s">
        <v>2708</v>
      </c>
      <c r="B54" s="2617">
        <f ca="1">'预评函-2'!R8</f>
        <v>37055</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3" sqref="D3"/>
    </sheetView>
  </sheetViews>
  <sheetFormatPr defaultColWidth="10" defaultRowHeight="14.25"/>
  <cols>
    <col min="1" max="1" width="15.375" style="1613" customWidth="1"/>
    <col min="2" max="2" width="11.375" style="1613" customWidth="1"/>
    <col min="3" max="4" width="12.6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3"/>
  </cols>
  <sheetData>
    <row r="1" spans="1:21" ht="15" thickBot="1">
      <c r="A1" s="1586" t="s">
        <v>1926</v>
      </c>
      <c r="B1" s="3368" t="str">
        <f>IF(B10="北京市","北京市",C10)&amp;F10&amp;B16&amp;"国有建设用地使用权"&amp;B9&amp;"预评估"</f>
        <v>出让国有建设用地使用权抵押价格预评估</v>
      </c>
      <c r="C1" s="3369"/>
      <c r="D1" s="3369"/>
      <c r="E1" s="3369"/>
      <c r="F1" s="3369"/>
      <c r="G1" s="3369"/>
      <c r="H1" s="3369"/>
      <c r="I1" s="3370"/>
      <c r="J1" s="3071"/>
      <c r="K1" s="2310"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7" t="s">
        <v>1927</v>
      </c>
      <c r="B2" s="1755"/>
      <c r="D2" s="3071"/>
      <c r="E2" s="3071"/>
      <c r="F2" s="3071"/>
      <c r="G2" s="3071"/>
      <c r="H2" s="3072"/>
      <c r="I2" s="3073"/>
      <c r="J2" s="3071"/>
      <c r="K2" s="2310" t="str">
        <f>IF(B10="北京市","北京市",C10)&amp;F10&amp;B16&amp;"国有建设用地使用权"</f>
        <v>出让国有建设用地使用权</v>
      </c>
      <c r="L2" s="3050"/>
      <c r="M2" s="3050"/>
      <c r="N2" s="3051"/>
      <c r="O2" s="3052"/>
      <c r="P2" s="3051"/>
      <c r="Q2" s="3051"/>
      <c r="R2" s="3051"/>
      <c r="S2" s="3051"/>
      <c r="T2" s="3051"/>
      <c r="U2" s="3051"/>
    </row>
    <row r="3" spans="1:21">
      <c r="A3" s="1588" t="s">
        <v>1928</v>
      </c>
      <c r="B3" s="1589"/>
      <c r="C3" s="2994" t="s">
        <v>1984</v>
      </c>
      <c r="D3" s="1589">
        <v>44499</v>
      </c>
      <c r="E3" s="3071"/>
      <c r="F3" s="3071"/>
      <c r="G3" s="3071"/>
      <c r="H3" s="3072"/>
      <c r="I3" s="3073"/>
      <c r="J3" s="3071"/>
      <c r="K3" s="3054"/>
      <c r="L3" s="3050"/>
      <c r="M3" s="3050"/>
      <c r="N3" s="3051"/>
      <c r="O3" s="3052"/>
      <c r="P3" s="3051"/>
      <c r="Q3" s="3051"/>
      <c r="R3" s="3051"/>
      <c r="S3" s="3051"/>
      <c r="T3" s="3051"/>
      <c r="U3" s="3051"/>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1"/>
      <c r="K4" s="2310"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2" t="s">
        <v>1930</v>
      </c>
      <c r="B5" s="1703"/>
      <c r="C5" s="1593"/>
      <c r="D5" s="1594"/>
      <c r="E5" s="3071"/>
      <c r="F5" s="3071"/>
      <c r="G5" s="3071"/>
      <c r="H5" s="3072"/>
      <c r="I5" s="3073"/>
      <c r="J5" s="3071"/>
      <c r="K5" s="3054"/>
      <c r="L5" s="3050"/>
      <c r="M5" s="3050"/>
      <c r="N5" s="3051"/>
      <c r="O5" s="3052"/>
      <c r="P5" s="3051"/>
      <c r="Q5" s="3051"/>
      <c r="R5" s="3051"/>
      <c r="S5" s="3051"/>
      <c r="T5" s="3051"/>
      <c r="U5" s="3051"/>
    </row>
    <row r="6" spans="1:21" ht="26.25">
      <c r="A6" s="1590" t="s">
        <v>2686</v>
      </c>
      <c r="B6" s="1703"/>
      <c r="C6" s="1678"/>
      <c r="D6" s="1595"/>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6" t="s">
        <v>2687</v>
      </c>
      <c r="B7" s="1703"/>
      <c r="C7" s="1678"/>
      <c r="D7" s="1595"/>
      <c r="E7" s="3071"/>
      <c r="F7" s="3071"/>
      <c r="G7" s="3071"/>
      <c r="H7" s="3072"/>
      <c r="I7" s="3073"/>
      <c r="J7" s="3071"/>
      <c r="K7" s="3054"/>
      <c r="L7" s="3050"/>
      <c r="M7" s="3050"/>
      <c r="N7" s="3051"/>
      <c r="O7" s="3052"/>
      <c r="P7" s="3051"/>
      <c r="Q7" s="3051"/>
      <c r="R7" s="3051"/>
      <c r="S7" s="3051"/>
      <c r="T7" s="3051"/>
      <c r="U7" s="3051"/>
    </row>
    <row r="8" spans="1:21">
      <c r="A8" s="2995" t="s">
        <v>1931</v>
      </c>
      <c r="B8" s="1597" t="s">
        <v>2956</v>
      </c>
      <c r="C8" s="1598"/>
      <c r="D8" s="3374" t="s">
        <v>1933</v>
      </c>
      <c r="E8" s="1757" t="s">
        <v>3007</v>
      </c>
      <c r="F8" s="1599"/>
      <c r="G8" s="3072"/>
      <c r="H8" s="3072"/>
      <c r="I8" s="3075"/>
      <c r="J8" s="3071"/>
      <c r="K8" s="3054"/>
      <c r="L8" s="3050"/>
      <c r="M8" s="3050"/>
      <c r="N8" s="3051"/>
      <c r="O8" s="3052"/>
      <c r="P8" s="3051"/>
      <c r="Q8" s="3051"/>
      <c r="R8" s="3051"/>
      <c r="S8" s="3051"/>
      <c r="T8" s="3051"/>
      <c r="U8" s="3051"/>
    </row>
    <row r="9" spans="1:21" ht="15" thickBot="1">
      <c r="A9" s="2996" t="s">
        <v>1932</v>
      </c>
      <c r="B9" s="1600" t="s">
        <v>3007</v>
      </c>
      <c r="C9" s="1601"/>
      <c r="D9" s="3375"/>
      <c r="E9" s="1600" t="s">
        <v>2833</v>
      </c>
      <c r="F9" s="1664"/>
      <c r="G9" s="3076"/>
      <c r="H9" s="3076"/>
      <c r="I9" s="3077"/>
      <c r="J9" s="3071"/>
      <c r="K9" s="3054"/>
      <c r="L9" s="3050"/>
      <c r="M9" s="3050"/>
      <c r="N9" s="3051"/>
      <c r="O9" s="3052"/>
      <c r="P9" s="3051"/>
      <c r="Q9" s="3051"/>
      <c r="R9" s="3051"/>
      <c r="S9" s="3051"/>
      <c r="T9" s="3051"/>
      <c r="U9" s="3051"/>
    </row>
    <row r="10" spans="1:21" ht="15" thickTop="1">
      <c r="A10" s="2997" t="s">
        <v>1988</v>
      </c>
      <c r="B10" s="1640" t="s">
        <v>3008</v>
      </c>
      <c r="C10" s="1602"/>
      <c r="D10" s="1594"/>
      <c r="E10" s="1603" t="s">
        <v>1935</v>
      </c>
      <c r="F10" s="1604"/>
      <c r="G10" s="1662"/>
      <c r="H10" s="1663"/>
      <c r="I10" s="1594"/>
      <c r="J10" s="3071"/>
      <c r="K10" s="3054"/>
      <c r="L10" s="3050"/>
      <c r="M10" s="3050"/>
      <c r="N10" s="3051"/>
      <c r="O10" s="3052"/>
      <c r="P10" s="3051"/>
      <c r="Q10" s="3051"/>
      <c r="R10" s="3051"/>
      <c r="S10" s="3051"/>
      <c r="T10" s="3051"/>
      <c r="U10" s="3051"/>
    </row>
    <row r="11" spans="1:21">
      <c r="A11" s="2998" t="s">
        <v>1989</v>
      </c>
      <c r="B11" s="1619" t="s">
        <v>3009</v>
      </c>
      <c r="C11" s="1605"/>
      <c r="D11" s="1679"/>
      <c r="E11" s="3070"/>
      <c r="F11" s="3070"/>
      <c r="G11" s="3070"/>
      <c r="H11" s="3070"/>
      <c r="I11" s="3070"/>
      <c r="J11" s="3071"/>
      <c r="K11" s="3054"/>
      <c r="L11" s="3050"/>
      <c r="M11" s="3050"/>
      <c r="N11" s="3051"/>
      <c r="O11" s="3052"/>
      <c r="P11" s="3051"/>
      <c r="Q11" s="3051"/>
      <c r="R11" s="3051"/>
      <c r="S11" s="3051"/>
      <c r="T11" s="3051"/>
      <c r="U11" s="3051"/>
    </row>
    <row r="12" spans="1:21">
      <c r="A12" s="1699" t="s">
        <v>2047</v>
      </c>
      <c r="B12" s="3371"/>
      <c r="C12" s="3372"/>
      <c r="D12" s="3373"/>
      <c r="E12" s="1620" t="s">
        <v>2050</v>
      </c>
      <c r="F12" s="3389" t="s">
        <v>2868</v>
      </c>
      <c r="G12" s="3390"/>
      <c r="H12" s="3390"/>
      <c r="I12" s="3391"/>
      <c r="J12" s="3071"/>
      <c r="K12" s="3054"/>
      <c r="L12" s="3050"/>
      <c r="M12" s="3050"/>
      <c r="N12" s="3051"/>
      <c r="O12" s="3052"/>
      <c r="P12" s="3051"/>
      <c r="Q12" s="3051"/>
      <c r="R12" s="3051"/>
      <c r="S12" s="3051"/>
      <c r="T12" s="3051"/>
      <c r="U12" s="3051"/>
    </row>
    <row r="13" spans="1:21">
      <c r="A13" s="1611" t="s">
        <v>2048</v>
      </c>
      <c r="B13" s="3371"/>
      <c r="C13" s="3372"/>
      <c r="D13" s="3373"/>
      <c r="E13" s="1620" t="s">
        <v>2050</v>
      </c>
      <c r="F13" s="3389" t="s">
        <v>2869</v>
      </c>
      <c r="G13" s="3390"/>
      <c r="H13" s="3390"/>
      <c r="I13" s="3391"/>
      <c r="J13" s="3071"/>
      <c r="K13" s="3054"/>
      <c r="L13" s="3050"/>
      <c r="M13" s="3050"/>
      <c r="N13" s="3051"/>
      <c r="O13" s="3052"/>
      <c r="P13" s="3051"/>
      <c r="Q13" s="3051"/>
      <c r="R13" s="3051"/>
      <c r="S13" s="3051"/>
      <c r="T13" s="3051"/>
      <c r="U13" s="3051"/>
    </row>
    <row r="14" spans="1:21">
      <c r="A14" s="1588" t="s">
        <v>2051</v>
      </c>
      <c r="B14" s="1620"/>
      <c r="C14" s="1758" t="s">
        <v>3010</v>
      </c>
      <c r="D14" s="1654" t="str">
        <f>IF(C14="不一致","是否符合证载地类范围","")</f>
        <v/>
      </c>
      <c r="E14" s="1620"/>
      <c r="F14" s="1704"/>
      <c r="G14" s="1649"/>
      <c r="H14" s="1649"/>
      <c r="I14" s="1751"/>
      <c r="J14" s="3071"/>
      <c r="K14" s="3054"/>
      <c r="L14" s="3050"/>
      <c r="M14" s="3050"/>
      <c r="N14" s="3051"/>
      <c r="O14" s="3052"/>
      <c r="P14" s="3051"/>
      <c r="Q14" s="3051"/>
      <c r="R14" s="3051"/>
      <c r="S14" s="3051"/>
      <c r="T14" s="3051"/>
      <c r="U14" s="3051"/>
    </row>
    <row r="15" spans="1:21" hidden="1">
      <c r="A15" s="2486"/>
      <c r="B15" s="1590"/>
      <c r="C15" s="1590"/>
      <c r="D15" s="1683" t="s">
        <v>1938</v>
      </c>
      <c r="E15" s="1683" t="s">
        <v>1939</v>
      </c>
      <c r="F15" s="1683" t="s">
        <v>1940</v>
      </c>
      <c r="G15" s="1610" t="s">
        <v>1941</v>
      </c>
      <c r="H15" s="1610" t="s">
        <v>1942</v>
      </c>
      <c r="I15" s="1610" t="s">
        <v>1943</v>
      </c>
      <c r="J15" s="3071"/>
      <c r="K15" s="3054"/>
      <c r="L15" s="3050"/>
      <c r="M15" s="3050"/>
      <c r="N15" s="3051"/>
      <c r="O15" s="3052"/>
      <c r="P15" s="3051"/>
      <c r="Q15" s="3051"/>
      <c r="R15" s="3051"/>
      <c r="S15" s="3051"/>
      <c r="T15" s="3051"/>
      <c r="U15" s="3051"/>
    </row>
    <row r="16" spans="1:21" ht="28.5">
      <c r="A16" s="2999" t="s">
        <v>1936</v>
      </c>
      <c r="B16" s="1606" t="s">
        <v>2951</v>
      </c>
      <c r="C16" s="1620" t="s">
        <v>1937</v>
      </c>
      <c r="D16" s="2487" t="s">
        <v>1938</v>
      </c>
      <c r="E16" s="1643" t="s">
        <v>3011</v>
      </c>
      <c r="F16" s="1643"/>
      <c r="G16" s="1643"/>
      <c r="H16" s="1643"/>
      <c r="I16" s="1610" t="s">
        <v>1943</v>
      </c>
      <c r="J16" s="3071"/>
      <c r="K16" s="2311" t="str">
        <f>IF(D17="","",D16&amp;TEXT(D17,"yyyy年m月d日;;"))</f>
        <v/>
      </c>
      <c r="L16" s="1620" t="str">
        <f>IF(OR(K16="",M16=""),"","、")</f>
        <v/>
      </c>
      <c r="M16" s="2311" t="str">
        <f>IF(E17="","",E16&amp;TEXT(E17,"yyyy年m月d日;;"))</f>
        <v>商业2045年2月25日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0" t="s">
        <v>1944</v>
      </c>
      <c r="D17" s="1621"/>
      <c r="E17" s="1621">
        <v>53018</v>
      </c>
      <c r="F17" s="1621"/>
      <c r="G17" s="1621"/>
      <c r="H17" s="1621"/>
      <c r="I17" s="1621"/>
      <c r="J17" s="3071"/>
      <c r="K17" s="3049" t="str">
        <f>CONCATENATE(K16,L16,M16,N16,O16,P16,Q16,R16,S16,T16,,U16)</f>
        <v>商业2045年2月25日</v>
      </c>
      <c r="L17" s="3050"/>
      <c r="M17" s="3050"/>
      <c r="N17" s="3051"/>
      <c r="O17" s="3052"/>
      <c r="P17" s="3051"/>
      <c r="Q17" s="3051"/>
      <c r="R17" s="3051"/>
      <c r="S17" s="3051"/>
      <c r="T17" s="3051"/>
      <c r="U17" s="3051"/>
    </row>
    <row r="18" spans="1:21">
      <c r="A18" s="1680"/>
      <c r="B18" s="1607"/>
      <c r="C18" s="3000" t="s">
        <v>1945</v>
      </c>
      <c r="D18" s="1608"/>
      <c r="E18" s="1608">
        <v>40</v>
      </c>
      <c r="F18" s="1608"/>
      <c r="G18" s="1608"/>
      <c r="H18" s="1608"/>
      <c r="I18" s="1608"/>
      <c r="J18" s="3071"/>
      <c r="K18" s="3054"/>
      <c r="L18" s="3050"/>
      <c r="M18" s="3050"/>
      <c r="N18" s="3051"/>
      <c r="O18" s="3052"/>
      <c r="P18" s="3051"/>
      <c r="Q18" s="3051"/>
      <c r="R18" s="3051"/>
      <c r="S18" s="3051"/>
      <c r="T18" s="3051"/>
      <c r="U18" s="3051"/>
    </row>
    <row r="19" spans="1:21">
      <c r="A19" s="1680"/>
      <c r="B19" s="1607"/>
      <c r="C19" s="1587" t="s">
        <v>1946</v>
      </c>
      <c r="D19" s="1675" t="str">
        <f>IF(B16="出让",IF(D17="","",ROUNDDOWN(MIN((D17-$D$3)/365,D18),2)),D18)</f>
        <v/>
      </c>
      <c r="E19" s="1609">
        <f>IF(B16="出让",IF(E17="","",ROUNDDOWN(MIN((E17-$D$3)/365,E18),2)),E18)</f>
        <v>23.33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1"/>
      <c r="K19" s="3054"/>
      <c r="L19" s="3050"/>
      <c r="M19" s="3050"/>
      <c r="N19" s="3051"/>
      <c r="O19" s="3052"/>
      <c r="P19" s="3051"/>
      <c r="Q19" s="3051"/>
      <c r="R19" s="3051"/>
      <c r="S19" s="3051"/>
      <c r="T19" s="3051"/>
      <c r="U19" s="3051"/>
    </row>
    <row r="20" spans="1:21">
      <c r="A20" s="1700"/>
      <c r="B20" s="1701"/>
      <c r="C20" s="1702" t="s">
        <v>2049</v>
      </c>
      <c r="D20" s="3386"/>
      <c r="E20" s="3387"/>
      <c r="F20" s="3387"/>
      <c r="G20" s="3387"/>
      <c r="H20" s="3387"/>
      <c r="I20" s="3388"/>
      <c r="J20" s="3071"/>
      <c r="K20" s="3054"/>
      <c r="L20" s="3050"/>
      <c r="M20" s="3050"/>
      <c r="N20" s="3051"/>
      <c r="O20" s="3052"/>
      <c r="P20" s="3051"/>
      <c r="Q20" s="3051"/>
      <c r="R20" s="3051"/>
      <c r="S20" s="3051"/>
      <c r="T20" s="3051"/>
      <c r="U20" s="3051"/>
    </row>
    <row r="21" spans="1:21">
      <c r="A21" s="1680" t="s">
        <v>1947</v>
      </c>
      <c r="B21" s="1681" t="s">
        <v>1948</v>
      </c>
      <c r="C21" s="1676">
        <f>'数据-汇总表'!E3</f>
        <v>1146665.0900000001</v>
      </c>
      <c r="D21" s="1677" t="s">
        <v>1949</v>
      </c>
      <c r="E21" s="3376" t="s">
        <v>1987</v>
      </c>
      <c r="F21" s="3377"/>
      <c r="G21" s="3377"/>
      <c r="H21" s="3377"/>
      <c r="I21" s="3378"/>
      <c r="J21" s="3071"/>
      <c r="K21" s="3054"/>
      <c r="L21" s="3050"/>
      <c r="M21" s="3050"/>
      <c r="N21" s="3051"/>
      <c r="O21" s="3052"/>
      <c r="P21" s="3051"/>
      <c r="Q21" s="3051"/>
      <c r="R21" s="3051"/>
      <c r="S21" s="3051"/>
      <c r="T21" s="3051"/>
      <c r="U21" s="3051"/>
    </row>
    <row r="22" spans="1:21">
      <c r="A22" s="2799" t="s">
        <v>943</v>
      </c>
      <c r="B22" s="1588" t="s">
        <v>1950</v>
      </c>
      <c r="C22" s="1610">
        <f>'数据-汇总表'!D3</f>
        <v>266666.3</v>
      </c>
      <c r="D22" s="1611" t="s">
        <v>1949</v>
      </c>
      <c r="E22" s="3376" t="s">
        <v>2870</v>
      </c>
      <c r="F22" s="3377"/>
      <c r="G22" s="3377"/>
      <c r="H22" s="3377"/>
      <c r="I22" s="3378"/>
      <c r="J22" s="3071"/>
      <c r="K22" s="3054"/>
      <c r="L22" s="3050"/>
      <c r="M22" s="3050"/>
      <c r="N22" s="3051"/>
      <c r="O22" s="3052"/>
      <c r="P22" s="3051"/>
      <c r="Q22" s="3051"/>
      <c r="R22" s="3051"/>
      <c r="S22" s="3051"/>
      <c r="T22" s="3051"/>
      <c r="U22" s="3051"/>
    </row>
    <row r="23" spans="1:21" ht="29.25" thickBot="1">
      <c r="A23" s="1682" t="s">
        <v>1951</v>
      </c>
      <c r="B23" s="1622" t="s">
        <v>1952</v>
      </c>
      <c r="C23" s="1623"/>
      <c r="D23" s="1624" t="s">
        <v>1953</v>
      </c>
      <c r="E23" s="1625"/>
      <c r="F23" s="1626" t="str">
        <f>IF(AND(C23="是",E23="否"),"是否提供他项权证或相关说明","")</f>
        <v/>
      </c>
      <c r="G23" s="1627"/>
      <c r="H23" s="3071"/>
      <c r="I23" s="3075"/>
      <c r="J23" s="3071"/>
      <c r="K23" s="3054"/>
      <c r="L23" s="3050"/>
      <c r="M23" s="3050"/>
      <c r="N23" s="3051"/>
      <c r="O23" s="3052"/>
      <c r="P23" s="3051"/>
      <c r="Q23" s="3051"/>
      <c r="R23" s="3051"/>
      <c r="S23" s="3051"/>
      <c r="T23" s="3051"/>
      <c r="U23" s="3051"/>
    </row>
    <row r="24" spans="1:21">
      <c r="A24" s="1667" t="s">
        <v>1954</v>
      </c>
      <c r="B24" s="3379" t="s">
        <v>1955</v>
      </c>
      <c r="C24" s="3380"/>
      <c r="D24" s="3381" t="s">
        <v>1956</v>
      </c>
      <c r="E24" s="3382"/>
      <c r="F24" s="1629" t="s">
        <v>1957</v>
      </c>
      <c r="G24" s="3071"/>
      <c r="H24" s="3071"/>
      <c r="I24" s="3075"/>
      <c r="J24" s="3071"/>
      <c r="K24" s="3367"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1"/>
      <c r="O24" s="3052"/>
      <c r="P24" s="3051"/>
      <c r="Q24" s="3051"/>
      <c r="R24" s="3051"/>
      <c r="S24" s="3051"/>
      <c r="T24" s="3051"/>
      <c r="U24" s="3051"/>
    </row>
    <row r="25" spans="1:21" ht="28.5">
      <c r="A25" s="1668"/>
      <c r="B25" s="1665" t="s">
        <v>2313</v>
      </c>
      <c r="C25" s="1630" t="s">
        <v>1959</v>
      </c>
      <c r="D25" s="1631"/>
      <c r="E25" s="1632" t="s">
        <v>943</v>
      </c>
      <c r="F25" s="1633"/>
      <c r="G25" s="3071"/>
      <c r="H25" s="3071"/>
      <c r="I25" s="3075"/>
      <c r="J25" s="3071"/>
      <c r="K25" s="3367"/>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1"/>
      <c r="O25" s="3052"/>
      <c r="P25" s="3051"/>
      <c r="Q25" s="3051"/>
      <c r="R25" s="3051"/>
      <c r="S25" s="3051"/>
      <c r="T25" s="3051"/>
      <c r="U25" s="3051"/>
    </row>
    <row r="26" spans="1:21" ht="29.25" thickBot="1">
      <c r="A26" s="1669"/>
      <c r="B26" s="1666" t="s">
        <v>1960</v>
      </c>
      <c r="C26" s="1630" t="s">
        <v>2314</v>
      </c>
      <c r="D26" s="3072"/>
      <c r="E26" s="3072"/>
      <c r="F26" s="3078"/>
      <c r="G26" s="3071"/>
      <c r="H26" s="3071"/>
      <c r="I26" s="3075"/>
      <c r="J26" s="3071"/>
      <c r="K26" s="3367"/>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1"/>
      <c r="O26" s="3052"/>
      <c r="P26" s="3051"/>
      <c r="Q26" s="3051"/>
      <c r="R26" s="3051"/>
      <c r="S26" s="3051"/>
      <c r="T26" s="3051"/>
      <c r="U26" s="3051"/>
    </row>
    <row r="27" spans="1:21">
      <c r="A27" s="1672" t="s">
        <v>1961</v>
      </c>
      <c r="B27" s="1670" t="s">
        <v>1962</v>
      </c>
      <c r="C27" s="1634"/>
      <c r="D27" s="2492" t="s">
        <v>1962</v>
      </c>
      <c r="E27" s="1635"/>
      <c r="F27" s="3078"/>
      <c r="G27" s="3071"/>
      <c r="H27" s="3071"/>
      <c r="I27" s="3075"/>
      <c r="J27" s="3071"/>
      <c r="K27" s="3054"/>
      <c r="L27" s="3050"/>
      <c r="M27" s="3050"/>
      <c r="N27" s="3051"/>
      <c r="O27" s="3052"/>
      <c r="P27" s="3051"/>
      <c r="Q27" s="3051"/>
      <c r="R27" s="3051"/>
      <c r="S27" s="3051"/>
      <c r="T27" s="3051"/>
      <c r="U27" s="3051"/>
    </row>
    <row r="28" spans="1:21">
      <c r="A28" s="1673"/>
      <c r="B28" s="1670" t="s">
        <v>1963</v>
      </c>
      <c r="C28" s="1636"/>
      <c r="D28" s="2493" t="s">
        <v>1963</v>
      </c>
      <c r="E28" s="1637"/>
      <c r="F28" s="3078"/>
      <c r="G28" s="3071"/>
      <c r="H28" s="3071"/>
      <c r="I28" s="3075"/>
      <c r="J28" s="3071"/>
      <c r="K28" s="3054"/>
      <c r="L28" s="3050"/>
      <c r="M28" s="3050"/>
      <c r="N28" s="3051"/>
      <c r="O28" s="3052"/>
      <c r="P28" s="3051"/>
      <c r="Q28" s="3051"/>
      <c r="R28" s="3051"/>
      <c r="S28" s="3051"/>
      <c r="T28" s="3051"/>
      <c r="U28" s="3051"/>
    </row>
    <row r="29" spans="1:21">
      <c r="A29" s="1673"/>
      <c r="B29" s="1670" t="s">
        <v>1964</v>
      </c>
      <c r="C29" s="1636"/>
      <c r="D29" s="2493" t="s">
        <v>1964</v>
      </c>
      <c r="E29" s="1637"/>
      <c r="F29" s="3078"/>
      <c r="G29" s="3071"/>
      <c r="H29" s="3071"/>
      <c r="I29" s="3075"/>
      <c r="J29" s="3071"/>
      <c r="K29" s="3054"/>
      <c r="L29" s="3050"/>
      <c r="M29" s="3050"/>
      <c r="N29" s="3051"/>
      <c r="O29" s="3052"/>
      <c r="P29" s="3051"/>
      <c r="Q29" s="3051"/>
      <c r="R29" s="3051"/>
      <c r="S29" s="3051"/>
      <c r="T29" s="3051"/>
      <c r="U29" s="3051"/>
    </row>
    <row r="30" spans="1:21" ht="15" thickBot="1">
      <c r="A30" s="1674"/>
      <c r="B30" s="1671" t="s">
        <v>1965</v>
      </c>
      <c r="C30" s="1638"/>
      <c r="D30" s="2494" t="s">
        <v>1965</v>
      </c>
      <c r="E30" s="1639"/>
      <c r="F30" s="3079"/>
      <c r="G30" s="3076"/>
      <c r="H30" s="3076"/>
      <c r="I30" s="3077"/>
      <c r="J30" s="3071"/>
      <c r="K30" s="3054"/>
      <c r="L30" s="3050"/>
      <c r="M30" s="3050"/>
      <c r="N30" s="3051"/>
      <c r="O30" s="3052"/>
      <c r="P30" s="3051"/>
      <c r="Q30" s="3051"/>
      <c r="R30" s="3051"/>
      <c r="S30" s="3051"/>
      <c r="T30" s="3051"/>
      <c r="U30" s="3051"/>
    </row>
    <row r="31" spans="1:21" ht="15" thickTop="1">
      <c r="A31" s="3353" t="s">
        <v>1990</v>
      </c>
      <c r="B31" s="1681" t="s">
        <v>1991</v>
      </c>
      <c r="C31" s="3392"/>
      <c r="D31" s="3393"/>
      <c r="E31" s="3071"/>
      <c r="F31" s="3071"/>
      <c r="G31" s="3071"/>
      <c r="H31" s="3071"/>
      <c r="I31" s="3075"/>
      <c r="J31" s="3071"/>
      <c r="K31" s="3057"/>
      <c r="L31" s="3051"/>
      <c r="M31" s="3051"/>
      <c r="N31" s="3051"/>
      <c r="O31" s="3051"/>
      <c r="P31" s="3051"/>
      <c r="Q31" s="3051"/>
      <c r="R31" s="3051"/>
      <c r="S31" s="3051"/>
      <c r="T31" s="3051"/>
      <c r="U31" s="3051"/>
    </row>
    <row r="32" spans="1:21">
      <c r="A32" s="3353"/>
      <c r="B32" s="1588" t="s">
        <v>1992</v>
      </c>
      <c r="C32" s="1640"/>
      <c r="D32" s="1641"/>
      <c r="E32" s="3071"/>
      <c r="F32" s="3071"/>
      <c r="G32" s="3071"/>
      <c r="H32" s="3071"/>
      <c r="I32" s="3075"/>
      <c r="J32" s="3071"/>
      <c r="K32" s="3057"/>
      <c r="L32" s="3051"/>
      <c r="M32" s="3051"/>
      <c r="N32" s="3051"/>
      <c r="O32" s="3051"/>
      <c r="P32" s="3051"/>
      <c r="Q32" s="3051"/>
      <c r="R32" s="3051"/>
      <c r="S32" s="3051"/>
      <c r="T32" s="3051"/>
      <c r="U32" s="3051"/>
    </row>
    <row r="33" spans="1:28">
      <c r="A33" s="3353"/>
      <c r="B33" s="1588" t="s">
        <v>1993</v>
      </c>
      <c r="C33" s="1642"/>
      <c r="D33" s="1752"/>
      <c r="E33" s="3071"/>
      <c r="F33" s="3071"/>
      <c r="G33" s="3071"/>
      <c r="H33" s="3071"/>
      <c r="I33" s="3075"/>
      <c r="J33" s="3071"/>
      <c r="K33" s="3057"/>
      <c r="L33" s="3051"/>
      <c r="M33" s="3051"/>
      <c r="N33" s="3051"/>
      <c r="O33" s="3051"/>
      <c r="P33" s="3051"/>
      <c r="Q33" s="3051"/>
      <c r="R33" s="3051"/>
      <c r="S33" s="3051"/>
      <c r="T33" s="3051"/>
      <c r="U33" s="3051"/>
    </row>
    <row r="34" spans="1:28">
      <c r="A34" s="3354"/>
      <c r="B34" s="1588" t="s">
        <v>1994</v>
      </c>
      <c r="C34" s="3355"/>
      <c r="D34" s="3356"/>
      <c r="E34" s="3071"/>
      <c r="F34" s="3071"/>
      <c r="G34" s="3071"/>
      <c r="H34" s="3071"/>
      <c r="I34" s="3075"/>
      <c r="J34" s="3071"/>
      <c r="K34" s="3057"/>
      <c r="L34" s="3051"/>
      <c r="M34" s="3051"/>
      <c r="N34" s="3051"/>
      <c r="O34" s="3051"/>
      <c r="P34" s="3051"/>
      <c r="Q34" s="3051"/>
      <c r="R34" s="3051"/>
      <c r="S34" s="3051"/>
      <c r="T34" s="3051"/>
      <c r="U34" s="3051"/>
    </row>
    <row r="35" spans="1:28">
      <c r="A35" s="3357" t="s">
        <v>839</v>
      </c>
      <c r="B35" s="1643"/>
      <c r="C35" s="1690" t="str">
        <f>IF(B35="场地平整","——","具体情况：")</f>
        <v>具体情况：</v>
      </c>
      <c r="D35" s="3359"/>
      <c r="E35" s="3360"/>
      <c r="F35" s="3360"/>
      <c r="G35" s="3360"/>
      <c r="H35" s="3360"/>
      <c r="I35" s="3361"/>
      <c r="J35" s="3071"/>
      <c r="K35" s="3058"/>
      <c r="L35" s="3050"/>
      <c r="M35" s="3050"/>
      <c r="N35" s="3051"/>
      <c r="O35" s="3052"/>
      <c r="P35" s="3051"/>
      <c r="Q35" s="3051"/>
      <c r="R35" s="3051"/>
      <c r="S35" s="3051"/>
      <c r="T35" s="3051"/>
      <c r="U35" s="3051"/>
    </row>
    <row r="36" spans="1:28">
      <c r="A36" s="3353"/>
      <c r="B36" s="3362" t="s">
        <v>2043</v>
      </c>
      <c r="C36" s="3363"/>
      <c r="D36" s="1706"/>
      <c r="E36" s="3364"/>
      <c r="F36" s="3364"/>
      <c r="G36" s="1611" t="str">
        <f>IF(B35="场地未平整","估价结果处理","")</f>
        <v/>
      </c>
      <c r="H36" s="3365"/>
      <c r="I36" s="3365"/>
      <c r="J36" s="3071"/>
      <c r="K36" s="3058"/>
      <c r="L36" s="3050"/>
      <c r="M36" s="3050"/>
      <c r="N36" s="3051"/>
      <c r="O36" s="3052"/>
      <c r="P36" s="3051"/>
      <c r="Q36" s="3051"/>
      <c r="R36" s="3051"/>
      <c r="S36" s="3051"/>
      <c r="T36" s="3051"/>
      <c r="U36" s="3051"/>
    </row>
    <row r="37" spans="1:28" ht="28.5">
      <c r="A37" s="3353"/>
      <c r="B37" s="3383" t="s">
        <v>840</v>
      </c>
      <c r="C37" s="1645" t="s">
        <v>841</v>
      </c>
      <c r="D37" s="1646"/>
      <c r="E37" s="1647"/>
      <c r="F37" s="3071"/>
      <c r="G37" s="3071"/>
      <c r="H37" s="3071"/>
      <c r="I37" s="3075"/>
      <c r="J37" s="3071"/>
      <c r="K37" s="3058"/>
      <c r="L37" s="3051"/>
      <c r="M37" s="3051"/>
      <c r="N37" s="3051"/>
      <c r="O37" s="3051"/>
      <c r="P37" s="3051"/>
      <c r="Q37" s="3051"/>
      <c r="R37" s="3051"/>
      <c r="S37" s="3051"/>
      <c r="T37" s="3051"/>
      <c r="U37" s="3051"/>
    </row>
    <row r="38" spans="1:28">
      <c r="A38" s="3353"/>
      <c r="B38" s="3384"/>
      <c r="C38" s="1596" t="s">
        <v>842</v>
      </c>
      <c r="D38" s="1705">
        <f>ROUNDDOWN(MIN(('数据-取费表'!$B$2-D37)/365,D34),1)</f>
        <v>121.9</v>
      </c>
      <c r="E38" s="1648" t="s">
        <v>843</v>
      </c>
      <c r="F38" s="3071"/>
      <c r="G38" s="3071"/>
      <c r="H38" s="3071"/>
      <c r="I38" s="3075"/>
      <c r="J38" s="3071"/>
      <c r="K38" s="3058"/>
      <c r="L38" s="3051"/>
      <c r="M38" s="3051"/>
      <c r="N38" s="3051"/>
      <c r="O38" s="3051"/>
      <c r="P38" s="3051"/>
      <c r="Q38" s="3051"/>
      <c r="R38" s="3051"/>
      <c r="S38" s="3051"/>
      <c r="T38" s="3051"/>
      <c r="U38" s="3051"/>
    </row>
    <row r="39" spans="1:28">
      <c r="A39" s="3354"/>
      <c r="B39" s="3385"/>
      <c r="C39" s="1618" t="str">
        <f>IF(D38&lt;1,"不存在土地闲置",IF(B35="宗地内已开工建设","已开工，不存在土地闲置","估价对象已涉嫌土地闲置"))</f>
        <v>估价对象已涉嫌土地闲置</v>
      </c>
      <c r="D39" s="1649"/>
      <c r="E39" s="1650"/>
      <c r="F39" s="3071"/>
      <c r="G39" s="3071"/>
      <c r="H39" s="3071"/>
      <c r="I39" s="3075"/>
      <c r="J39" s="3071"/>
      <c r="K39" s="3054"/>
      <c r="L39" s="3050"/>
      <c r="M39" s="3050"/>
      <c r="N39" s="3051"/>
      <c r="O39" s="3052"/>
      <c r="P39" s="3051"/>
      <c r="Q39" s="3051"/>
      <c r="R39" s="3051"/>
      <c r="S39" s="3051"/>
      <c r="T39" s="3051"/>
      <c r="U39" s="3051"/>
    </row>
    <row r="40" spans="1:28">
      <c r="A40" s="1611" t="s">
        <v>1966</v>
      </c>
      <c r="B40" s="1612"/>
      <c r="C40" s="1612"/>
      <c r="D40" s="1612"/>
      <c r="E40" s="1612"/>
      <c r="F40" s="1612"/>
      <c r="G40" s="1612"/>
      <c r="H40" s="1612"/>
      <c r="I40" s="3075"/>
      <c r="J40" s="3071"/>
      <c r="K40" s="3019">
        <f>COUNTIF(B40:H40,"——")</f>
        <v>0</v>
      </c>
      <c r="L40" s="1620" t="s">
        <v>1967</v>
      </c>
      <c r="M40" s="1617" t="s">
        <v>1968</v>
      </c>
      <c r="N40" s="1617" t="s">
        <v>1969</v>
      </c>
      <c r="O40" s="1617" t="s">
        <v>1970</v>
      </c>
      <c r="P40" s="1617" t="s">
        <v>1971</v>
      </c>
      <c r="Q40" s="1617" t="s">
        <v>1972</v>
      </c>
      <c r="R40" s="1617" t="s">
        <v>1973</v>
      </c>
      <c r="S40" s="3366" t="s">
        <v>1974</v>
      </c>
      <c r="T40" s="1652" t="str">
        <f>NUMBERSTRING(7-K40,1)&amp;"通"</f>
        <v>七通</v>
      </c>
      <c r="U40" s="3051"/>
    </row>
    <row r="41" spans="1:28">
      <c r="A41" s="1590"/>
      <c r="B41" s="3358" t="s">
        <v>1712</v>
      </c>
      <c r="C41" s="3358"/>
      <c r="D41" s="3358"/>
      <c r="E41" s="3358"/>
      <c r="F41" s="1653">
        <f>C10</f>
        <v>0</v>
      </c>
      <c r="G41" s="3071"/>
      <c r="H41" s="3071"/>
      <c r="I41" s="3075"/>
      <c r="J41" s="3071"/>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66"/>
      <c r="T41" s="1654" t="str">
        <f>IF(T40="一通",L41,IF(T40="二通",M41,IF(T40="三通",N41,IF(T40="四通",O41,IF(T40="五通",P41,IF(T40="六通",Q41,R41))))))</f>
        <v>、、、、、、</v>
      </c>
      <c r="U41" s="3051"/>
    </row>
    <row r="42" spans="1:28">
      <c r="A42" s="1656"/>
      <c r="B42" s="1683" t="s">
        <v>1888</v>
      </c>
      <c r="C42" s="1683" t="s">
        <v>1889</v>
      </c>
      <c r="D42" s="1683" t="s">
        <v>1890</v>
      </c>
      <c r="E42" s="1620" t="s">
        <v>1891</v>
      </c>
      <c r="F42" s="1657"/>
      <c r="G42" s="3071"/>
      <c r="H42" s="3071"/>
      <c r="I42" s="3075"/>
      <c r="J42" s="3071"/>
      <c r="K42" s="3054"/>
      <c r="L42" s="3050"/>
      <c r="M42" s="3050"/>
      <c r="N42" s="3051"/>
      <c r="O42" s="3052"/>
      <c r="P42" s="3051"/>
      <c r="Q42" s="3051"/>
      <c r="R42" s="3051"/>
      <c r="S42" s="3051"/>
      <c r="T42" s="3051"/>
      <c r="U42" s="3051"/>
    </row>
    <row r="43" spans="1:28">
      <c r="A43" s="3022" t="s">
        <v>1697</v>
      </c>
      <c r="B43" s="1658"/>
      <c r="C43" s="1658"/>
      <c r="D43" s="1658"/>
      <c r="E43" s="1658"/>
      <c r="F43" s="1659"/>
      <c r="G43" s="3071"/>
      <c r="H43" s="3071"/>
      <c r="I43" s="3075"/>
      <c r="J43" s="3071"/>
      <c r="K43" s="3054"/>
      <c r="L43" s="3050"/>
      <c r="M43" s="3050"/>
      <c r="N43" s="3051"/>
      <c r="O43" s="3052"/>
      <c r="P43" s="3051"/>
      <c r="Q43" s="3051"/>
      <c r="R43" s="3051"/>
      <c r="S43" s="3051"/>
      <c r="T43" s="3051"/>
      <c r="U43" s="3051"/>
    </row>
    <row r="44" spans="1:28">
      <c r="A44" s="3022" t="s">
        <v>1698</v>
      </c>
      <c r="B44" s="1658"/>
      <c r="C44" s="1658"/>
      <c r="D44" s="1658"/>
      <c r="E44" s="1706"/>
      <c r="F44" s="1659"/>
      <c r="G44" s="3071"/>
      <c r="H44" s="3071"/>
      <c r="I44" s="3075"/>
      <c r="J44" s="3071"/>
      <c r="K44" s="3054"/>
      <c r="L44" s="3050"/>
      <c r="M44" s="3050"/>
      <c r="N44" s="3051"/>
      <c r="O44" s="3052"/>
      <c r="P44" s="3051"/>
      <c r="Q44" s="3051"/>
      <c r="R44" s="3051"/>
      <c r="S44" s="3051"/>
      <c r="T44" s="3051"/>
      <c r="U44" s="3051"/>
    </row>
    <row r="45" spans="1:28" s="2770" customFormat="1" ht="21" thickBot="1">
      <c r="A45" s="2771" t="s">
        <v>2871</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5"/>
      <c r="B46" s="1615"/>
      <c r="C46" s="1615"/>
      <c r="D46" s="1615"/>
      <c r="E46" s="1615"/>
      <c r="F46" s="1615"/>
      <c r="G46" s="1615"/>
      <c r="H46" s="1615"/>
      <c r="I46" s="1628"/>
      <c r="J46" s="1615"/>
      <c r="K46" s="3054"/>
      <c r="L46" s="3050"/>
      <c r="M46" s="3050"/>
      <c r="N46" s="3051"/>
      <c r="O46" s="3052"/>
      <c r="P46" s="3051"/>
      <c r="Q46" s="3051"/>
      <c r="R46" s="3051"/>
      <c r="S46" s="3051"/>
      <c r="T46" s="3051"/>
      <c r="U46" s="3051"/>
    </row>
    <row r="47" spans="1:28">
      <c r="A47" s="1660" t="s">
        <v>1995</v>
      </c>
      <c r="B47" s="1661"/>
      <c r="C47" s="1650"/>
      <c r="D47" s="1615"/>
      <c r="E47" s="1615"/>
      <c r="F47" s="1615"/>
      <c r="G47" s="1615"/>
      <c r="H47" s="1615"/>
      <c r="I47" s="1616"/>
      <c r="J47" s="1615"/>
      <c r="K47" s="3054"/>
      <c r="L47" s="3050"/>
      <c r="M47" s="3050"/>
      <c r="N47" s="3051"/>
      <c r="O47" s="3052"/>
      <c r="P47" s="3051"/>
      <c r="Q47" s="3051"/>
      <c r="R47" s="3051"/>
      <c r="S47" s="3051"/>
      <c r="T47" s="3051"/>
      <c r="U47" s="3051"/>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7"/>
      <c r="B49" s="1651"/>
      <c r="C49" s="1651"/>
      <c r="D49" s="1651"/>
      <c r="E49" s="1651"/>
      <c r="F49" s="1651"/>
      <c r="G49" s="1651"/>
      <c r="H49" s="1651"/>
      <c r="I49" s="1651"/>
      <c r="J49" s="1753"/>
      <c r="K49" s="3066"/>
      <c r="L49" s="3066"/>
      <c r="M49" s="1657"/>
      <c r="N49" s="1657"/>
      <c r="O49" s="1657"/>
      <c r="P49" s="1657"/>
      <c r="Q49" s="1657"/>
      <c r="R49" s="1657"/>
      <c r="S49" s="3051"/>
      <c r="T49" s="3051"/>
      <c r="U49" s="3051"/>
    </row>
    <row r="50" spans="1:21">
      <c r="A50" s="1617"/>
      <c r="B50" s="1617"/>
      <c r="C50" s="1651"/>
      <c r="D50" s="1651"/>
      <c r="E50" s="1651"/>
      <c r="F50" s="1651"/>
      <c r="G50" s="1651"/>
      <c r="H50" s="1651"/>
      <c r="I50" s="1651"/>
      <c r="J50" s="1753"/>
      <c r="K50" s="3066"/>
      <c r="L50" s="3066"/>
      <c r="M50" s="1657"/>
      <c r="N50" s="1657"/>
      <c r="O50" s="1657"/>
      <c r="P50" s="1657"/>
      <c r="Q50" s="1657"/>
      <c r="R50" s="1657"/>
      <c r="S50" s="3051"/>
      <c r="T50" s="3051"/>
      <c r="U50" s="3051"/>
    </row>
    <row r="51" spans="1:21">
      <c r="A51" s="1617"/>
      <c r="B51" s="1617"/>
      <c r="C51" s="1651"/>
      <c r="D51" s="1651"/>
      <c r="E51" s="1651"/>
      <c r="F51" s="1651"/>
      <c r="G51" s="1651"/>
      <c r="H51" s="1651"/>
      <c r="I51" s="1651"/>
      <c r="J51" s="1753"/>
      <c r="K51" s="3066"/>
      <c r="L51" s="3066"/>
      <c r="M51" s="1657"/>
      <c r="N51" s="1657"/>
      <c r="O51" s="1657"/>
      <c r="P51" s="1657"/>
      <c r="Q51" s="1657"/>
      <c r="R51" s="1657"/>
      <c r="S51" s="3051"/>
      <c r="T51" s="3051"/>
      <c r="U51" s="3051"/>
    </row>
    <row r="52" spans="1:21">
      <c r="A52" s="1617"/>
      <c r="B52" s="1617"/>
      <c r="C52" s="1651"/>
      <c r="D52" s="1651"/>
      <c r="E52" s="1651"/>
      <c r="F52" s="1651"/>
      <c r="G52" s="1651"/>
      <c r="H52" s="1651"/>
      <c r="I52" s="1651"/>
      <c r="J52" s="1753"/>
      <c r="K52" s="3066"/>
      <c r="L52" s="3066"/>
      <c r="M52" s="1657"/>
      <c r="N52" s="1657"/>
      <c r="O52" s="1657"/>
      <c r="P52" s="1657"/>
      <c r="Q52" s="1657"/>
      <c r="R52" s="1657"/>
      <c r="S52" s="3051"/>
      <c r="T52" s="3051"/>
      <c r="U52" s="3051"/>
    </row>
    <row r="53" spans="1:21">
      <c r="A53" s="1617"/>
      <c r="B53" s="1617"/>
      <c r="C53" s="1651"/>
      <c r="D53" s="1651"/>
      <c r="E53" s="1651"/>
      <c r="F53" s="1651"/>
      <c r="G53" s="1651"/>
      <c r="H53" s="1651"/>
      <c r="I53" s="1651"/>
      <c r="J53" s="1753"/>
      <c r="K53" s="3066"/>
      <c r="L53" s="3066"/>
      <c r="M53" s="1657"/>
      <c r="N53" s="1657"/>
      <c r="O53" s="1657"/>
      <c r="P53" s="1657"/>
      <c r="Q53" s="1657"/>
      <c r="R53" s="1657"/>
      <c r="S53" s="3051"/>
      <c r="T53" s="3051"/>
      <c r="U53" s="3051"/>
    </row>
    <row r="54" spans="1:21">
      <c r="A54" s="1617"/>
      <c r="B54" s="1617"/>
      <c r="C54" s="1617"/>
      <c r="D54" s="1617"/>
      <c r="E54" s="1617"/>
      <c r="F54" s="1651"/>
      <c r="G54" s="1617"/>
      <c r="H54" s="1617"/>
      <c r="I54" s="1617"/>
      <c r="J54" s="1754"/>
      <c r="K54" s="3066"/>
      <c r="L54" s="3066"/>
      <c r="M54" s="3066"/>
      <c r="N54" s="3018"/>
      <c r="O54" s="3018"/>
      <c r="P54" s="3018"/>
      <c r="Q54" s="3018"/>
      <c r="R54" s="3018"/>
      <c r="S54" s="3051"/>
      <c r="T54" s="3051"/>
      <c r="U54" s="3051"/>
    </row>
    <row r="55" spans="1:21">
      <c r="A55" s="1617"/>
      <c r="B55" s="1617"/>
      <c r="C55" s="1617"/>
      <c r="D55" s="1617"/>
      <c r="E55" s="1617"/>
      <c r="F55" s="1651"/>
      <c r="G55" s="1617"/>
      <c r="H55" s="1617"/>
      <c r="I55" s="1617"/>
      <c r="J55" s="1754"/>
      <c r="K55" s="3066"/>
      <c r="L55" s="3066"/>
      <c r="M55" s="3066"/>
      <c r="N55" s="3018"/>
      <c r="O55" s="3018"/>
      <c r="P55" s="3018"/>
      <c r="Q55" s="3018"/>
      <c r="R55" s="3018"/>
      <c r="S55" s="3051"/>
      <c r="T55" s="3051"/>
      <c r="U55" s="3051"/>
    </row>
    <row r="56" spans="1:21">
      <c r="A56" s="1617"/>
      <c r="B56" s="1617"/>
      <c r="C56" s="1617"/>
      <c r="D56" s="1617"/>
      <c r="E56" s="1617"/>
      <c r="F56" s="1651"/>
      <c r="G56" s="1617"/>
      <c r="H56" s="1617"/>
      <c r="I56" s="1617"/>
      <c r="J56" s="1754"/>
      <c r="K56" s="3066"/>
      <c r="L56" s="3066"/>
      <c r="M56" s="3066"/>
      <c r="N56" s="3018"/>
      <c r="O56" s="3018"/>
      <c r="P56" s="3018"/>
      <c r="Q56" s="3018"/>
      <c r="R56" s="3018"/>
      <c r="S56" s="3051"/>
      <c r="T56" s="3051"/>
      <c r="U56" s="3051"/>
    </row>
    <row r="57" spans="1:21">
      <c r="A57" s="1617"/>
      <c r="B57" s="1617"/>
      <c r="C57" s="1617"/>
      <c r="D57" s="1617"/>
      <c r="E57" s="1617"/>
      <c r="F57" s="1651"/>
      <c r="G57" s="1617"/>
      <c r="H57" s="1617"/>
      <c r="I57" s="1617"/>
      <c r="J57" s="1754"/>
      <c r="K57" s="3066"/>
      <c r="L57" s="3066"/>
      <c r="M57" s="3066"/>
      <c r="N57" s="3018"/>
      <c r="O57" s="3018"/>
      <c r="P57" s="3018"/>
      <c r="Q57" s="3018"/>
      <c r="R57" s="3018"/>
      <c r="S57" s="3051"/>
      <c r="T57" s="3051"/>
      <c r="U57" s="3051"/>
    </row>
    <row r="58" spans="1:21">
      <c r="A58" s="1617"/>
      <c r="B58" s="1617"/>
      <c r="C58" s="1617"/>
      <c r="D58" s="1617"/>
      <c r="E58" s="1617"/>
      <c r="F58" s="1651"/>
      <c r="G58" s="1617"/>
      <c r="H58" s="1617"/>
      <c r="I58" s="1617"/>
      <c r="J58" s="1754"/>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266666.3</v>
      </c>
      <c r="B3" s="22">
        <f>IF(C3="否",G5-AT5,G5)</f>
        <v>1146665.0900000001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1146665.0900000001</v>
      </c>
      <c r="H5" s="27">
        <f t="shared" ref="H5:AT5" si="0">SUM(H13:H641)</f>
        <v>1146665.0900000001</v>
      </c>
      <c r="I5" s="27">
        <f t="shared" si="0"/>
        <v>1146665.0900000001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1146665.0900000001</v>
      </c>
      <c r="BA5" s="29">
        <f t="shared" si="1"/>
        <v>1146665.0900000001</v>
      </c>
      <c r="BB5" s="29">
        <f t="shared" si="1"/>
        <v>1146665.0900000001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3012</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3011</v>
      </c>
      <c r="J10" s="51"/>
      <c r="K10" s="2732"/>
      <c r="L10" s="51"/>
      <c r="M10" s="2732"/>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c r="D13" s="2726" t="s">
        <v>1669</v>
      </c>
      <c r="E13" s="27">
        <f t="shared" ref="E13:E20" si="6">IF($C$3="是",ROUND($A$3*G13/$B$3,2),ROUND($A$3*(G13-AT13)/$B$3,2))</f>
        <v>266666.3</v>
      </c>
      <c r="F13" s="81"/>
      <c r="G13" s="82">
        <f t="shared" ref="G13:G20" si="7">H13+AC13+AT13</f>
        <v>1146665.0900000001</v>
      </c>
      <c r="H13" s="33">
        <f t="shared" ref="H13:H20" si="8">SUMIF(I$12:AB$12,"总值",I13:AB13)</f>
        <v>1146665.0900000001</v>
      </c>
      <c r="I13" s="2729">
        <f>ROUND(A3*4.3,2)</f>
        <v>1146665.0900000001</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4">
        <f t="shared" ref="AY13:AY20" si="11">ROUND($AY$6*AZ13/$AZ$5,2)</f>
        <v>266666.3</v>
      </c>
      <c r="AZ13" s="27">
        <f t="shared" ref="AZ13:AZ20" si="12">BA13+BL13</f>
        <v>1146665.0900000001</v>
      </c>
      <c r="BA13" s="27">
        <f t="shared" ref="BA13:BA20" si="13">SUM(BB13:BK13)</f>
        <v>1146665.0900000001</v>
      </c>
      <c r="BB13" s="27">
        <f t="shared" ref="BB13:BB20" si="14">IF($D13="是",I13-J13,0)</f>
        <v>1146665.0900000001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4" t="s">
        <v>0</v>
      </c>
      <c r="B1" s="3394" t="s">
        <v>4</v>
      </c>
      <c r="C1" s="3394" t="s">
        <v>5</v>
      </c>
      <c r="D1" s="3395" t="s">
        <v>40</v>
      </c>
      <c r="E1" s="3395" t="s">
        <v>41</v>
      </c>
      <c r="F1" s="3395"/>
      <c r="G1" s="3395"/>
      <c r="H1" s="3395"/>
      <c r="I1" s="3395"/>
      <c r="J1" s="3395"/>
      <c r="K1" s="3395"/>
      <c r="L1" s="3395"/>
      <c r="M1" s="3395"/>
    </row>
    <row r="2" spans="1:13" ht="27" customHeight="1">
      <c r="A2" s="3394"/>
      <c r="B2" s="3394"/>
      <c r="C2" s="3394"/>
      <c r="D2" s="3395"/>
      <c r="E2" s="3395" t="s">
        <v>24</v>
      </c>
      <c r="F2" s="3395" t="s">
        <v>25</v>
      </c>
      <c r="G2" s="3395"/>
      <c r="H2" s="3395"/>
      <c r="I2" s="3395"/>
      <c r="J2" s="3395" t="s">
        <v>26</v>
      </c>
      <c r="K2" s="3395"/>
      <c r="L2" s="3395"/>
      <c r="M2" s="3395"/>
    </row>
    <row r="3" spans="1:13" ht="28.5">
      <c r="A3" s="3394"/>
      <c r="B3" s="3394"/>
      <c r="C3" s="3394"/>
      <c r="D3" s="3395"/>
      <c r="E3" s="33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5" t="s">
        <v>42</v>
      </c>
      <c r="B9" s="3395"/>
      <c r="C9" s="33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6" width="13.25" style="1899" customWidth="1"/>
    <col min="7"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5" t="s">
        <v>203</v>
      </c>
      <c r="B2" s="3405"/>
      <c r="C2" s="3405"/>
      <c r="D2" s="1889" t="s">
        <v>204</v>
      </c>
      <c r="E2" s="106" t="s">
        <v>205</v>
      </c>
      <c r="F2" s="3080"/>
      <c r="G2" s="1181"/>
      <c r="H2" s="1182"/>
      <c r="I2" s="1183" t="s">
        <v>849</v>
      </c>
      <c r="J2" s="3080"/>
      <c r="K2" s="3080"/>
      <c r="L2" s="3080"/>
      <c r="M2" s="3080"/>
      <c r="N2" s="3080"/>
      <c r="O2" s="3080"/>
      <c r="P2" s="3080"/>
    </row>
    <row r="3" spans="1:16" ht="15.75" thickBot="1">
      <c r="A3" s="3406" t="s">
        <v>206</v>
      </c>
      <c r="B3" s="3406"/>
      <c r="C3" s="3406"/>
      <c r="D3" s="107">
        <f>'数据-基础表'!AY6</f>
        <v>266666.3</v>
      </c>
      <c r="E3" s="107">
        <f>'数据-基础表'!AZ5</f>
        <v>1146665.0900000001</v>
      </c>
      <c r="F3" s="3080"/>
      <c r="G3" s="278" t="s">
        <v>850</v>
      </c>
      <c r="H3" s="273" t="s">
        <v>851</v>
      </c>
      <c r="I3" s="1890">
        <f>ROUND('数据-基础表'!B3/'数据-基础表'!A3,2)</f>
        <v>4.3</v>
      </c>
      <c r="J3" s="3080"/>
      <c r="K3" s="3080"/>
      <c r="L3" s="3080"/>
      <c r="M3" s="3080"/>
      <c r="N3" s="3080"/>
      <c r="O3" s="3080"/>
      <c r="P3" s="3080"/>
    </row>
    <row r="4" spans="1:16" ht="15">
      <c r="A4" s="3407"/>
      <c r="B4" s="3408"/>
      <c r="C4" s="3409"/>
      <c r="D4" s="108" t="s">
        <v>204</v>
      </c>
      <c r="E4" s="109" t="s">
        <v>205</v>
      </c>
      <c r="F4" s="3080"/>
      <c r="G4" s="1184"/>
      <c r="H4" s="273" t="s">
        <v>852</v>
      </c>
      <c r="I4" s="1890">
        <f>ROUND(SUMIF('数据-基础表'!I9:AS9,"地上",'数据-基础表'!I5:AS5)/'数据-基础表'!A3,2)</f>
        <v>4.3</v>
      </c>
      <c r="J4" s="3080"/>
      <c r="K4" s="3080"/>
      <c r="L4" s="3080"/>
      <c r="M4" s="3080"/>
      <c r="N4" s="3080"/>
      <c r="O4" s="3080"/>
      <c r="P4" s="3080"/>
    </row>
    <row r="5" spans="1:16">
      <c r="A5" s="110" t="s">
        <v>207</v>
      </c>
      <c r="B5" s="3410" t="s">
        <v>230</v>
      </c>
      <c r="C5" s="3410"/>
      <c r="D5" s="111">
        <f>ROUND($D$3*E5/$E$3,2)</f>
        <v>0</v>
      </c>
      <c r="E5" s="112">
        <f>SUMIF('数据-基础表'!$11:$11,"住宅",'数据-基础表'!$5:$5)</f>
        <v>0</v>
      </c>
      <c r="F5" s="3080"/>
      <c r="G5" s="278" t="s">
        <v>853</v>
      </c>
      <c r="H5" s="273" t="s">
        <v>851</v>
      </c>
      <c r="I5" s="1890">
        <f>ROUND(E31/D31,2)</f>
        <v>4.3</v>
      </c>
      <c r="J5" s="3080"/>
      <c r="K5" s="3080"/>
      <c r="L5" s="3080"/>
      <c r="M5" s="3080"/>
      <c r="N5" s="3080"/>
      <c r="O5" s="3080"/>
      <c r="P5" s="3080"/>
    </row>
    <row r="6" spans="1:16" ht="15" thickBot="1">
      <c r="A6" s="113"/>
      <c r="B6" s="3410" t="s">
        <v>208</v>
      </c>
      <c r="C6" s="3410"/>
      <c r="D6" s="111">
        <f>ROUND($D$3*E6/$E$3,2)</f>
        <v>266666.3</v>
      </c>
      <c r="E6" s="112">
        <f>E3-E5</f>
        <v>1146665.0900000001</v>
      </c>
      <c r="F6" s="3080"/>
      <c r="G6" s="1184"/>
      <c r="H6" s="273" t="s">
        <v>852</v>
      </c>
      <c r="I6" s="1890">
        <f>ROUND(F31/D31,2)</f>
        <v>4.3</v>
      </c>
      <c r="J6" s="3080"/>
      <c r="K6" s="3080"/>
      <c r="L6" s="3080"/>
      <c r="M6" s="3080"/>
      <c r="N6" s="3080"/>
      <c r="O6" s="3080"/>
      <c r="P6" s="3080"/>
    </row>
    <row r="7" spans="1:16" ht="15">
      <c r="A7" s="3402"/>
      <c r="B7" s="3403"/>
      <c r="C7" s="3404"/>
      <c r="D7" s="108" t="s">
        <v>204</v>
      </c>
      <c r="E7" s="114" t="s">
        <v>231</v>
      </c>
      <c r="F7" s="3080"/>
      <c r="G7" s="1139" t="s">
        <v>1636</v>
      </c>
      <c r="H7" s="1140"/>
      <c r="I7" s="1760">
        <v>4</v>
      </c>
      <c r="J7" s="3080"/>
      <c r="K7" s="3080"/>
      <c r="L7" s="3080"/>
      <c r="M7" s="3080"/>
      <c r="N7" s="3080"/>
      <c r="O7" s="3080"/>
      <c r="P7" s="3080"/>
    </row>
    <row r="8" spans="1:16">
      <c r="A8" s="110" t="s">
        <v>209</v>
      </c>
      <c r="B8" s="115" t="s">
        <v>210</v>
      </c>
      <c r="C8" s="111" t="s">
        <v>211</v>
      </c>
      <c r="D8" s="111">
        <f t="shared" ref="D8:D15" si="0">ROUND($D$3*E8/$E$3,2)</f>
        <v>266666.3</v>
      </c>
      <c r="E8" s="116">
        <f>SUMIF('数据-基础表'!BB10:BK10,"地上",'数据-基础表'!BB5:BK5)</f>
        <v>1146665.0900000001</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1"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1" t="s">
        <v>2322</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266666.3</v>
      </c>
      <c r="E16" s="120">
        <f>SUM(E8:E15)</f>
        <v>1146665.0900000001</v>
      </c>
      <c r="F16" s="3080"/>
      <c r="G16" s="3081"/>
      <c r="H16" s="956" t="s">
        <v>219</v>
      </c>
      <c r="I16" s="957"/>
      <c r="J16" s="1898"/>
      <c r="K16" s="3396" t="s">
        <v>2547</v>
      </c>
      <c r="L16" s="3397"/>
      <c r="M16" s="3397"/>
      <c r="N16" s="3397"/>
      <c r="O16" s="3397"/>
      <c r="P16" s="3398"/>
    </row>
    <row r="17" spans="1:19" ht="15">
      <c r="A17" s="121" t="s">
        <v>216</v>
      </c>
      <c r="B17" s="122" t="s">
        <v>217</v>
      </c>
      <c r="C17" s="2178" t="s">
        <v>2301</v>
      </c>
      <c r="D17" s="108" t="s">
        <v>204</v>
      </c>
      <c r="E17" s="124" t="s">
        <v>205</v>
      </c>
      <c r="F17" s="125"/>
      <c r="G17" s="1319"/>
      <c r="H17" s="958" t="s">
        <v>218</v>
      </c>
      <c r="I17" s="959" t="s">
        <v>2300</v>
      </c>
      <c r="J17" s="1898"/>
      <c r="K17" s="3399" t="s">
        <v>2548</v>
      </c>
      <c r="L17" s="3400"/>
      <c r="M17" s="3401"/>
      <c r="N17" s="3399" t="s">
        <v>2549</v>
      </c>
      <c r="O17" s="3400"/>
      <c r="P17" s="3401"/>
      <c r="R17" s="2179" t="s">
        <v>2299</v>
      </c>
      <c r="S17" s="142"/>
    </row>
    <row r="18" spans="1:19" ht="15">
      <c r="A18" s="117"/>
      <c r="B18" s="128"/>
      <c r="C18" s="129"/>
      <c r="D18" s="2483"/>
      <c r="E18" s="130" t="s">
        <v>220</v>
      </c>
      <c r="F18" s="131" t="s">
        <v>221</v>
      </c>
      <c r="G18" s="1320" t="s">
        <v>222</v>
      </c>
      <c r="H18" s="960" t="s">
        <v>223</v>
      </c>
      <c r="I18" s="961" t="s">
        <v>224</v>
      </c>
      <c r="J18" s="1898"/>
      <c r="K18" s="2448" t="s">
        <v>2550</v>
      </c>
      <c r="L18" s="2449" t="s">
        <v>2551</v>
      </c>
      <c r="M18" s="2450" t="s">
        <v>2552</v>
      </c>
      <c r="N18" s="2448" t="s">
        <v>2550</v>
      </c>
      <c r="O18" s="2449" t="s">
        <v>2551</v>
      </c>
      <c r="P18" s="2450" t="s">
        <v>2552</v>
      </c>
      <c r="R18" s="2180" t="s">
        <v>2297</v>
      </c>
      <c r="S18" s="2180" t="s">
        <v>2298</v>
      </c>
    </row>
    <row r="19" spans="1:19">
      <c r="A19" s="133"/>
      <c r="B19" s="115" t="s">
        <v>225</v>
      </c>
      <c r="C19" s="2736" t="s">
        <v>3013</v>
      </c>
      <c r="D19" s="111">
        <f t="shared" ref="D19:D26" si="1">ROUND($D$3*E19/$E$3,2)</f>
        <v>266666.3</v>
      </c>
      <c r="E19" s="134">
        <f t="shared" ref="E19:E26" si="2">SUM(F19:G19)</f>
        <v>1146665.0900000001</v>
      </c>
      <c r="F19" s="3082">
        <f>'数据-基础表'!I13</f>
        <v>1146665.0900000001</v>
      </c>
      <c r="G19" s="3083"/>
      <c r="H19" s="962">
        <f>ROUND($D$3*I19/$E$3,2)</f>
        <v>0</v>
      </c>
      <c r="I19" s="116">
        <f>IF($I$17="自定义",P19,M19)</f>
        <v>0</v>
      </c>
      <c r="J19" s="1898"/>
      <c r="K19" s="2451">
        <f t="shared" ref="K19:K26" si="3">ROUND(E$28*E19/E$27,2)</f>
        <v>0</v>
      </c>
      <c r="L19" s="273">
        <f t="shared" ref="L19:L26" si="4">ROUND(IF(COUNTIF(C19,"*住宅*")&gt;0,E$29*E19/E$32,0),2)</f>
        <v>0</v>
      </c>
      <c r="M19" s="2452">
        <f>K19+L19</f>
        <v>0</v>
      </c>
      <c r="N19" s="2453"/>
      <c r="O19" s="2454"/>
      <c r="P19" s="2455">
        <f>N19+O19</f>
        <v>0</v>
      </c>
      <c r="R19" s="273">
        <f t="shared" ref="R19:S26" si="5">D19+H19</f>
        <v>266666.3</v>
      </c>
      <c r="S19" s="2181">
        <f t="shared" si="5"/>
        <v>1146665.0900000001</v>
      </c>
    </row>
    <row r="20" spans="1:19">
      <c r="A20" s="137"/>
      <c r="B20" s="115" t="s">
        <v>226</v>
      </c>
      <c r="C20" s="2736"/>
      <c r="D20" s="111">
        <f t="shared" si="1"/>
        <v>0</v>
      </c>
      <c r="E20" s="134">
        <f t="shared" si="2"/>
        <v>0</v>
      </c>
      <c r="F20" s="3082"/>
      <c r="G20" s="3083"/>
      <c r="H20" s="962">
        <f t="shared" ref="H20:H26" si="6">ROUND($D$3*I20/$E$3,2)</f>
        <v>0</v>
      </c>
      <c r="I20" s="116">
        <f t="shared" ref="I20:I26" si="7">IF($I$17="自定义",P20,M20)</f>
        <v>0</v>
      </c>
      <c r="J20" s="1898"/>
      <c r="K20" s="2451">
        <f t="shared" si="3"/>
        <v>0</v>
      </c>
      <c r="L20" s="273">
        <f t="shared" si="4"/>
        <v>0</v>
      </c>
      <c r="M20" s="2452">
        <f t="shared" ref="M20:M26" si="8">K20+L20</f>
        <v>0</v>
      </c>
      <c r="N20" s="2453"/>
      <c r="O20" s="2454"/>
      <c r="P20" s="2455">
        <f t="shared" ref="P20:P26" si="9">N20+O20</f>
        <v>0</v>
      </c>
      <c r="R20" s="273">
        <f t="shared" si="5"/>
        <v>0</v>
      </c>
      <c r="S20" s="2181">
        <f t="shared" si="5"/>
        <v>0</v>
      </c>
    </row>
    <row r="21" spans="1:19">
      <c r="A21" s="137"/>
      <c r="B21" s="115" t="s">
        <v>226</v>
      </c>
      <c r="C21" s="2736"/>
      <c r="D21" s="111">
        <f t="shared" si="1"/>
        <v>0</v>
      </c>
      <c r="E21" s="134">
        <f t="shared" si="2"/>
        <v>0</v>
      </c>
      <c r="F21" s="3082"/>
      <c r="G21" s="3083"/>
      <c r="H21" s="962">
        <f t="shared" si="6"/>
        <v>0</v>
      </c>
      <c r="I21" s="116">
        <f t="shared" si="7"/>
        <v>0</v>
      </c>
      <c r="J21" s="1898"/>
      <c r="K21" s="2451">
        <f t="shared" si="3"/>
        <v>0</v>
      </c>
      <c r="L21" s="273">
        <f t="shared" si="4"/>
        <v>0</v>
      </c>
      <c r="M21" s="2452">
        <f t="shared" si="8"/>
        <v>0</v>
      </c>
      <c r="N21" s="2453"/>
      <c r="O21" s="2454"/>
      <c r="P21" s="2455">
        <f t="shared" si="9"/>
        <v>0</v>
      </c>
      <c r="R21" s="273">
        <f t="shared" si="5"/>
        <v>0</v>
      </c>
      <c r="S21" s="2181">
        <f t="shared" si="5"/>
        <v>0</v>
      </c>
    </row>
    <row r="22" spans="1:19">
      <c r="A22" s="137"/>
      <c r="B22" s="115" t="s">
        <v>226</v>
      </c>
      <c r="C22" s="1318"/>
      <c r="D22" s="111">
        <f t="shared" si="1"/>
        <v>0</v>
      </c>
      <c r="E22" s="134">
        <f t="shared" si="2"/>
        <v>0</v>
      </c>
      <c r="F22" s="3084"/>
      <c r="G22" s="3085"/>
      <c r="H22" s="962">
        <f t="shared" si="6"/>
        <v>0</v>
      </c>
      <c r="I22" s="116">
        <f t="shared" si="7"/>
        <v>0</v>
      </c>
      <c r="J22" s="1898"/>
      <c r="K22" s="2451">
        <f t="shared" si="3"/>
        <v>0</v>
      </c>
      <c r="L22" s="273">
        <f t="shared" si="4"/>
        <v>0</v>
      </c>
      <c r="M22" s="2452">
        <f t="shared" si="8"/>
        <v>0</v>
      </c>
      <c r="N22" s="2453"/>
      <c r="O22" s="2454"/>
      <c r="P22" s="2455">
        <f t="shared" si="9"/>
        <v>0</v>
      </c>
      <c r="R22" s="273">
        <f t="shared" si="5"/>
        <v>0</v>
      </c>
      <c r="S22" s="2181">
        <f t="shared" si="5"/>
        <v>0</v>
      </c>
    </row>
    <row r="23" spans="1:19">
      <c r="A23" s="137"/>
      <c r="B23" s="115" t="s">
        <v>226</v>
      </c>
      <c r="C23" s="138"/>
      <c r="D23" s="111">
        <f>ROUND($D$3*E23/$E$3,2)</f>
        <v>0</v>
      </c>
      <c r="E23" s="134">
        <f>SUM(F23:G23)</f>
        <v>0</v>
      </c>
      <c r="F23" s="3084"/>
      <c r="G23" s="3085"/>
      <c r="H23" s="962">
        <f>ROUND($D$3*I23/$E$3,2)</f>
        <v>0</v>
      </c>
      <c r="I23" s="116">
        <f t="shared" si="7"/>
        <v>0</v>
      </c>
      <c r="J23" s="1898"/>
      <c r="K23" s="2451">
        <f t="shared" si="3"/>
        <v>0</v>
      </c>
      <c r="L23" s="273">
        <f t="shared" si="4"/>
        <v>0</v>
      </c>
      <c r="M23" s="2452">
        <f t="shared" si="8"/>
        <v>0</v>
      </c>
      <c r="N23" s="2453"/>
      <c r="O23" s="2454"/>
      <c r="P23" s="2455">
        <f t="shared" si="9"/>
        <v>0</v>
      </c>
      <c r="R23" s="273">
        <f t="shared" si="5"/>
        <v>0</v>
      </c>
      <c r="S23" s="2181">
        <f t="shared" si="5"/>
        <v>0</v>
      </c>
    </row>
    <row r="24" spans="1:19">
      <c r="A24" s="137"/>
      <c r="B24" s="115" t="s">
        <v>226</v>
      </c>
      <c r="C24" s="138"/>
      <c r="D24" s="111">
        <f>ROUND($D$3*E24/$E$3,2)</f>
        <v>0</v>
      </c>
      <c r="E24" s="134">
        <f>SUM(F24:G24)</f>
        <v>0</v>
      </c>
      <c r="F24" s="3084"/>
      <c r="G24" s="3085"/>
      <c r="H24" s="962">
        <f>ROUND($D$3*I24/$E$3,2)</f>
        <v>0</v>
      </c>
      <c r="I24" s="116">
        <f t="shared" si="7"/>
        <v>0</v>
      </c>
      <c r="J24" s="1898"/>
      <c r="K24" s="2451">
        <f t="shared" si="3"/>
        <v>0</v>
      </c>
      <c r="L24" s="273">
        <f t="shared" si="4"/>
        <v>0</v>
      </c>
      <c r="M24" s="2452">
        <f t="shared" si="8"/>
        <v>0</v>
      </c>
      <c r="N24" s="2453"/>
      <c r="O24" s="2454"/>
      <c r="P24" s="2455">
        <f t="shared" si="9"/>
        <v>0</v>
      </c>
      <c r="R24" s="273">
        <f t="shared" si="5"/>
        <v>0</v>
      </c>
      <c r="S24" s="2181">
        <f t="shared" si="5"/>
        <v>0</v>
      </c>
    </row>
    <row r="25" spans="1:19">
      <c r="A25" s="137"/>
      <c r="B25" s="115" t="s">
        <v>226</v>
      </c>
      <c r="C25" s="138"/>
      <c r="D25" s="111">
        <f t="shared" si="1"/>
        <v>0</v>
      </c>
      <c r="E25" s="134">
        <f t="shared" si="2"/>
        <v>0</v>
      </c>
      <c r="F25" s="3084"/>
      <c r="G25" s="3085"/>
      <c r="H25" s="110">
        <f t="shared" si="6"/>
        <v>0</v>
      </c>
      <c r="I25" s="116">
        <f t="shared" si="7"/>
        <v>0</v>
      </c>
      <c r="J25" s="1898"/>
      <c r="K25" s="2451">
        <f t="shared" si="3"/>
        <v>0</v>
      </c>
      <c r="L25" s="273">
        <f t="shared" si="4"/>
        <v>0</v>
      </c>
      <c r="M25" s="2452">
        <f t="shared" si="8"/>
        <v>0</v>
      </c>
      <c r="N25" s="2453"/>
      <c r="O25" s="2454"/>
      <c r="P25" s="2455">
        <f t="shared" si="9"/>
        <v>0</v>
      </c>
      <c r="R25" s="273">
        <f t="shared" si="5"/>
        <v>0</v>
      </c>
      <c r="S25" s="2181">
        <f t="shared" si="5"/>
        <v>0</v>
      </c>
    </row>
    <row r="26" spans="1:19">
      <c r="A26" s="137"/>
      <c r="B26" s="115" t="s">
        <v>226</v>
      </c>
      <c r="C26" s="140"/>
      <c r="D26" s="111">
        <f t="shared" si="1"/>
        <v>0</v>
      </c>
      <c r="E26" s="134">
        <f t="shared" si="2"/>
        <v>0</v>
      </c>
      <c r="F26" s="3084"/>
      <c r="G26" s="3085"/>
      <c r="H26" s="110">
        <f t="shared" si="6"/>
        <v>0</v>
      </c>
      <c r="I26" s="116">
        <f t="shared" si="7"/>
        <v>0</v>
      </c>
      <c r="J26" s="1898"/>
      <c r="K26" s="2456">
        <f t="shared" si="3"/>
        <v>0</v>
      </c>
      <c r="L26" s="278">
        <f t="shared" si="4"/>
        <v>0</v>
      </c>
      <c r="M26" s="144">
        <f t="shared" si="8"/>
        <v>0</v>
      </c>
      <c r="N26" s="2457"/>
      <c r="O26" s="2458"/>
      <c r="P26" s="2459">
        <f t="shared" si="9"/>
        <v>0</v>
      </c>
      <c r="R26" s="273">
        <f t="shared" si="5"/>
        <v>0</v>
      </c>
      <c r="S26" s="2181">
        <f t="shared" si="5"/>
        <v>0</v>
      </c>
    </row>
    <row r="27" spans="1:19" ht="15.75" thickBot="1">
      <c r="A27" s="137"/>
      <c r="B27" s="111"/>
      <c r="C27" s="127" t="s">
        <v>215</v>
      </c>
      <c r="D27" s="134">
        <f>SUM(D19:D26)</f>
        <v>266666.3</v>
      </c>
      <c r="E27" s="141">
        <f>IF(SUM(E19:E26)='数据-基础表'!BA5,SUM(E19:E26),IF(F27="地上面积有误","面积有误","地下面积有误"))</f>
        <v>1146665.0900000001</v>
      </c>
      <c r="F27" s="134">
        <f>IF(SUM(F19:F26)=E8,SUM(F19:F26),"地上面积有误")</f>
        <v>1146665.0900000001</v>
      </c>
      <c r="G27" s="112">
        <f>SUM(G19:G26)</f>
        <v>0</v>
      </c>
      <c r="H27" s="963">
        <f>SUM(H19:H26)</f>
        <v>0</v>
      </c>
      <c r="I27" s="964">
        <f>SUM(I19:I26)</f>
        <v>0</v>
      </c>
      <c r="J27" s="1898"/>
      <c r="K27" s="2460">
        <f>SUM(K19:K26)</f>
        <v>0</v>
      </c>
      <c r="L27" s="2461">
        <f>SUM(L19:L26)</f>
        <v>0</v>
      </c>
      <c r="M27" s="2462">
        <f>SUM(M19:M26)</f>
        <v>0</v>
      </c>
      <c r="N27" s="2460">
        <f t="shared" ref="N27:O27" si="10">SUM(N19:N26)</f>
        <v>0</v>
      </c>
      <c r="O27" s="2461">
        <f t="shared" si="10"/>
        <v>0</v>
      </c>
      <c r="P27" s="2463">
        <f>SUM(P19:P26)</f>
        <v>0</v>
      </c>
      <c r="R27" s="2185">
        <f>IF(SUM(R19:R26)=$D$3,SUM(R19:R26),SUM(R19:R26)&amp;"误差"&amp;ROUND(SUM(R19:R26)-$D$3,2))</f>
        <v>266666.3</v>
      </c>
      <c r="S27" s="273">
        <f>IF(SUM(S19:S26)=$E$3,SUM(S19:S26),SUM(S19:S26)&amp;"误差"&amp;ROUND(SUM(S19:S26)-E3,2))</f>
        <v>1146665.0900000001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3"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1"/>
      <c r="B31" s="1322" t="s">
        <v>229</v>
      </c>
      <c r="C31" s="2210" t="s">
        <v>2310</v>
      </c>
      <c r="D31" s="1323">
        <f>D27+D30</f>
        <v>266666.3</v>
      </c>
      <c r="E31" s="1323">
        <f>E27+E30</f>
        <v>1146665.0900000001</v>
      </c>
      <c r="F31" s="1324">
        <f>F27+F30</f>
        <v>1146665.0900000001</v>
      </c>
      <c r="G31" s="1325">
        <f>G27+G30</f>
        <v>0</v>
      </c>
      <c r="H31" s="3080"/>
      <c r="I31" s="3080"/>
      <c r="J31" s="3080"/>
      <c r="K31" s="3080"/>
      <c r="L31" s="3080"/>
      <c r="M31" s="3080"/>
      <c r="N31" s="3080"/>
      <c r="O31" s="3080"/>
      <c r="P31" s="3080"/>
    </row>
    <row r="32" spans="1:19">
      <c r="A32" s="1898"/>
      <c r="B32" s="2222" t="s">
        <v>2309</v>
      </c>
      <c r="C32" s="2488"/>
      <c r="D32" s="1184"/>
      <c r="E32" s="1184">
        <f>SUMIF(C19:C26,"*住宅*",E19:E26)</f>
        <v>0</v>
      </c>
      <c r="F32" s="1184"/>
      <c r="G32" s="1184"/>
      <c r="H32" s="3080"/>
      <c r="I32" s="3080"/>
      <c r="J32" s="3080"/>
      <c r="K32" s="3080"/>
      <c r="L32" s="3080"/>
      <c r="M32" s="3080"/>
      <c r="N32" s="3080"/>
      <c r="O32" s="3080"/>
      <c r="P32" s="3080"/>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G23" sqref="G23"/>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7"/>
      <c r="AO1" s="3087"/>
      <c r="AP1" s="3087"/>
      <c r="AQ1" s="3087"/>
      <c r="AR1" s="3087"/>
      <c r="AS1" s="3087"/>
      <c r="AT1" s="3087"/>
      <c r="AU1" s="3087"/>
      <c r="AV1" s="3087"/>
      <c r="AW1" s="3087"/>
      <c r="AX1" s="3087"/>
      <c r="AY1" s="3087"/>
      <c r="AZ1" s="3087"/>
    </row>
    <row r="2" spans="1:83" s="1189" customFormat="1" ht="15.75" thickBot="1">
      <c r="A2" s="147" t="s">
        <v>235</v>
      </c>
      <c r="B2" s="2218">
        <f>项目基本情况!D3</f>
        <v>44499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0"/>
      <c r="AO2" s="3090"/>
      <c r="AP2" s="3090"/>
      <c r="AQ2" s="3090"/>
      <c r="AR2" s="3090"/>
      <c r="AS2" s="3090"/>
      <c r="AT2" s="3090"/>
      <c r="AU2" s="3090"/>
      <c r="AV2" s="3090"/>
      <c r="AW2" s="3090"/>
      <c r="AX2" s="3090"/>
      <c r="AY2" s="3090"/>
      <c r="AZ2" s="3090"/>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0"/>
      <c r="AO3" s="3090"/>
      <c r="AP3" s="3090"/>
      <c r="AQ3" s="3090"/>
      <c r="AR3" s="3090"/>
      <c r="AS3" s="3090"/>
      <c r="AT3" s="3090"/>
      <c r="AU3" s="3090"/>
      <c r="AV3" s="3090"/>
      <c r="AW3" s="3090"/>
      <c r="AX3" s="3090"/>
      <c r="AY3" s="3090"/>
      <c r="AZ3" s="3090"/>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4"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1"/>
      <c r="AP5" s="3086" t="s">
        <v>2975</v>
      </c>
      <c r="AQ5" s="3101"/>
      <c r="AR5" s="3101"/>
      <c r="AS5" s="3101"/>
      <c r="AT5" s="3101"/>
      <c r="AU5" s="3101"/>
      <c r="AV5" s="3101"/>
      <c r="AW5" s="3101"/>
      <c r="AX5" s="3101"/>
      <c r="AY5" s="3101"/>
      <c r="AZ5" s="3101"/>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3011</v>
      </c>
      <c r="D6" s="2188">
        <f>SUMIF(项目基本情况!D$15:I$15,C6,项目基本情况!D$18:I$18)</f>
        <v>40</v>
      </c>
      <c r="E6" s="2189">
        <f>IF(B6="","",SUMIF(项目基本情况!D$15:I$15,C6,项目基本情况!D$17:I$17))</f>
        <v>53018</v>
      </c>
      <c r="F6" s="172">
        <f>SUMIF(项目基本情况!D$15:I$15,C6,项目基本情况!D$19:I$19)</f>
        <v>23.33</v>
      </c>
      <c r="G6" s="173">
        <f>IF(ISERROR(ROUND(POWER(1+H6,D6-F6)*(POWER(1+H6,F6)-1)/(POWER(1+H6,D6)-1),3)),0,ROUND(POWER(1+H6,D6-F6)*(POWER(1+H6,F6)-1)/(POWER(1+H6,D6)-1),3))</f>
        <v>0.80800000000000005</v>
      </c>
      <c r="H6" s="3314">
        <v>5.5E-2</v>
      </c>
      <c r="I6" s="3314">
        <v>0.06</v>
      </c>
      <c r="J6" s="174">
        <v>7.0000000000000007E-2</v>
      </c>
      <c r="K6" s="177">
        <f>SUMIF('数据-汇总表'!C$19:C$33,'数据-取费表'!A6,'数据-汇总表'!E$19:E$33)</f>
        <v>1146665.0900000001</v>
      </c>
      <c r="L6" s="3307">
        <v>2500</v>
      </c>
      <c r="M6" s="175">
        <f t="shared" ref="M6:M14" si="0">ROUND(K6*L6/10000,0)</f>
        <v>286666</v>
      </c>
      <c r="N6" s="2739">
        <v>0</v>
      </c>
      <c r="O6" s="175">
        <f>IF($N$5="成新度","——",ROUND(M6*N6,0))</f>
        <v>0</v>
      </c>
      <c r="P6" s="176">
        <f>IF($N$5="成新度","——",M6-O6)</f>
        <v>286666</v>
      </c>
      <c r="Q6" s="3308">
        <v>0.15</v>
      </c>
      <c r="R6" s="177">
        <f>SUMIF('数据-汇总表'!C$19:C$33,A6,'数据-汇总表'!R$19:R$33)</f>
        <v>266666.3</v>
      </c>
      <c r="S6" s="132">
        <f>IF('数据-汇总表'!$I$17="按面积比例",SUMIF('数据-汇总表'!C$19:C$33,A6,'数据-汇总表'!K$19:K$33),SUMIF('数据-汇总表'!C$19:C$33,A6,'数据-汇总表'!N$19:N$33))</f>
        <v>0</v>
      </c>
      <c r="T6" s="2114" t="str">
        <f>IF($T$4="按面积比例",IF(ISERROR(ROUND($M$14*S6/S$16,0)),"0",ROUND($M$14*S6/S$16,0)),"需自行计算录入")</f>
        <v>0</v>
      </c>
      <c r="U6" s="178">
        <v>1.5</v>
      </c>
      <c r="V6" s="3309">
        <v>0.02</v>
      </c>
      <c r="W6" s="3309">
        <v>0.2</v>
      </c>
      <c r="X6" s="2201"/>
      <c r="Y6" s="180">
        <v>1</v>
      </c>
      <c r="Z6" s="181"/>
      <c r="AA6" s="174"/>
      <c r="AB6" s="174"/>
      <c r="AC6" s="2204"/>
      <c r="AD6" s="182"/>
      <c r="AE6" s="960">
        <f ca="1">IF(AN6="",0,SUMIF(INDIRECT("'"&amp;AN6&amp;"'"&amp;"!E:E"),$AE$5,INDIRECT("'"&amp;AN6&amp;"'"&amp;"!F:F")))</f>
        <v>20.329999999999998</v>
      </c>
      <c r="AF6" s="139"/>
      <c r="AG6" s="1196">
        <f>IF(AF6="",0,AE6-AF6)</f>
        <v>0</v>
      </c>
      <c r="AH6" s="139"/>
      <c r="AI6" s="185">
        <v>365</v>
      </c>
      <c r="AJ6" s="186"/>
      <c r="AK6" s="3310">
        <v>6.0000000000000001E-3</v>
      </c>
      <c r="AL6" s="3311">
        <v>1E-3</v>
      </c>
      <c r="AM6" s="3312">
        <v>0.01</v>
      </c>
      <c r="AN6" s="2247" t="s">
        <v>3051</v>
      </c>
      <c r="AO6" s="3090"/>
      <c r="AP6" s="1187">
        <f>ROUND(1-1/(1+H6)^F6,3)</f>
        <v>0.71299999999999997</v>
      </c>
      <c r="AQ6" s="3090"/>
      <c r="AR6" s="3090"/>
      <c r="AS6" s="3090"/>
      <c r="AT6" s="3090"/>
      <c r="AU6" s="3090"/>
      <c r="AV6" s="3090"/>
      <c r="AW6" s="3090"/>
      <c r="AX6" s="3090"/>
      <c r="AY6" s="3090"/>
      <c r="AZ6" s="3090"/>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f t="shared" ref="O7:O14" si="3">IF($N$5="成新度","——",ROUND(M7*N7,0))</f>
        <v>0</v>
      </c>
      <c r="P7" s="176">
        <f t="shared" ref="P7:P14" si="4">IF($N$5="成新度","——",M7-O7)</f>
        <v>0</v>
      </c>
      <c r="Q7" s="2740"/>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0"/>
      <c r="AP7" s="1187">
        <f t="shared" ref="AP7:AP13" si="8">ROUND(1-1/(1+H7)^F7,3)</f>
        <v>0</v>
      </c>
      <c r="AQ7" s="3090"/>
      <c r="AR7" s="3090"/>
      <c r="AS7" s="3090"/>
      <c r="AT7" s="3090"/>
      <c r="AU7" s="3090"/>
      <c r="AV7" s="3090"/>
      <c r="AW7" s="3090"/>
      <c r="AX7" s="3090"/>
      <c r="AY7" s="3090"/>
      <c r="AZ7" s="3090"/>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f t="shared" si="3"/>
        <v>0</v>
      </c>
      <c r="P8" s="176">
        <f t="shared" si="4"/>
        <v>0</v>
      </c>
      <c r="Q8" s="2740"/>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0"/>
      <c r="AP8" s="1187">
        <f t="shared" si="8"/>
        <v>0</v>
      </c>
      <c r="AQ8" s="3090"/>
      <c r="AR8" s="3090"/>
      <c r="AS8" s="3090"/>
      <c r="AT8" s="3090"/>
      <c r="AU8" s="3090"/>
      <c r="AV8" s="3090"/>
      <c r="AW8" s="3090"/>
      <c r="AX8" s="3090"/>
      <c r="AY8" s="3090"/>
      <c r="AZ8" s="3090"/>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0"/>
      <c r="AP9" s="1187">
        <f t="shared" si="8"/>
        <v>0</v>
      </c>
      <c r="AQ9" s="3090"/>
      <c r="AR9" s="3090"/>
      <c r="AS9" s="3090"/>
      <c r="AT9" s="3090"/>
      <c r="AU9" s="3090"/>
      <c r="AV9" s="3090"/>
      <c r="AW9" s="3090"/>
      <c r="AX9" s="3090"/>
      <c r="AY9" s="3090"/>
      <c r="AZ9" s="309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0"/>
      <c r="AP10" s="1187">
        <f t="shared" si="8"/>
        <v>0</v>
      </c>
      <c r="AQ10" s="3090"/>
      <c r="AR10" s="3090"/>
      <c r="AS10" s="3090"/>
      <c r="AT10" s="3090"/>
      <c r="AU10" s="3090"/>
      <c r="AV10" s="3090"/>
      <c r="AW10" s="3090"/>
      <c r="AX10" s="3090"/>
      <c r="AY10" s="3090"/>
      <c r="AZ10" s="3090"/>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0"/>
      <c r="AP11" s="1187">
        <f t="shared" si="8"/>
        <v>0</v>
      </c>
      <c r="AQ11" s="3090"/>
      <c r="AR11" s="3090"/>
      <c r="AS11" s="3090"/>
      <c r="AT11" s="3090"/>
      <c r="AU11" s="3090"/>
      <c r="AV11" s="3090"/>
      <c r="AW11" s="3090"/>
      <c r="AX11" s="3090"/>
      <c r="AY11" s="3090"/>
      <c r="AZ11" s="3090"/>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0"/>
      <c r="AP12" s="1187">
        <f t="shared" si="8"/>
        <v>0</v>
      </c>
      <c r="AQ12" s="3090"/>
      <c r="AR12" s="3090"/>
      <c r="AS12" s="3090"/>
      <c r="AT12" s="3090"/>
      <c r="AU12" s="3090"/>
      <c r="AV12" s="3090"/>
      <c r="AW12" s="3090"/>
      <c r="AX12" s="3090"/>
      <c r="AY12" s="3090"/>
      <c r="AZ12" s="3090"/>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0"/>
      <c r="AP13" s="1187">
        <f t="shared" si="8"/>
        <v>0</v>
      </c>
      <c r="AQ13" s="3090"/>
      <c r="AR13" s="3090"/>
      <c r="AS13" s="3090"/>
      <c r="AT13" s="3090"/>
      <c r="AU13" s="3090"/>
      <c r="AV13" s="3090"/>
      <c r="AW13" s="3090"/>
      <c r="AX13" s="3090"/>
      <c r="AY13" s="3090"/>
      <c r="AZ13" s="3090"/>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0"/>
      <c r="AO14" s="3090"/>
      <c r="AP14" s="3090"/>
      <c r="AQ14" s="3090"/>
      <c r="AR14" s="3090"/>
      <c r="AS14" s="3090"/>
      <c r="AT14" s="3090"/>
      <c r="AU14" s="3090"/>
      <c r="AV14" s="3090"/>
      <c r="AW14" s="3090"/>
      <c r="AX14" s="3090"/>
      <c r="AY14" s="3090"/>
      <c r="AZ14" s="3090"/>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0"/>
      <c r="AO15" s="3090"/>
      <c r="AP15" s="3090"/>
      <c r="AQ15" s="3090"/>
      <c r="AR15" s="3090"/>
      <c r="AS15" s="3090"/>
      <c r="AT15" s="3090"/>
      <c r="AU15" s="3090"/>
      <c r="AV15" s="3090"/>
      <c r="AW15" s="3090"/>
      <c r="AX15" s="3090"/>
      <c r="AY15" s="3090"/>
      <c r="AZ15" s="3090"/>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0.80800000000000005</v>
      </c>
      <c r="H16" s="201">
        <f>ROUND(SUMPRODUCT(H6:H13,K6:K13)/SUMPRODUCT((H6:H13&gt;0)*(K6:K13)),3)</f>
        <v>5.5E-2</v>
      </c>
      <c r="I16" s="202"/>
      <c r="J16" s="202"/>
      <c r="K16" s="203">
        <f>SUM(K6:K15)</f>
        <v>1146665.0900000001</v>
      </c>
      <c r="L16" s="204">
        <f>ROUND(M16*10000/SUM(K6:K14),0)</f>
        <v>2500</v>
      </c>
      <c r="M16" s="204">
        <f>SUM(M6:M14)</f>
        <v>286666</v>
      </c>
      <c r="N16" s="205">
        <f>ROUND(SUMPRODUCT(M6:M14,N6:N14)/M16,3)</f>
        <v>0</v>
      </c>
      <c r="O16" s="204">
        <f>SUM(O6:O14)</f>
        <v>0</v>
      </c>
      <c r="P16" s="204">
        <f>SUM(P6:P14)</f>
        <v>286666</v>
      </c>
      <c r="Q16" s="206">
        <f>ROUND(SUMPRODUCT(Q6:Q13,K6:K13)/SUMPRODUCT((Q6:Q13&gt;0)*(K6:K13)),2)</f>
        <v>0.15</v>
      </c>
      <c r="R16" s="2191">
        <f>SUM(R6:R13)</f>
        <v>266666.3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7">
        <f>ROUND(SUMPRODUCT(AP6:AP13,K6:K13)/SUMPRODUCT((AP6:AP13&gt;0)*(K6:K13)),3)</f>
        <v>0.71299999999999997</v>
      </c>
      <c r="AQ16" s="3090"/>
      <c r="AR16" s="3090"/>
      <c r="AS16" s="3090"/>
      <c r="AT16" s="3090"/>
      <c r="AU16" s="3090"/>
      <c r="AV16" s="3090"/>
      <c r="AW16" s="3090"/>
      <c r="AX16" s="3090"/>
      <c r="AY16" s="3090"/>
      <c r="AZ16" s="3090"/>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2987</v>
      </c>
      <c r="D19" s="3091"/>
      <c r="E19" s="3090"/>
      <c r="F19" s="3090"/>
      <c r="G19" s="3090"/>
      <c r="H19" s="3090"/>
      <c r="I19" s="3090"/>
      <c r="J19" s="3301">
        <v>0.15</v>
      </c>
      <c r="K19" s="3089">
        <f>J19*K16</f>
        <v>171999.7635</v>
      </c>
      <c r="L19" s="3089">
        <v>2200</v>
      </c>
      <c r="M19" s="3087">
        <f>L19*K19/10000</f>
        <v>37839.947970000001</v>
      </c>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3</v>
      </c>
      <c r="C20" s="3102" t="s">
        <v>2323</v>
      </c>
      <c r="D20" s="3091"/>
      <c r="E20" s="3090"/>
      <c r="F20" s="3090"/>
      <c r="G20" s="3090"/>
      <c r="H20" s="3090"/>
      <c r="I20" s="3090"/>
      <c r="J20" s="3090"/>
      <c r="K20" s="3302">
        <f>K16</f>
        <v>1146665.0900000001</v>
      </c>
      <c r="L20" s="3089">
        <f>L19</f>
        <v>2200</v>
      </c>
      <c r="M20" s="3087">
        <f>L20*K20/10000</f>
        <v>252266.3198</v>
      </c>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f>M21*10000/K16</f>
        <v>2529.9999999999995</v>
      </c>
      <c r="M21" s="3087">
        <f>M19+M20</f>
        <v>290106.26776999998</v>
      </c>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3</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3</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90"/>
      <c r="B25" s="1187"/>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8" customFormat="1" ht="27.75">
      <c r="A27" s="224" t="s">
        <v>2325</v>
      </c>
      <c r="B27" s="225">
        <v>75</v>
      </c>
      <c r="C27" s="3103" t="s">
        <v>2988</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75</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90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110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5" t="s">
        <v>2976</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5" t="s">
        <v>2977</v>
      </c>
      <c r="D34" s="3106" t="s">
        <v>2984</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2978</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2979</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2980</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2980</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2438</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7" t="s">
        <v>3074</v>
      </c>
      <c r="B40" s="3313">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7"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7"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2985</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2981</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2982</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2989</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2981</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2983</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1398</v>
      </c>
      <c r="C53" s="3098" t="s">
        <v>2872</v>
      </c>
      <c r="D53" s="3109" t="s">
        <v>2986</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2873</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2874</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2875</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2876</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2877</v>
      </c>
      <c r="B58" s="184">
        <v>5</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2878</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2879</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2880</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2881</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2882</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27" sqref="F27"/>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11" t="s">
        <v>1654</v>
      </c>
      <c r="B1" s="3412"/>
      <c r="C1" s="3412"/>
      <c r="D1" s="3412"/>
      <c r="E1" s="3412"/>
      <c r="F1" s="3412"/>
      <c r="G1" s="3412"/>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2889</v>
      </c>
      <c r="D3" s="3125"/>
      <c r="E3" s="3126" t="s">
        <v>1657</v>
      </c>
      <c r="F3" s="3127" t="s">
        <v>1645</v>
      </c>
      <c r="G3" s="3128" t="s">
        <v>2888</v>
      </c>
      <c r="H3" s="3121"/>
      <c r="I3" s="3121"/>
      <c r="J3" s="3121"/>
      <c r="K3" s="3121"/>
      <c r="L3" s="3121"/>
      <c r="M3" s="3121"/>
      <c r="N3" s="3121"/>
      <c r="O3" s="3121"/>
      <c r="P3" s="3121"/>
      <c r="Q3" s="3121"/>
      <c r="R3" s="3121"/>
    </row>
    <row r="4" spans="1:18" ht="40.5">
      <c r="A4" s="3126"/>
      <c r="B4" s="3129" t="s">
        <v>1658</v>
      </c>
      <c r="C4" s="3130" t="s">
        <v>2890</v>
      </c>
      <c r="D4" s="3125"/>
      <c r="E4" s="3131"/>
      <c r="F4" s="3132" t="s">
        <v>1659</v>
      </c>
      <c r="G4" s="3133" t="s">
        <v>2885</v>
      </c>
      <c r="H4" s="3121"/>
      <c r="I4" s="3121"/>
      <c r="J4" s="3121"/>
      <c r="K4" s="3121"/>
      <c r="L4" s="3121"/>
      <c r="M4" s="3121"/>
      <c r="N4" s="3121"/>
      <c r="O4" s="3121"/>
      <c r="P4" s="3121"/>
      <c r="Q4" s="3121"/>
      <c r="R4" s="3121"/>
    </row>
    <row r="5" spans="1:18" ht="41.25">
      <c r="A5" s="3126"/>
      <c r="B5" s="3129" t="s">
        <v>1660</v>
      </c>
      <c r="C5" s="3130" t="s">
        <v>2891</v>
      </c>
      <c r="D5" s="3125"/>
      <c r="E5" s="3131"/>
      <c r="F5" s="3129" t="s">
        <v>2527</v>
      </c>
      <c r="G5" s="3133" t="s">
        <v>2886</v>
      </c>
      <c r="H5" s="3121"/>
      <c r="I5" s="3121"/>
      <c r="J5" s="3121"/>
      <c r="K5" s="3121"/>
      <c r="L5" s="3121"/>
      <c r="M5" s="3121"/>
      <c r="N5" s="3121"/>
      <c r="O5" s="3121"/>
      <c r="P5" s="3121"/>
      <c r="Q5" s="3121"/>
      <c r="R5" s="3121"/>
    </row>
    <row r="6" spans="1:18" ht="40.5">
      <c r="A6" s="3126"/>
      <c r="B6" s="3129" t="s">
        <v>1646</v>
      </c>
      <c r="C6" s="3133" t="s">
        <v>2885</v>
      </c>
      <c r="D6" s="3125"/>
      <c r="E6" s="3131"/>
      <c r="F6" s="3129" t="s">
        <v>2528</v>
      </c>
      <c r="G6" s="3133" t="s">
        <v>2883</v>
      </c>
      <c r="H6" s="3121"/>
      <c r="I6" s="3121"/>
      <c r="J6" s="3121"/>
      <c r="K6" s="3121"/>
      <c r="L6" s="3121"/>
      <c r="M6" s="3121"/>
      <c r="N6" s="3121"/>
      <c r="O6" s="3121"/>
      <c r="P6" s="3121"/>
      <c r="Q6" s="3121"/>
      <c r="R6" s="3121"/>
    </row>
    <row r="7" spans="1:18" ht="27.75" thickBot="1">
      <c r="A7" s="3126"/>
      <c r="B7" s="3129" t="s">
        <v>2527</v>
      </c>
      <c r="C7" s="3133" t="s">
        <v>2886</v>
      </c>
      <c r="D7" s="3134"/>
      <c r="E7" s="3135"/>
      <c r="F7" s="3136" t="s">
        <v>1661</v>
      </c>
      <c r="G7" s="3137" t="s">
        <v>2887</v>
      </c>
      <c r="H7" s="3121"/>
      <c r="I7" s="3121"/>
      <c r="J7" s="3121"/>
      <c r="K7" s="3121"/>
      <c r="L7" s="3121"/>
      <c r="M7" s="3121"/>
      <c r="N7" s="3121"/>
      <c r="O7" s="3121"/>
      <c r="P7" s="3121"/>
      <c r="Q7" s="3121"/>
      <c r="R7" s="3121"/>
    </row>
    <row r="8" spans="1:18">
      <c r="A8" s="3126"/>
      <c r="B8" s="3129" t="s">
        <v>2528</v>
      </c>
      <c r="C8" s="3133" t="s">
        <v>2883</v>
      </c>
      <c r="D8" s="3134"/>
      <c r="E8" s="3134"/>
      <c r="F8" s="3138"/>
      <c r="G8" s="3138"/>
      <c r="H8" s="3121"/>
      <c r="I8" s="3121"/>
      <c r="J8" s="3121"/>
      <c r="K8" s="3121"/>
      <c r="L8" s="3121"/>
      <c r="M8" s="3121"/>
      <c r="N8" s="3121"/>
      <c r="O8" s="3121"/>
      <c r="P8" s="3121"/>
      <c r="Q8" s="3121"/>
      <c r="R8" s="3121"/>
    </row>
    <row r="9" spans="1:18" ht="27">
      <c r="A9" s="3126"/>
      <c r="B9" s="3129" t="s">
        <v>1647</v>
      </c>
      <c r="C9" s="3130" t="s">
        <v>2884</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2823</v>
      </c>
      <c r="B1" s="3183">
        <f>SUM(B14:B23)</f>
        <v>1146665.0900000001</v>
      </c>
      <c r="C1" s="3192"/>
      <c r="D1" s="3192"/>
      <c r="E1" s="3192"/>
      <c r="F1" s="3192"/>
      <c r="G1" s="3193"/>
      <c r="H1" s="3193"/>
      <c r="I1" s="3193"/>
      <c r="J1" s="3193"/>
    </row>
    <row r="2" spans="1:10" ht="16.5">
      <c r="A2" s="3183" t="s">
        <v>2824</v>
      </c>
      <c r="B2" s="3183">
        <f>SUM(C14:C23)</f>
        <v>266666.3</v>
      </c>
      <c r="C2" s="3192"/>
      <c r="D2" s="3192"/>
      <c r="E2" s="3192"/>
      <c r="F2" s="3192"/>
      <c r="G2" s="3193"/>
      <c r="H2" s="3193"/>
      <c r="I2" s="3193"/>
      <c r="J2" s="3193"/>
    </row>
    <row r="3" spans="1:10" ht="16.5">
      <c r="A3" s="3183" t="s">
        <v>2825</v>
      </c>
      <c r="B3" s="3185">
        <f>项目基本情况!D3</f>
        <v>44499</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39124</v>
      </c>
      <c r="C5" s="3183">
        <f ca="1">ROUND(B5*10000/$B$1,0)</f>
        <v>341</v>
      </c>
      <c r="D5" s="3183">
        <f ca="1">ROUND(B5*10000/$B$2,0)</f>
        <v>1467</v>
      </c>
      <c r="E5" s="3192"/>
      <c r="F5" s="3192"/>
      <c r="G5" s="3193"/>
      <c r="H5" s="3193"/>
      <c r="I5" s="3193"/>
      <c r="J5" s="3193"/>
    </row>
    <row r="6" spans="1:10" ht="16.5">
      <c r="A6" s="3183" t="s">
        <v>2831</v>
      </c>
      <c r="B6" s="3183">
        <f ca="1">SUM(G14:G23)</f>
        <v>39124</v>
      </c>
      <c r="C6" s="3183">
        <f t="shared" ref="C6:C8" ca="1" si="0">ROUND(B6*10000/$B$1,0)</f>
        <v>341</v>
      </c>
      <c r="D6" s="3183">
        <f t="shared" ref="D6:D8" ca="1" si="1">ROUND(B6*10000/$B$2,0)</f>
        <v>1467</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 ca="1">SUM(I14:I23)</f>
        <v>37055</v>
      </c>
      <c r="C8" s="3183">
        <f t="shared" ca="1" si="0"/>
        <v>323</v>
      </c>
      <c r="D8" s="3183">
        <f t="shared" ca="1" si="1"/>
        <v>1390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2852</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2851</v>
      </c>
      <c r="B13" s="3187" t="s">
        <v>2823</v>
      </c>
      <c r="C13" s="3187" t="s">
        <v>2824</v>
      </c>
      <c r="D13" s="3187" t="s">
        <v>2836</v>
      </c>
      <c r="E13" s="3183" t="s">
        <v>2850</v>
      </c>
      <c r="F13" s="3183" t="s">
        <v>2829</v>
      </c>
      <c r="G13" s="3187" t="s">
        <v>2837</v>
      </c>
      <c r="H13" s="3187" t="s">
        <v>2838</v>
      </c>
      <c r="I13" s="3187" t="s">
        <v>2839</v>
      </c>
      <c r="J13" s="3193"/>
    </row>
    <row r="14" spans="1:10" ht="16.5">
      <c r="A14" s="3188" t="s">
        <v>2849</v>
      </c>
      <c r="B14" s="3189">
        <f>结果表!L38</f>
        <v>1146665.0900000001</v>
      </c>
      <c r="C14" s="3189">
        <f>结果表!K38</f>
        <v>266666.3</v>
      </c>
      <c r="D14" s="3189">
        <f ca="1">结果表!C42</f>
        <v>39124</v>
      </c>
      <c r="E14" s="3189">
        <f ca="1">ROUND(D14*10000/B14,0)</f>
        <v>341</v>
      </c>
      <c r="F14" s="3189">
        <f ca="1">ROUND(D14*10000/C14,0)</f>
        <v>1467</v>
      </c>
      <c r="G14" s="3189">
        <f ca="1">结果表!C44</f>
        <v>39124</v>
      </c>
      <c r="H14" s="3189" t="str">
        <f>结果表!C45</f>
        <v>——</v>
      </c>
      <c r="I14" s="3189">
        <f ca="1">结果表!C46</f>
        <v>37055</v>
      </c>
      <c r="J14" s="3193"/>
    </row>
    <row r="15" spans="1:10" ht="16.5">
      <c r="A15" s="3188" t="s">
        <v>2840</v>
      </c>
      <c r="B15" s="3190"/>
      <c r="C15" s="3190"/>
      <c r="D15" s="3190"/>
      <c r="E15" s="3189" t="e">
        <f t="shared" ref="E15:E23" si="2">ROUND(D15*10000/B15,0)</f>
        <v>#DIV/0!</v>
      </c>
      <c r="F15" s="3189" t="e">
        <f t="shared" ref="F15:F23" si="3">ROUND(D15*10000/C15,0)</f>
        <v>#DIV/0!</v>
      </c>
      <c r="G15" s="2755"/>
      <c r="H15" s="2755"/>
      <c r="I15" s="3190"/>
      <c r="J15" s="3193"/>
    </row>
    <row r="16" spans="1:10" ht="16.5">
      <c r="A16" s="3188" t="s">
        <v>2841</v>
      </c>
      <c r="B16" s="3190"/>
      <c r="C16" s="3190"/>
      <c r="D16" s="3190"/>
      <c r="E16" s="3189" t="e">
        <f t="shared" si="2"/>
        <v>#DIV/0!</v>
      </c>
      <c r="F16" s="3189" t="e">
        <f t="shared" si="3"/>
        <v>#DIV/0!</v>
      </c>
      <c r="G16" s="2755"/>
      <c r="H16" s="2755"/>
      <c r="I16" s="3190"/>
      <c r="J16" s="3193"/>
    </row>
    <row r="17" spans="1:10" ht="16.5">
      <c r="A17" s="3188" t="s">
        <v>2842</v>
      </c>
      <c r="B17" s="3190"/>
      <c r="C17" s="3190"/>
      <c r="D17" s="3190"/>
      <c r="E17" s="3189" t="e">
        <f t="shared" si="2"/>
        <v>#DIV/0!</v>
      </c>
      <c r="F17" s="3189" t="e">
        <f t="shared" si="3"/>
        <v>#DIV/0!</v>
      </c>
      <c r="G17" s="2755"/>
      <c r="H17" s="2755"/>
      <c r="I17" s="3190"/>
      <c r="J17" s="3193"/>
    </row>
    <row r="18" spans="1:10" ht="16.5">
      <c r="A18" s="3188" t="s">
        <v>2843</v>
      </c>
      <c r="B18" s="3190"/>
      <c r="C18" s="3190"/>
      <c r="D18" s="3190"/>
      <c r="E18" s="3189" t="e">
        <f t="shared" si="2"/>
        <v>#DIV/0!</v>
      </c>
      <c r="F18" s="3189" t="e">
        <f t="shared" si="3"/>
        <v>#DIV/0!</v>
      </c>
      <c r="G18" s="3190"/>
      <c r="H18" s="3190"/>
      <c r="I18" s="3190"/>
      <c r="J18" s="3193"/>
    </row>
    <row r="19" spans="1:10" ht="16.5">
      <c r="A19" s="3188" t="s">
        <v>2844</v>
      </c>
      <c r="B19" s="3190"/>
      <c r="C19" s="3190"/>
      <c r="D19" s="3190"/>
      <c r="E19" s="3189" t="e">
        <f t="shared" si="2"/>
        <v>#DIV/0!</v>
      </c>
      <c r="F19" s="3189" t="e">
        <f t="shared" si="3"/>
        <v>#DIV/0!</v>
      </c>
      <c r="G19" s="3190"/>
      <c r="H19" s="3190"/>
      <c r="I19" s="3190"/>
      <c r="J19" s="3193"/>
    </row>
    <row r="20" spans="1:10" ht="16.5">
      <c r="A20" s="3188" t="s">
        <v>2845</v>
      </c>
      <c r="B20" s="3190"/>
      <c r="C20" s="3190"/>
      <c r="D20" s="3190"/>
      <c r="E20" s="3189" t="e">
        <f t="shared" si="2"/>
        <v>#DIV/0!</v>
      </c>
      <c r="F20" s="3189" t="e">
        <f t="shared" si="3"/>
        <v>#DIV/0!</v>
      </c>
      <c r="G20" s="3190"/>
      <c r="H20" s="3190"/>
      <c r="I20" s="3190"/>
      <c r="J20" s="3193"/>
    </row>
    <row r="21" spans="1:10" ht="16.5">
      <c r="A21" s="3188" t="s">
        <v>2846</v>
      </c>
      <c r="B21" s="3190"/>
      <c r="C21" s="3190"/>
      <c r="D21" s="3190"/>
      <c r="E21" s="3189" t="e">
        <f t="shared" si="2"/>
        <v>#DIV/0!</v>
      </c>
      <c r="F21" s="3189" t="e">
        <f t="shared" si="3"/>
        <v>#DIV/0!</v>
      </c>
      <c r="G21" s="3190"/>
      <c r="H21" s="3190"/>
      <c r="I21" s="3190"/>
      <c r="J21" s="3193"/>
    </row>
    <row r="22" spans="1:10" ht="16.5">
      <c r="A22" s="3188" t="s">
        <v>2847</v>
      </c>
      <c r="B22" s="3190"/>
      <c r="C22" s="3190"/>
      <c r="D22" s="3190"/>
      <c r="E22" s="3189" t="e">
        <f t="shared" si="2"/>
        <v>#DIV/0!</v>
      </c>
      <c r="F22" s="3189" t="e">
        <f t="shared" si="3"/>
        <v>#DIV/0!</v>
      </c>
      <c r="G22" s="3190"/>
      <c r="H22" s="3190"/>
      <c r="I22" s="3190"/>
      <c r="J22" s="3193"/>
    </row>
    <row r="23" spans="1:10" ht="16.5">
      <c r="A23" s="3188" t="s">
        <v>2848</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5" zoomScaleNormal="100" zoomScaleSheetLayoutView="85" zoomScalePageLayoutView="80" workbookViewId="0">
      <selection activeCell="A33" sqref="A3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57" t="str">
        <f>项目基本情况!K2</f>
        <v>出让国有建设用地使用权</v>
      </c>
      <c r="B2" s="3458"/>
      <c r="C2" s="3459"/>
      <c r="D2" s="3459"/>
      <c r="E2" s="3459"/>
      <c r="F2" s="3459"/>
      <c r="G2" s="3458"/>
      <c r="H2" s="3458"/>
      <c r="I2" s="3460"/>
      <c r="J2" s="1913"/>
      <c r="K2" s="1912"/>
      <c r="L2" s="1912"/>
      <c r="M2" s="1912"/>
      <c r="N2" s="1912"/>
      <c r="O2" s="1912"/>
      <c r="P2" s="1912"/>
      <c r="Q2" s="1912"/>
      <c r="R2" s="1912"/>
      <c r="S2" s="1912"/>
      <c r="T2" s="1912"/>
      <c r="U2" s="1912"/>
      <c r="V2" s="1912"/>
    </row>
    <row r="3" spans="1:22" ht="14.25">
      <c r="A3" s="3450" t="s">
        <v>298</v>
      </c>
      <c r="B3" s="3451"/>
      <c r="C3" s="3451"/>
      <c r="D3" s="3451"/>
      <c r="E3" s="3451"/>
      <c r="F3" s="3451"/>
      <c r="G3" s="3451"/>
      <c r="H3" s="3451"/>
      <c r="I3" s="3451"/>
      <c r="J3" s="1913"/>
      <c r="K3" s="1912"/>
      <c r="L3" s="1912"/>
      <c r="M3" s="1912"/>
      <c r="N3" s="1912"/>
      <c r="O3" s="1912"/>
      <c r="P3" s="1912"/>
      <c r="Q3" s="1912"/>
      <c r="R3" s="1912"/>
      <c r="S3" s="1912"/>
      <c r="T3" s="1912"/>
      <c r="U3" s="1912"/>
      <c r="V3" s="1912"/>
    </row>
    <row r="4" spans="1:22" ht="14.25">
      <c r="A4" s="256" t="s">
        <v>299</v>
      </c>
      <c r="B4" s="257" t="s">
        <v>300</v>
      </c>
      <c r="C4" s="258" t="s">
        <v>3067</v>
      </c>
      <c r="D4" s="258" t="s">
        <v>3068</v>
      </c>
      <c r="E4" s="3416" t="s">
        <v>301</v>
      </c>
      <c r="F4" s="3417"/>
      <c r="G4" s="3417"/>
      <c r="H4" s="3417"/>
      <c r="I4" s="3452"/>
      <c r="J4" s="1913"/>
      <c r="K4" s="1912"/>
      <c r="L4" s="3194"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15" t="s">
        <v>302</v>
      </c>
      <c r="B5" s="3444">
        <v>25</v>
      </c>
      <c r="C5" s="3442"/>
      <c r="D5" s="3446"/>
      <c r="E5" s="259" t="s">
        <v>303</v>
      </c>
      <c r="F5" s="260"/>
      <c r="G5" s="260"/>
      <c r="H5" s="260"/>
      <c r="I5" s="261"/>
      <c r="J5" s="1913"/>
      <c r="K5" s="1912"/>
      <c r="L5" s="1912"/>
      <c r="M5" s="1912"/>
      <c r="N5" s="1912"/>
      <c r="O5" s="1912"/>
      <c r="P5" s="1912"/>
      <c r="Q5" s="1912"/>
      <c r="R5" s="1912"/>
      <c r="S5" s="1912"/>
      <c r="T5" s="1912"/>
      <c r="U5" s="1912"/>
      <c r="V5" s="1912"/>
    </row>
    <row r="6" spans="1:22" ht="14.25">
      <c r="A6" s="3415"/>
      <c r="B6" s="3444"/>
      <c r="C6" s="3445"/>
      <c r="D6" s="3446"/>
      <c r="E6" s="259" t="s">
        <v>304</v>
      </c>
      <c r="F6" s="260"/>
      <c r="G6" s="260"/>
      <c r="H6" s="260"/>
      <c r="I6" s="261"/>
      <c r="J6" s="1913"/>
      <c r="K6" s="1912"/>
      <c r="L6" s="1912"/>
      <c r="M6" s="1912"/>
      <c r="N6" s="1912"/>
      <c r="O6" s="1912"/>
      <c r="P6" s="1912"/>
      <c r="Q6" s="1912"/>
      <c r="R6" s="1912"/>
      <c r="S6" s="1912"/>
      <c r="T6" s="1912"/>
      <c r="U6" s="1912"/>
      <c r="V6" s="1912"/>
    </row>
    <row r="7" spans="1:22" ht="14.25">
      <c r="A7" s="3415"/>
      <c r="B7" s="3444"/>
      <c r="C7" s="3443"/>
      <c r="D7" s="3446"/>
      <c r="E7" s="259" t="s">
        <v>305</v>
      </c>
      <c r="F7" s="260"/>
      <c r="G7" s="260"/>
      <c r="H7" s="260"/>
      <c r="I7" s="261"/>
      <c r="J7" s="1913"/>
      <c r="K7" s="1912"/>
      <c r="L7" s="1912"/>
      <c r="M7" s="1912"/>
      <c r="N7" s="1912"/>
      <c r="O7" s="1912"/>
      <c r="P7" s="1912"/>
      <c r="Q7" s="1912"/>
      <c r="R7" s="1912"/>
      <c r="S7" s="1912"/>
      <c r="T7" s="1912"/>
      <c r="U7" s="1912"/>
      <c r="V7" s="1912"/>
    </row>
    <row r="8" spans="1:22" ht="14.25">
      <c r="A8" s="3415" t="s">
        <v>306</v>
      </c>
      <c r="B8" s="3444">
        <v>15</v>
      </c>
      <c r="C8" s="3442"/>
      <c r="D8" s="3446"/>
      <c r="E8" s="259" t="s">
        <v>307</v>
      </c>
      <c r="F8" s="260"/>
      <c r="G8" s="260"/>
      <c r="H8" s="260"/>
      <c r="I8" s="261"/>
      <c r="J8" s="1913"/>
      <c r="K8" s="1912"/>
      <c r="L8" s="1912"/>
      <c r="M8" s="1912"/>
      <c r="N8" s="1912"/>
      <c r="O8" s="1912"/>
      <c r="P8" s="1912"/>
      <c r="Q8" s="1912"/>
      <c r="R8" s="1912"/>
      <c r="S8" s="1912"/>
      <c r="T8" s="1912"/>
      <c r="U8" s="1912"/>
      <c r="V8" s="1912"/>
    </row>
    <row r="9" spans="1:22" ht="14.25">
      <c r="A9" s="3415"/>
      <c r="B9" s="3444"/>
      <c r="C9" s="3443"/>
      <c r="D9" s="3446"/>
      <c r="E9" s="259" t="s">
        <v>308</v>
      </c>
      <c r="F9" s="260"/>
      <c r="G9" s="260"/>
      <c r="H9" s="260"/>
      <c r="I9" s="261"/>
      <c r="J9" s="1913"/>
      <c r="K9" s="1912"/>
      <c r="L9" s="1912"/>
      <c r="M9" s="1912"/>
      <c r="N9" s="1912"/>
      <c r="O9" s="1912"/>
      <c r="P9" s="1912"/>
      <c r="Q9" s="1912"/>
      <c r="R9" s="1912"/>
      <c r="S9" s="1912"/>
      <c r="T9" s="1912"/>
      <c r="U9" s="1912"/>
      <c r="V9" s="1912"/>
    </row>
    <row r="10" spans="1:22" ht="14.25">
      <c r="A10" s="3415" t="s">
        <v>309</v>
      </c>
      <c r="B10" s="3444">
        <v>15</v>
      </c>
      <c r="C10" s="3442"/>
      <c r="D10" s="3446"/>
      <c r="E10" s="259" t="s">
        <v>310</v>
      </c>
      <c r="F10" s="260"/>
      <c r="G10" s="260"/>
      <c r="H10" s="260"/>
      <c r="I10" s="261"/>
      <c r="J10" s="1913"/>
      <c r="K10" s="1912"/>
      <c r="L10" s="1912"/>
      <c r="M10" s="1912"/>
      <c r="N10" s="1912"/>
      <c r="O10" s="1912"/>
      <c r="P10" s="1912"/>
      <c r="Q10" s="1912"/>
      <c r="R10" s="1912"/>
      <c r="S10" s="1912"/>
      <c r="T10" s="1912"/>
      <c r="U10" s="1912"/>
      <c r="V10" s="1912"/>
    </row>
    <row r="11" spans="1:22" ht="14.25">
      <c r="A11" s="3415"/>
      <c r="B11" s="3444"/>
      <c r="C11" s="3443"/>
      <c r="D11" s="3446"/>
      <c r="E11" s="259" t="s">
        <v>311</v>
      </c>
      <c r="F11" s="260"/>
      <c r="G11" s="260"/>
      <c r="H11" s="260"/>
      <c r="I11" s="261"/>
      <c r="J11" s="1913"/>
      <c r="K11" s="1912"/>
      <c r="L11" s="1912"/>
      <c r="M11" s="1912"/>
      <c r="N11" s="1912"/>
      <c r="O11" s="1912"/>
      <c r="P11" s="1912"/>
      <c r="Q11" s="1912"/>
      <c r="R11" s="1912"/>
      <c r="S11" s="1912"/>
      <c r="T11" s="1912"/>
      <c r="U11" s="1912"/>
      <c r="V11" s="1912"/>
    </row>
    <row r="12" spans="1:22" ht="14.25">
      <c r="A12" s="3415" t="s">
        <v>312</v>
      </c>
      <c r="B12" s="3444">
        <v>15</v>
      </c>
      <c r="C12" s="3442"/>
      <c r="D12" s="3446"/>
      <c r="E12" s="259" t="s">
        <v>313</v>
      </c>
      <c r="F12" s="260"/>
      <c r="G12" s="260"/>
      <c r="H12" s="260"/>
      <c r="I12" s="261"/>
      <c r="J12" s="1913"/>
      <c r="K12" s="1912"/>
      <c r="L12" s="1912"/>
      <c r="M12" s="1912"/>
      <c r="N12" s="1912"/>
      <c r="O12" s="1912"/>
      <c r="P12" s="1912"/>
      <c r="Q12" s="1912"/>
      <c r="R12" s="1912"/>
      <c r="S12" s="1912"/>
      <c r="T12" s="1912"/>
      <c r="U12" s="1912"/>
      <c r="V12" s="1912"/>
    </row>
    <row r="13" spans="1:22" ht="14.25">
      <c r="A13" s="3415"/>
      <c r="B13" s="3444"/>
      <c r="C13" s="3443"/>
      <c r="D13" s="3446"/>
      <c r="E13" s="259" t="s">
        <v>314</v>
      </c>
      <c r="F13" s="260"/>
      <c r="G13" s="260"/>
      <c r="H13" s="260"/>
      <c r="I13" s="261"/>
      <c r="J13" s="1913"/>
      <c r="K13" s="1912"/>
      <c r="L13" s="1912"/>
      <c r="M13" s="1912"/>
      <c r="N13" s="1912"/>
      <c r="O13" s="1912"/>
      <c r="P13" s="1912"/>
      <c r="Q13" s="1912"/>
      <c r="R13" s="1912"/>
      <c r="S13" s="1912"/>
      <c r="T13" s="1912"/>
      <c r="U13" s="1912"/>
      <c r="V13" s="1912"/>
    </row>
    <row r="14" spans="1:22" ht="14.25">
      <c r="A14" s="3415" t="s">
        <v>315</v>
      </c>
      <c r="B14" s="3444">
        <v>30</v>
      </c>
      <c r="C14" s="3442">
        <v>5</v>
      </c>
      <c r="D14" s="3446">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15"/>
      <c r="B15" s="3444"/>
      <c r="C15" s="3445"/>
      <c r="D15" s="3446"/>
      <c r="E15" s="259" t="s">
        <v>317</v>
      </c>
      <c r="F15" s="260"/>
      <c r="G15" s="260"/>
      <c r="H15" s="260"/>
      <c r="I15" s="261"/>
      <c r="J15" s="1913"/>
      <c r="K15" s="1912"/>
      <c r="L15" s="1912"/>
      <c r="M15" s="1912"/>
      <c r="N15" s="1912"/>
      <c r="O15" s="1912"/>
      <c r="P15" s="1912"/>
      <c r="Q15" s="1912"/>
      <c r="R15" s="1912"/>
      <c r="S15" s="1912"/>
      <c r="T15" s="1912"/>
      <c r="U15" s="1912"/>
      <c r="V15" s="1912"/>
    </row>
    <row r="16" spans="1:22" ht="14.25">
      <c r="A16" s="3415"/>
      <c r="B16" s="3444"/>
      <c r="C16" s="3443"/>
      <c r="D16" s="3446"/>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47" t="s">
        <v>2964</v>
      </c>
      <c r="F18" s="3448"/>
      <c r="G18" s="3448"/>
      <c r="H18" s="3448"/>
      <c r="I18" s="3448"/>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38987</v>
      </c>
      <c r="D19" s="269">
        <f ca="1">SUMIF(INDIRECT("'"&amp;D4&amp;"'"&amp;"!A:A"),结果表!B19,INDIRECT("'"&amp;D4&amp;"'"&amp;"!B:B"))</f>
        <v>39794</v>
      </c>
      <c r="E19" s="266" t="s">
        <v>323</v>
      </c>
      <c r="F19" s="267" t="s">
        <v>322</v>
      </c>
      <c r="G19" s="270">
        <f ca="1">ROUND(C19*$C$18+D19*$D$18,0)</f>
        <v>39391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340</v>
      </c>
      <c r="D20" s="275">
        <f ca="1">SUMIF(INDIRECT("'"&amp;D4&amp;"'"&amp;"!A:A"),结果表!B20,INDIRECT("'"&amp;D4&amp;"'"&amp;"!B:B"))</f>
        <v>347</v>
      </c>
      <c r="E20" s="272"/>
      <c r="F20" s="273" t="s">
        <v>325</v>
      </c>
      <c r="G20" s="276">
        <f ca="1">ROUND(C20*$C$18+D20*$D$18,0)</f>
        <v>344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1462</v>
      </c>
      <c r="D21" s="149">
        <f ca="1">SUMIF(INDIRECT("'"&amp;D4&amp;"'"&amp;"!A:A"),结果表!B21,INDIRECT("'"&amp;D4&amp;"'"&amp;"!B:B"))</f>
        <v>1492</v>
      </c>
      <c r="E21" s="272"/>
      <c r="F21" s="278" t="s">
        <v>327</v>
      </c>
      <c r="G21" s="280">
        <f ca="1">ROUND(C21*$C$18+D21*$D$18,0)</f>
        <v>1477</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2.069920742811715E-2</v>
      </c>
      <c r="E22" s="282"/>
      <c r="F22" s="283"/>
      <c r="G22" s="284">
        <f ca="1">ROUND(G19/('数据-汇总表'!D3/666.67),0)</f>
        <v>98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1" t="s">
        <v>330</v>
      </c>
      <c r="B24" s="267" t="s">
        <v>322</v>
      </c>
      <c r="C24" s="286">
        <f>IF(B30=0,0,D30)</f>
        <v>267</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22"/>
      <c r="B25" s="1275" t="s">
        <v>331</v>
      </c>
      <c r="C25" s="288">
        <f>IF(B30=0,0,C30)</f>
        <v>0</v>
      </c>
      <c r="D25" s="289"/>
      <c r="E25" s="309"/>
      <c r="F25" s="309"/>
      <c r="G25" s="309"/>
      <c r="H25" s="309"/>
      <c r="I25" s="309"/>
      <c r="J25" s="1912"/>
      <c r="K25" s="1209" t="str">
        <f ca="1">项目基本情况!B16&amp;"国有建设用地使用权价格："&amp;O38&amp;"万元"</f>
        <v>出让国有建设用地使用权价格：39124万元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大写金额：人民币叁亿玖仟壹佰贰拾肆万元整</v>
      </c>
      <c r="L26" s="1206"/>
      <c r="M26" s="1206"/>
      <c r="N26" s="1206"/>
      <c r="O26" s="1205"/>
      <c r="P26" s="1912"/>
      <c r="Q26" s="1912"/>
      <c r="R26" s="1912"/>
      <c r="S26" s="1912"/>
      <c r="T26" s="1912"/>
      <c r="U26" s="1912"/>
      <c r="V26" s="1912"/>
      <c r="W26" s="290"/>
      <c r="X26" s="290"/>
      <c r="Y26" s="290"/>
      <c r="Z26" s="290"/>
    </row>
    <row r="27" spans="1:26" ht="18">
      <c r="A27" s="291"/>
      <c r="B27" s="292">
        <f>'数据-汇总表'!D3</f>
        <v>266666.3</v>
      </c>
      <c r="C27" s="292">
        <v>10</v>
      </c>
      <c r="D27" s="293">
        <f>ROUND(C27*B27/10000,0)</f>
        <v>267</v>
      </c>
      <c r="E27" s="309"/>
      <c r="F27" s="309"/>
      <c r="G27" s="309"/>
      <c r="H27" s="309"/>
      <c r="I27" s="309"/>
      <c r="J27" s="1912"/>
      <c r="K27" s="1212" t="str">
        <f ca="1">"单位面积地价："&amp;M38&amp;"元/平方米"</f>
        <v>单位面积地价：1467元/平方米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楼面地价：341元/平方米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抵押价格：39124万元</v>
      </c>
      <c r="L29" s="1206"/>
      <c r="M29" s="1206"/>
      <c r="N29" s="1206"/>
      <c r="O29" s="1205"/>
      <c r="P29" s="1912"/>
      <c r="V29" s="1912"/>
    </row>
    <row r="30" spans="1:26" ht="18.75" thickBot="1">
      <c r="A30" s="2798" t="s">
        <v>336</v>
      </c>
      <c r="B30" s="307">
        <f>B27</f>
        <v>266666.3</v>
      </c>
      <c r="C30" s="307"/>
      <c r="D30" s="308">
        <f>D27</f>
        <v>267</v>
      </c>
      <c r="E30" s="3001" t="s">
        <v>2965</v>
      </c>
      <c r="F30" s="309"/>
      <c r="G30" s="309"/>
      <c r="H30" s="309"/>
      <c r="I30" s="309"/>
      <c r="J30" s="1912"/>
      <c r="K30" s="1212" t="str">
        <f ca="1">IF(K29="——","——","大写金额：人民币"&amp;NUMBERSTRING(INT(O39*10000),2)&amp;"元整")</f>
        <v>大写金额：人民币叁亿玖仟壹佰贰拾肆万元整</v>
      </c>
      <c r="L30" s="1206"/>
      <c r="M30" s="1206"/>
      <c r="N30" s="1206"/>
      <c r="O30" s="1205"/>
      <c r="P30" s="1912"/>
      <c r="V30" s="1912"/>
    </row>
    <row r="31" spans="1:26" ht="24" customHeight="1" thickBot="1">
      <c r="A31" s="3449" t="s">
        <v>2966</v>
      </c>
      <c r="B31" s="3449"/>
      <c r="C31" s="3449"/>
      <c r="D31" s="3449"/>
      <c r="E31" s="3449"/>
      <c r="F31" s="3449"/>
      <c r="G31" s="3449"/>
      <c r="H31" s="3449"/>
      <c r="I31" s="3449"/>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2" t="s">
        <v>1679</v>
      </c>
      <c r="C32" s="264">
        <f ca="1">G19-C24</f>
        <v>39124</v>
      </c>
      <c r="D32" s="3003"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341</v>
      </c>
      <c r="D33" s="1334" t="s">
        <v>1682</v>
      </c>
      <c r="E33" s="3421" t="s">
        <v>338</v>
      </c>
      <c r="F33" s="294" t="s">
        <v>339</v>
      </c>
      <c r="G33" s="295"/>
      <c r="H33" s="968"/>
      <c r="I33" s="1213"/>
      <c r="J33" s="1912"/>
      <c r="K33" s="1212" t="str">
        <f ca="1">IF(项目基本情况!E9="——","——","抵押净值："&amp;C46&amp;"万元")</f>
        <v>抵押净值：37055万元</v>
      </c>
      <c r="L33" s="1206"/>
      <c r="M33" s="1206"/>
      <c r="N33" s="1206"/>
      <c r="O33" s="1205"/>
      <c r="P33" s="1912"/>
      <c r="V33" s="1912"/>
    </row>
    <row r="34" spans="1:26" s="1208" customFormat="1" ht="18.75" thickBot="1">
      <c r="A34" s="298"/>
      <c r="B34" s="1335" t="s">
        <v>1683</v>
      </c>
      <c r="C34" s="262">
        <f ca="1">ROUND(C32*10000/'数据-汇总表'!D3,0)</f>
        <v>1467</v>
      </c>
      <c r="D34" s="1336" t="s">
        <v>1682</v>
      </c>
      <c r="E34" s="3465"/>
      <c r="F34" s="127" t="s">
        <v>341</v>
      </c>
      <c r="G34" s="297"/>
      <c r="H34" s="105"/>
      <c r="I34" s="309"/>
      <c r="J34" s="1912"/>
      <c r="K34" s="1215" t="str">
        <f ca="1">IF(K33="——","——","大写金额：人民币"&amp;NUMBERSTRING(INT(O41*10000),2)&amp;"元整")</f>
        <v>大写金额：人民币叁亿柒仟零伍拾伍万元整</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98</v>
      </c>
      <c r="D35" s="1339" t="s">
        <v>1684</v>
      </c>
      <c r="E35" s="3466"/>
      <c r="F35" s="299" t="s">
        <v>342</v>
      </c>
      <c r="G35" s="970"/>
      <c r="H35" s="969" t="s">
        <v>343</v>
      </c>
      <c r="I35" s="309"/>
      <c r="J35" s="1912"/>
      <c r="K35" s="3439" t="s">
        <v>350</v>
      </c>
      <c r="L35" s="3439" t="s">
        <v>351</v>
      </c>
      <c r="M35" s="1218" t="s">
        <v>352</v>
      </c>
      <c r="N35" s="3439" t="s">
        <v>353</v>
      </c>
      <c r="O35" s="3439" t="s">
        <v>354</v>
      </c>
      <c r="P35" s="1912"/>
      <c r="V35" s="1912"/>
    </row>
    <row r="36" spans="1:26" ht="16.5" customHeight="1">
      <c r="A36" s="301" t="s">
        <v>344</v>
      </c>
      <c r="B36" s="302" t="s">
        <v>333</v>
      </c>
      <c r="C36" s="303" t="s">
        <v>345</v>
      </c>
      <c r="D36" s="303" t="s">
        <v>346</v>
      </c>
      <c r="E36" s="304" t="s">
        <v>347</v>
      </c>
      <c r="F36" s="309"/>
      <c r="G36" s="309"/>
      <c r="H36" s="309"/>
      <c r="I36" s="309"/>
      <c r="J36" s="1914"/>
      <c r="K36" s="3440"/>
      <c r="L36" s="3440"/>
      <c r="M36" s="1220" t="s">
        <v>355</v>
      </c>
      <c r="N36" s="3440"/>
      <c r="O36" s="3440"/>
      <c r="P36" s="1912"/>
      <c r="V36" s="1912"/>
    </row>
    <row r="37" spans="1:26" ht="16.5" customHeight="1" thickBot="1">
      <c r="A37" s="1214" t="s">
        <v>348</v>
      </c>
      <c r="B37" s="305"/>
      <c r="C37" s="292"/>
      <c r="D37" s="292"/>
      <c r="E37" s="293"/>
      <c r="F37" s="309"/>
      <c r="G37" s="309"/>
      <c r="H37" s="309"/>
      <c r="I37" s="309"/>
      <c r="J37" s="1914"/>
      <c r="K37" s="3441"/>
      <c r="L37" s="3441"/>
      <c r="M37" s="1221"/>
      <c r="N37" s="3441"/>
      <c r="O37" s="3441"/>
      <c r="P37" s="1912"/>
      <c r="V37" s="1912"/>
    </row>
    <row r="38" spans="1:26" ht="16.5" customHeight="1" thickBot="1">
      <c r="A38" s="1214" t="s">
        <v>349</v>
      </c>
      <c r="B38" s="305"/>
      <c r="C38" s="292"/>
      <c r="D38" s="292"/>
      <c r="E38" s="293"/>
      <c r="F38" s="309"/>
      <c r="G38" s="309"/>
      <c r="H38" s="309"/>
      <c r="I38" s="309"/>
      <c r="J38" s="1914"/>
      <c r="K38" s="1222">
        <f>'数据-汇总表'!D3</f>
        <v>266666.3</v>
      </c>
      <c r="L38" s="1223">
        <f>'数据-汇总表'!E3</f>
        <v>1146665.0900000001</v>
      </c>
      <c r="M38" s="1223">
        <f ca="1">C34</f>
        <v>1467</v>
      </c>
      <c r="N38" s="1223">
        <f ca="1">C33</f>
        <v>341</v>
      </c>
      <c r="O38" s="1224">
        <f ca="1">C32</f>
        <v>39124</v>
      </c>
      <c r="P38" s="1912"/>
      <c r="V38" s="1912"/>
    </row>
    <row r="39" spans="1:26" ht="16.5" customHeight="1" thickBot="1">
      <c r="A39" s="1219"/>
      <c r="B39" s="306"/>
      <c r="C39" s="307"/>
      <c r="D39" s="307"/>
      <c r="E39" s="308"/>
      <c r="F39" s="309"/>
      <c r="G39" s="309"/>
      <c r="H39" s="309"/>
      <c r="I39" s="309"/>
      <c r="J39" s="1914"/>
      <c r="K39" s="3479" t="str">
        <f>MID(A44,3,LEN(A44)-2)</f>
        <v>抵押价格</v>
      </c>
      <c r="L39" s="3480"/>
      <c r="M39" s="3480"/>
      <c r="N39" s="3481"/>
      <c r="O39" s="1341">
        <f ca="1">C44</f>
        <v>39124</v>
      </c>
      <c r="P39" s="1912"/>
      <c r="V39" s="1912"/>
    </row>
    <row r="40" spans="1:26" ht="19.5" thickBot="1">
      <c r="A40" s="104" t="s">
        <v>864</v>
      </c>
      <c r="B40" s="309"/>
      <c r="C40" s="309"/>
      <c r="D40" s="309"/>
      <c r="E40" s="309"/>
      <c r="F40" s="309"/>
      <c r="G40" s="309"/>
      <c r="H40" s="309"/>
      <c r="I40" s="309"/>
      <c r="J40" s="1914"/>
      <c r="K40" s="3479" t="str">
        <f t="shared" ref="K40:K41" si="0">MID(A45,3,LEN(A45)-2)</f>
        <v/>
      </c>
      <c r="L40" s="3480"/>
      <c r="M40" s="3480"/>
      <c r="N40" s="3481"/>
      <c r="O40" s="1341" t="str">
        <f>C45</f>
        <v>——</v>
      </c>
      <c r="P40" s="1912"/>
      <c r="V40" s="1912"/>
    </row>
    <row r="41" spans="1:26" ht="16.5" thickBot="1">
      <c r="A41" s="310" t="s">
        <v>356</v>
      </c>
      <c r="B41" s="311"/>
      <c r="C41" s="312" t="s">
        <v>357</v>
      </c>
      <c r="D41" s="313" t="s">
        <v>358</v>
      </c>
      <c r="E41" s="313" t="s">
        <v>359</v>
      </c>
      <c r="F41" s="314" t="s">
        <v>360</v>
      </c>
      <c r="G41" s="309"/>
      <c r="H41" s="309"/>
      <c r="I41" s="309"/>
      <c r="J41" s="1914"/>
      <c r="K41" s="3479" t="str">
        <f t="shared" si="0"/>
        <v>抵押净值</v>
      </c>
      <c r="L41" s="3480"/>
      <c r="M41" s="3480"/>
      <c r="N41" s="3481"/>
      <c r="O41" s="1341">
        <f ca="1">C46</f>
        <v>37055</v>
      </c>
      <c r="P41" s="1912"/>
      <c r="V41" s="1912"/>
    </row>
    <row r="42" spans="1:26" ht="29.25">
      <c r="A42" s="3423" t="s">
        <v>2056</v>
      </c>
      <c r="B42" s="3424"/>
      <c r="C42" s="262">
        <f ca="1">C32</f>
        <v>39124</v>
      </c>
      <c r="D42" s="315">
        <f ca="1">C33</f>
        <v>341</v>
      </c>
      <c r="E42" s="315">
        <f ca="1">C34</f>
        <v>1467</v>
      </c>
      <c r="F42" s="316">
        <f ca="1">C35</f>
        <v>98</v>
      </c>
      <c r="G42" s="309"/>
      <c r="H42" s="309"/>
      <c r="I42" s="317"/>
      <c r="J42" s="1914"/>
      <c r="K42" s="1225" t="s">
        <v>361</v>
      </c>
      <c r="L42" s="1931" t="s">
        <v>362</v>
      </c>
      <c r="M42" s="1226" t="s">
        <v>363</v>
      </c>
      <c r="N42" s="1932" t="s">
        <v>364</v>
      </c>
      <c r="O42" s="1933" t="s">
        <v>365</v>
      </c>
      <c r="P42" s="1912"/>
      <c r="V42" s="1912"/>
    </row>
    <row r="43" spans="1:26" ht="30">
      <c r="A43" s="3434" t="s">
        <v>2710</v>
      </c>
      <c r="B43" s="3435"/>
      <c r="C43" s="262">
        <f>IF(H33="正常操作",G33+G34+G35,G34+G35)</f>
        <v>0</v>
      </c>
      <c r="D43" s="315" t="s">
        <v>43</v>
      </c>
      <c r="E43" s="315" t="s">
        <v>44</v>
      </c>
      <c r="F43" s="316" t="s">
        <v>44</v>
      </c>
      <c r="G43" s="2583" t="s">
        <v>943</v>
      </c>
      <c r="H43" s="309"/>
      <c r="I43" s="317"/>
      <c r="J43" s="1914"/>
      <c r="K43" s="1227" t="str">
        <f>C4</f>
        <v>比较法-住宅、综合</v>
      </c>
      <c r="L43" s="1228">
        <f ca="1">IF(L42="估价结果/万元",C19,C20)</f>
        <v>38987</v>
      </c>
      <c r="M43" s="1229">
        <f>C18</f>
        <v>0.5</v>
      </c>
      <c r="N43" s="1230">
        <f ca="1">IF(N42="测算结果/万元",G19,G20)</f>
        <v>39391</v>
      </c>
      <c r="O43" s="1231">
        <f ca="1">IF(O42="最终结果/万元",C32,C33)</f>
        <v>39124</v>
      </c>
      <c r="P43" s="1912"/>
      <c r="V43" s="1912"/>
    </row>
    <row r="44" spans="1:26" ht="30.75" thickBot="1">
      <c r="A44" s="3423" t="str">
        <f>IF(OR(项目基本情况!E8="抵押价格",项目基本情况!E8="已注销及未注销"),"3.抵押价格","——")</f>
        <v>3.抵押价格</v>
      </c>
      <c r="B44" s="3424"/>
      <c r="C44" s="262">
        <f ca="1">IF(A44="——","——",C42-C43)</f>
        <v>39124</v>
      </c>
      <c r="D44" s="315">
        <f ca="1">ROUND(C44*10000/'数据-汇总表'!E3,0)</f>
        <v>341</v>
      </c>
      <c r="E44" s="315">
        <f ca="1">ROUND(C44*10000/'数据-汇总表'!D3,0)</f>
        <v>1467</v>
      </c>
      <c r="F44" s="316">
        <f ca="1">ROUND(C44/('数据-汇总表'!D3/666.67),0)</f>
        <v>98</v>
      </c>
      <c r="G44" s="309"/>
      <c r="H44" s="309"/>
      <c r="I44" s="317"/>
      <c r="J44" s="1914"/>
      <c r="K44" s="1232" t="str">
        <f>D4</f>
        <v>剩余法-待开发</v>
      </c>
      <c r="L44" s="1233">
        <f ca="1">IF(L42="估价结果/万元",D19,D20)</f>
        <v>39794</v>
      </c>
      <c r="M44" s="1234">
        <f>D18</f>
        <v>0.5</v>
      </c>
      <c r="N44" s="1235"/>
      <c r="O44" s="1236"/>
      <c r="P44" s="1912"/>
      <c r="V44" s="1912"/>
    </row>
    <row r="45" spans="1:26" ht="15">
      <c r="A45" s="3429" t="str">
        <f>IF(项目基本情况!E8="已注销及未注销","4.抵押担保权已注销时的抵押价格",IF(项目基本情况!E8="已注销","3.抵押担保权已注销时的抵押价格","——"))</f>
        <v>——</v>
      </c>
      <c r="B45" s="3430"/>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25" t="str">
        <f>IF(项目基本情况!E9="抵押净值",IF(A45="——","4.抵押净值","5.抵押净值"),"——")</f>
        <v>4.抵押净值</v>
      </c>
      <c r="B46" s="3426"/>
      <c r="C46" s="318">
        <f ca="1">IF(A46="——","——",O79)</f>
        <v>37055</v>
      </c>
      <c r="D46" s="315">
        <f ca="1">ROUND(C46*10000/'数据-汇总表'!E3,0)</f>
        <v>323</v>
      </c>
      <c r="E46" s="315">
        <f ca="1">ROUND(C46*10000/'数据-汇总表'!D3,0)</f>
        <v>1390</v>
      </c>
      <c r="F46" s="316">
        <f ca="1">ROUND(C46/('数据-汇总表'!D3/666.67),0)</f>
        <v>93</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73" t="s">
        <v>374</v>
      </c>
      <c r="B63" s="3474"/>
      <c r="C63" s="3475"/>
      <c r="D63" s="339">
        <f ca="1">ROUND(C42*F63,0)</f>
        <v>39124</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31" t="s">
        <v>378</v>
      </c>
      <c r="B64" s="3432"/>
      <c r="C64" s="3432"/>
      <c r="D64" s="3432"/>
      <c r="E64" s="3432"/>
      <c r="F64" s="3432"/>
      <c r="G64" s="3433"/>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27" t="s">
        <v>386</v>
      </c>
      <c r="B66" s="3428"/>
      <c r="C66" s="3428"/>
      <c r="D66" s="259">
        <f ca="1">IF(H66="情况1",0,IF(H66="情况2",D70,IF(H66="情况3",D71,IF(H66="情况4",D72))))</f>
        <v>2049</v>
      </c>
      <c r="E66" s="981" t="str">
        <f>IF(H66="情况4","(销售额-原购置价)×税（费）率","销售额×税（费）率")</f>
        <v>销售额×税（费）率</v>
      </c>
      <c r="F66" s="348">
        <f>IF(H66="情况1","免征",'数据-取费表'!B41)</f>
        <v>5.5000000000000007E-2</v>
      </c>
      <c r="G66" s="349" t="s">
        <v>387</v>
      </c>
      <c r="H66" s="189" t="s">
        <v>3069</v>
      </c>
      <c r="I66" s="1242"/>
      <c r="J66" s="1918"/>
      <c r="K66" s="1245">
        <v>1</v>
      </c>
      <c r="L66" s="3488" t="s">
        <v>385</v>
      </c>
      <c r="M66" s="3489"/>
      <c r="N66" s="2313"/>
      <c r="O66" s="2314"/>
      <c r="P66" s="2315"/>
      <c r="Q66" s="1912"/>
      <c r="R66" s="1912"/>
      <c r="S66" s="1912"/>
      <c r="T66" s="1912"/>
      <c r="U66" s="1912"/>
      <c r="V66" s="1912"/>
    </row>
    <row r="67" spans="1:22" ht="25.5" customHeight="1">
      <c r="A67" s="350" t="s">
        <v>389</v>
      </c>
      <c r="B67" s="3418" t="s">
        <v>390</v>
      </c>
      <c r="C67" s="3418"/>
      <c r="D67" s="351">
        <v>0</v>
      </c>
      <c r="E67" s="41" t="s">
        <v>391</v>
      </c>
      <c r="F67" s="62" t="s">
        <v>21</v>
      </c>
      <c r="G67" s="3476"/>
      <c r="H67" s="3004" t="s">
        <v>2967</v>
      </c>
      <c r="I67" s="3006"/>
      <c r="J67" s="1919"/>
      <c r="K67" s="1891">
        <v>2</v>
      </c>
      <c r="L67" s="3482" t="s">
        <v>388</v>
      </c>
      <c r="M67" s="3482"/>
      <c r="N67" s="1279">
        <f>'数据-取费表'!B2</f>
        <v>44499</v>
      </c>
      <c r="O67" s="1279"/>
      <c r="P67" s="1279"/>
      <c r="Q67" s="1912"/>
      <c r="R67" s="1912"/>
      <c r="S67" s="1912"/>
      <c r="T67" s="1912"/>
      <c r="U67" s="1912"/>
      <c r="V67" s="1912"/>
    </row>
    <row r="68" spans="1:22" ht="25.5" customHeight="1">
      <c r="A68" s="352"/>
      <c r="B68" s="3418" t="s">
        <v>393</v>
      </c>
      <c r="C68" s="3418"/>
      <c r="D68" s="353"/>
      <c r="E68" s="77"/>
      <c r="F68" s="354"/>
      <c r="G68" s="3477"/>
      <c r="H68" s="3005" t="s">
        <v>2968</v>
      </c>
      <c r="I68" s="3006"/>
      <c r="J68" s="1919"/>
      <c r="K68" s="1891">
        <v>3</v>
      </c>
      <c r="L68" s="3482" t="s">
        <v>392</v>
      </c>
      <c r="M68" s="3482"/>
      <c r="N68" s="1247">
        <f ca="1">C42</f>
        <v>39124</v>
      </c>
      <c r="O68" s="1247"/>
      <c r="P68" s="1247"/>
      <c r="Q68" s="1912"/>
      <c r="R68" s="1912"/>
      <c r="S68" s="1912"/>
      <c r="T68" s="1912"/>
      <c r="U68" s="1912"/>
      <c r="V68" s="1912"/>
    </row>
    <row r="69" spans="1:22" ht="23.45" customHeight="1">
      <c r="A69" s="355"/>
      <c r="B69" s="3418" t="s">
        <v>394</v>
      </c>
      <c r="C69" s="3418"/>
      <c r="D69" s="356"/>
      <c r="E69" s="73"/>
      <c r="F69" s="354"/>
      <c r="G69" s="3478"/>
      <c r="H69" s="3005" t="s">
        <v>2969</v>
      </c>
      <c r="I69" s="3006"/>
      <c r="J69" s="1919"/>
      <c r="K69" s="1248">
        <v>4</v>
      </c>
      <c r="L69" s="3492" t="s">
        <v>2862</v>
      </c>
      <c r="M69" s="3493"/>
      <c r="N69" s="1249">
        <f ca="1">C44</f>
        <v>39124</v>
      </c>
      <c r="O69" s="1249"/>
      <c r="P69" s="1249"/>
      <c r="Q69" s="1912"/>
      <c r="R69" s="1912"/>
      <c r="S69" s="1912"/>
      <c r="T69" s="1912"/>
      <c r="U69" s="1912"/>
      <c r="V69" s="1912"/>
    </row>
    <row r="70" spans="1:22" ht="24" customHeight="1">
      <c r="A70" s="357" t="s">
        <v>395</v>
      </c>
      <c r="B70" s="3418" t="s">
        <v>396</v>
      </c>
      <c r="C70" s="3418"/>
      <c r="D70" s="356">
        <f ca="1">ROUND(D63*'数据-取费表'!B41/(1+'数据-取费表'!C42),0)</f>
        <v>2049</v>
      </c>
      <c r="E70" s="17" t="s">
        <v>397</v>
      </c>
      <c r="F70" s="358">
        <f>'数据-取费表'!B41</f>
        <v>5.5000000000000007E-2</v>
      </c>
      <c r="G70" s="359"/>
      <c r="H70" s="309"/>
      <c r="I70" s="1246"/>
      <c r="J70" s="1919"/>
      <c r="K70" s="2763"/>
      <c r="L70" s="2764"/>
      <c r="M70" s="2764"/>
      <c r="N70" s="2765" t="s">
        <v>2866</v>
      </c>
      <c r="O70" s="2764"/>
      <c r="P70" s="2766"/>
      <c r="Q70" s="1912"/>
      <c r="R70" s="1912"/>
      <c r="S70" s="1912"/>
      <c r="T70" s="1912"/>
      <c r="U70" s="1912"/>
      <c r="V70" s="1912"/>
    </row>
    <row r="71" spans="1:22" ht="12" customHeight="1">
      <c r="A71" s="357" t="s">
        <v>403</v>
      </c>
      <c r="B71" s="3419" t="s">
        <v>2998</v>
      </c>
      <c r="C71" s="3420"/>
      <c r="D71" s="356">
        <f ca="1">ROUND(D63*'数据-取费表'!B41/(1+'数据-取费表'!C42),0)</f>
        <v>2049</v>
      </c>
      <c r="E71" s="17" t="s">
        <v>397</v>
      </c>
      <c r="F71" s="358">
        <f>'数据-取费表'!B41</f>
        <v>5.5000000000000007E-2</v>
      </c>
      <c r="G71" s="359"/>
      <c r="H71" s="309"/>
      <c r="I71" s="1246"/>
      <c r="J71" s="1919"/>
      <c r="K71" s="2762" t="s">
        <v>398</v>
      </c>
      <c r="L71" s="3494" t="s">
        <v>399</v>
      </c>
      <c r="M71" s="3494"/>
      <c r="N71" s="2762" t="s">
        <v>400</v>
      </c>
      <c r="O71" s="2762" t="s">
        <v>401</v>
      </c>
      <c r="P71" s="2762" t="s">
        <v>402</v>
      </c>
      <c r="Q71" s="1912"/>
      <c r="R71" s="1912"/>
      <c r="S71" s="1912"/>
      <c r="T71" s="1912"/>
      <c r="U71" s="1912"/>
      <c r="V71" s="1912"/>
    </row>
    <row r="72" spans="1:22" ht="12" customHeight="1">
      <c r="A72" s="357" t="s">
        <v>405</v>
      </c>
      <c r="B72" s="3419" t="s">
        <v>2999</v>
      </c>
      <c r="C72" s="3420"/>
      <c r="D72" s="356">
        <f ca="1">C86</f>
        <v>2049</v>
      </c>
      <c r="E72" s="73" t="s">
        <v>406</v>
      </c>
      <c r="F72" s="358">
        <f>'数据-取费表'!B41</f>
        <v>5.5000000000000007E-2</v>
      </c>
      <c r="G72" s="359"/>
      <c r="H72" s="1252"/>
      <c r="I72" s="1246"/>
      <c r="J72" s="1919"/>
      <c r="K72" s="1891">
        <v>1</v>
      </c>
      <c r="L72" s="3469" t="s">
        <v>404</v>
      </c>
      <c r="M72" s="3469"/>
      <c r="N72" s="1250">
        <f ca="1">D66</f>
        <v>2049</v>
      </c>
      <c r="O72" s="1774" t="str">
        <f>E66</f>
        <v>销售额×税（费）率</v>
      </c>
      <c r="P72" s="1251">
        <f>F66</f>
        <v>5.5000000000000007E-2</v>
      </c>
      <c r="Q72" s="1912"/>
      <c r="R72" s="1912"/>
      <c r="S72" s="1912"/>
      <c r="T72" s="1912"/>
      <c r="U72" s="1912"/>
      <c r="V72" s="1912"/>
    </row>
    <row r="73" spans="1:22" ht="24" customHeight="1">
      <c r="A73" s="3464" t="s">
        <v>408</v>
      </c>
      <c r="B73" s="3428"/>
      <c r="C73" s="3428"/>
      <c r="D73" s="360">
        <f ca="1">IF(H73="个人住宅",0,ROUND(D63*I73,0))</f>
        <v>20</v>
      </c>
      <c r="E73" s="17" t="s">
        <v>409</v>
      </c>
      <c r="F73" s="358">
        <f>IF(H73="正常",I73,"免征")</f>
        <v>5.0000000000000001E-4</v>
      </c>
      <c r="G73" s="359"/>
      <c r="H73" s="189" t="s">
        <v>3070</v>
      </c>
      <c r="I73" s="358">
        <f>'数据-取费表'!B49</f>
        <v>5.0000000000000001E-4</v>
      </c>
      <c r="J73" s="1919"/>
      <c r="K73" s="1891">
        <v>2</v>
      </c>
      <c r="L73" s="3469" t="s">
        <v>407</v>
      </c>
      <c r="M73" s="3469"/>
      <c r="N73" s="1250">
        <f t="shared" ref="N73:P74" ca="1" si="1">D73</f>
        <v>20</v>
      </c>
      <c r="O73" s="1774" t="str">
        <f t="shared" si="1"/>
        <v>销售额×税（费）率</v>
      </c>
      <c r="P73" s="1251">
        <f t="shared" si="1"/>
        <v>5.0000000000000001E-4</v>
      </c>
      <c r="Q73" s="1912"/>
      <c r="R73" s="1912"/>
      <c r="S73" s="1912"/>
      <c r="T73" s="1912"/>
      <c r="U73" s="1912"/>
      <c r="V73" s="1912"/>
    </row>
    <row r="74" spans="1:22" ht="24.75">
      <c r="A74" s="3464" t="s">
        <v>411</v>
      </c>
      <c r="B74" s="3428"/>
      <c r="C74" s="3428"/>
      <c r="D74" s="360">
        <f ca="1">IF(H74="个人住宅",D75,D76)</f>
        <v>0</v>
      </c>
      <c r="E74" s="17" t="s">
        <v>412</v>
      </c>
      <c r="F74" s="358" t="str">
        <f>IF(H74="正常",F76,"免征")</f>
        <v>——</v>
      </c>
      <c r="G74" s="971" t="s">
        <v>413</v>
      </c>
      <c r="H74" s="361" t="s">
        <v>3070</v>
      </c>
      <c r="I74" s="42"/>
      <c r="J74" s="1919"/>
      <c r="K74" s="1891">
        <v>3</v>
      </c>
      <c r="L74" s="3469" t="s">
        <v>410</v>
      </c>
      <c r="M74" s="3469"/>
      <c r="N74" s="1250">
        <f t="shared" ca="1" si="1"/>
        <v>0</v>
      </c>
      <c r="O74" s="1774" t="str">
        <f t="shared" si="1"/>
        <v>增值额×税（费）率</v>
      </c>
      <c r="P74" s="1253" t="str">
        <f t="shared" si="1"/>
        <v>——</v>
      </c>
      <c r="Q74" s="1912"/>
      <c r="R74" s="1912"/>
      <c r="S74" s="1912"/>
      <c r="T74" s="1912"/>
      <c r="U74" s="1912"/>
      <c r="V74" s="1912"/>
    </row>
    <row r="75" spans="1:22" ht="12.75">
      <c r="A75" s="357" t="s">
        <v>414</v>
      </c>
      <c r="B75" s="3416" t="s">
        <v>415</v>
      </c>
      <c r="C75" s="3452"/>
      <c r="D75" s="362">
        <v>0</v>
      </c>
      <c r="E75" s="41" t="s">
        <v>416</v>
      </c>
      <c r="F75" s="363"/>
      <c r="G75" s="359"/>
      <c r="H75" s="42"/>
      <c r="I75" s="42"/>
      <c r="J75" s="1919"/>
      <c r="K75" s="2756" t="str">
        <f>IF(H77="非个人房产","",4)</f>
        <v/>
      </c>
      <c r="L75" s="3469" t="str">
        <f>IF(H77="非个人房产","——","个人所得税")</f>
        <v>——</v>
      </c>
      <c r="M75" s="3469"/>
      <c r="N75" s="1254" t="str">
        <f>D77</f>
        <v>——</v>
      </c>
      <c r="O75" s="1787" t="str">
        <f>E77</f>
        <v>——</v>
      </c>
      <c r="P75" s="1255" t="str">
        <f>F77</f>
        <v>——</v>
      </c>
      <c r="Q75" s="1912"/>
      <c r="R75" s="1912"/>
      <c r="S75" s="1912"/>
      <c r="T75" s="1912"/>
      <c r="U75" s="1912"/>
      <c r="V75" s="1912"/>
    </row>
    <row r="76" spans="1:22" ht="24.75">
      <c r="A76" s="357" t="s">
        <v>395</v>
      </c>
      <c r="B76" s="3416" t="s">
        <v>418</v>
      </c>
      <c r="C76" s="3417"/>
      <c r="D76" s="360">
        <f ca="1">IF(H76="转让取得",C99,C115)</f>
        <v>0</v>
      </c>
      <c r="E76" s="17" t="s">
        <v>419</v>
      </c>
      <c r="F76" s="53" t="s">
        <v>21</v>
      </c>
      <c r="G76" s="359"/>
      <c r="H76" s="361" t="s">
        <v>3071</v>
      </c>
      <c r="I76" s="42"/>
      <c r="J76" s="1919"/>
      <c r="K76" s="2756" t="str">
        <f>IF(项目基本情况!K6="上海银行",IF(K75="",4,K75+1),"")</f>
        <v/>
      </c>
      <c r="L76" s="3484" t="str">
        <f>IF(项目基本情况!K6="上海银行","其他处置费用","")</f>
        <v/>
      </c>
      <c r="M76" s="3485"/>
      <c r="N76" s="1250" t="str">
        <f>IF(项目基本情况!K6="上海银行",N89,"")</f>
        <v/>
      </c>
      <c r="O76" s="3486" t="str">
        <f>IF(项目基本情况!K6="上海银行","包含处置中涉及的律师、诉讼、拍卖、评估等费用","")</f>
        <v/>
      </c>
      <c r="P76" s="3487"/>
      <c r="Q76" s="1912"/>
      <c r="R76" s="1912"/>
      <c r="S76" s="1912"/>
      <c r="T76" s="1912"/>
      <c r="U76" s="1912"/>
      <c r="V76" s="1912"/>
    </row>
    <row r="77" spans="1:22" ht="24.75" thickBot="1">
      <c r="A77" s="3471" t="s">
        <v>421</v>
      </c>
      <c r="B77" s="3472"/>
      <c r="C77" s="3472"/>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2" t="s">
        <v>413</v>
      </c>
      <c r="H77" s="3008" t="s">
        <v>3072</v>
      </c>
      <c r="I77" s="3007" t="s">
        <v>2970</v>
      </c>
      <c r="J77" s="1919"/>
      <c r="K77" s="3470">
        <f>IF(AND(K75="",K76=""),4,IF(项目基本情况!K6="上海银行",K76+1,K75+1))</f>
        <v>4</v>
      </c>
      <c r="L77" s="3469" t="s">
        <v>2863</v>
      </c>
      <c r="M77" s="2761" t="s">
        <v>417</v>
      </c>
      <c r="N77" s="1256"/>
      <c r="O77" s="1257">
        <f ca="1">SUMIF(N72:N76,"&lt;9e307")</f>
        <v>2069</v>
      </c>
      <c r="P77" s="1258"/>
      <c r="Q77" s="2759">
        <f ca="1">O77/N69</f>
        <v>5.2883140783151004E-2</v>
      </c>
      <c r="R77" s="1912"/>
      <c r="S77" s="1912"/>
      <c r="T77" s="1912"/>
      <c r="U77" s="1912"/>
      <c r="V77" s="1912"/>
    </row>
    <row r="78" spans="1:22" ht="12" customHeight="1">
      <c r="A78" s="1259"/>
      <c r="B78" s="309"/>
      <c r="C78" s="309"/>
      <c r="D78" s="309"/>
      <c r="E78" s="42"/>
      <c r="F78" s="42"/>
      <c r="G78" s="42"/>
      <c r="H78" s="991"/>
      <c r="I78" s="309"/>
      <c r="J78" s="1919"/>
      <c r="K78" s="3470"/>
      <c r="L78" s="3469"/>
      <c r="M78" s="2761" t="s">
        <v>420</v>
      </c>
      <c r="N78" s="1256"/>
      <c r="O78" s="1257" t="str">
        <f ca="1">NUMBERSTRING(INT(O77*10000),2)&amp;"元整"</f>
        <v>贰仟零陆拾玖万元整</v>
      </c>
      <c r="P78" s="1258"/>
      <c r="Q78" s="1912"/>
      <c r="R78" s="1912"/>
      <c r="S78" s="1912"/>
      <c r="T78" s="1912"/>
      <c r="U78" s="1912"/>
      <c r="V78" s="1912"/>
    </row>
    <row r="79" spans="1:22" ht="13.5" thickBot="1">
      <c r="A79" s="3436" t="s">
        <v>422</v>
      </c>
      <c r="B79" s="3436"/>
      <c r="C79" s="3436"/>
      <c r="D79" s="3436"/>
      <c r="E79" s="3436"/>
      <c r="F79" s="42"/>
      <c r="G79" s="42"/>
      <c r="H79" s="991"/>
      <c r="I79" s="309"/>
      <c r="J79" s="1919"/>
      <c r="K79" s="3490">
        <f>K77+1</f>
        <v>5</v>
      </c>
      <c r="L79" s="3469" t="s">
        <v>2864</v>
      </c>
      <c r="M79" s="2761" t="s">
        <v>417</v>
      </c>
      <c r="N79" s="1256"/>
      <c r="O79" s="1257">
        <f ca="1">N69-O77</f>
        <v>37055</v>
      </c>
      <c r="P79" s="1258"/>
      <c r="Q79" s="1912"/>
      <c r="R79" s="1912"/>
      <c r="S79" s="1912"/>
      <c r="T79" s="1912"/>
      <c r="U79" s="1912"/>
      <c r="V79" s="1912"/>
    </row>
    <row r="80" spans="1:22" ht="25.5">
      <c r="A80" s="3437" t="s">
        <v>423</v>
      </c>
      <c r="B80" s="3438"/>
      <c r="C80" s="982"/>
      <c r="D80" s="982" t="s">
        <v>424</v>
      </c>
      <c r="E80" s="364" t="s">
        <v>425</v>
      </c>
      <c r="F80" s="42"/>
      <c r="G80" s="42"/>
      <c r="H80" s="991"/>
      <c r="I80" s="309"/>
      <c r="J80" s="1912"/>
      <c r="K80" s="3491"/>
      <c r="L80" s="3469"/>
      <c r="M80" s="2761" t="s">
        <v>420</v>
      </c>
      <c r="N80" s="1256"/>
      <c r="O80" s="1257" t="str">
        <f ca="1">NUMBERSTRING(INT(O79*10000),2)&amp;"元整"</f>
        <v>叁亿柒仟零伍拾伍万元整</v>
      </c>
      <c r="P80" s="1258"/>
      <c r="Q80" s="1912"/>
      <c r="R80" s="1912"/>
      <c r="S80" s="1912"/>
      <c r="T80" s="1912"/>
      <c r="U80" s="1912"/>
      <c r="V80" s="1912"/>
    </row>
    <row r="81" spans="1:26" ht="13.5" thickBot="1">
      <c r="A81" s="375" t="s">
        <v>1814</v>
      </c>
      <c r="B81" s="365" t="s">
        <v>426</v>
      </c>
      <c r="C81" s="366">
        <f ca="1">ROUND((C82+C83)/(1+'数据-取费表'!C42),0)</f>
        <v>37261</v>
      </c>
      <c r="D81" s="367"/>
      <c r="E81" s="368"/>
      <c r="F81" s="42"/>
      <c r="G81" s="42"/>
      <c r="H81" s="991"/>
      <c r="I81" s="309"/>
      <c r="J81" s="1912"/>
      <c r="K81" s="2756">
        <f>K79+1</f>
        <v>6</v>
      </c>
      <c r="L81" s="3467" t="s">
        <v>2865</v>
      </c>
      <c r="M81" s="3468"/>
      <c r="N81" s="1260"/>
      <c r="O81" s="1261">
        <f ca="1">ROUND(O79*10000/'数据-汇总表'!E3,0)</f>
        <v>323</v>
      </c>
      <c r="P81" s="1262"/>
      <c r="Q81" s="1912"/>
      <c r="R81" s="1912"/>
      <c r="S81" s="1912"/>
      <c r="T81" s="1912"/>
      <c r="U81" s="1912"/>
      <c r="V81" s="1912"/>
    </row>
    <row r="82" spans="1:26" ht="13.5" thickTop="1">
      <c r="A82" s="369" t="s">
        <v>1815</v>
      </c>
      <c r="B82" s="370" t="s">
        <v>427</v>
      </c>
      <c r="C82" s="371">
        <f ca="1">D63</f>
        <v>39124</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83" t="s">
        <v>2853</v>
      </c>
      <c r="L83" s="2767" t="s">
        <v>2854</v>
      </c>
      <c r="M83" s="2757">
        <f ca="1">IF(N69&gt;10000,N69*0.5%,IF(AND(N69&gt;1000,N69&lt;=10000),N69*1%,IF(AND(N69&gt;100,N69&lt;=1000),N69*3%,IF(AND(N69&gt;10,N69&lt;=100),N69*5%,N69*8%))))</f>
        <v>195.62</v>
      </c>
      <c r="N83" s="53">
        <f ca="1">ROUND(M83,1)</f>
        <v>195.6</v>
      </c>
      <c r="O83" s="2760"/>
      <c r="P83" s="1912"/>
      <c r="Q83" s="1912"/>
      <c r="R83" s="1912"/>
      <c r="S83" s="1912"/>
      <c r="T83" s="1912"/>
      <c r="U83" s="1912"/>
      <c r="V83" s="1912"/>
    </row>
    <row r="84" spans="1:26" ht="12.75">
      <c r="A84" s="375" t="s">
        <v>1817</v>
      </c>
      <c r="B84" s="376" t="s">
        <v>429</v>
      </c>
      <c r="C84" s="377"/>
      <c r="D84" s="378" t="s">
        <v>19</v>
      </c>
      <c r="E84" s="2785" t="s">
        <v>2908</v>
      </c>
      <c r="F84" s="42"/>
      <c r="G84" s="42"/>
      <c r="H84" s="991"/>
      <c r="I84" s="309"/>
      <c r="J84" s="1912"/>
      <c r="K84" s="3483"/>
      <c r="L84" s="2767" t="s">
        <v>2855</v>
      </c>
      <c r="M84" s="2757">
        <f ca="1">IF(N69&gt;2000,N69*0.5%,IF(AND(N69&gt;1000,N69&lt;=2000),N69*0.6%,IF(AND(N69&gt;500,N69&lt;=1000),N69*0.7%,IF(AND(N69&gt;200,N69&lt;=500),N69*0.8%,IF(AND(N69&gt;100,N69&lt;=200),N69*0.9%,IF(AND(N69&gt;50,N69&lt;=100),N69*1%,IF(AND(N69&gt;20,N69&lt;=50),N69*1.5%,IF(AND(N69&gt;10,N69&lt;=20),N69*2%,IF(AND(N69&gt;1,N69&lt;=10),N69*2.5%)))))))))</f>
        <v>195.62</v>
      </c>
      <c r="N84" s="53">
        <f t="shared" ref="N84:N85" ca="1" si="2">ROUND(M84,1)</f>
        <v>195.6</v>
      </c>
      <c r="O84" s="1912" t="s">
        <v>2856</v>
      </c>
      <c r="P84" s="1912"/>
      <c r="Q84" s="1912"/>
      <c r="R84" s="1912"/>
      <c r="S84" s="1912"/>
      <c r="T84" s="1912"/>
      <c r="U84" s="1912"/>
      <c r="V84" s="1912"/>
    </row>
    <row r="85" spans="1:26" ht="12.75">
      <c r="A85" s="375" t="s">
        <v>1818</v>
      </c>
      <c r="B85" s="376" t="s">
        <v>430</v>
      </c>
      <c r="C85" s="379">
        <f ca="1">C81-C84</f>
        <v>37261</v>
      </c>
      <c r="D85" s="372" t="s">
        <v>19</v>
      </c>
      <c r="E85" s="373"/>
      <c r="F85" s="42"/>
      <c r="G85" s="42"/>
      <c r="H85" s="991"/>
      <c r="I85" s="309"/>
      <c r="J85" s="1912"/>
      <c r="K85" s="3483"/>
      <c r="L85" s="2767" t="s">
        <v>2857</v>
      </c>
      <c r="M85" s="2757">
        <f ca="1">IF(N69&gt;1000,N69*0.1%,IF(AND(N69&gt;500,N69&lt;=1000),N69*0.5%,IF(AND(N69&gt;50,N69&lt;=500),N69*1%,IF(AND(N69&gt;1,N69&lt;=50),N69*1.5%))))</f>
        <v>39.124000000000002</v>
      </c>
      <c r="N85" s="53">
        <f t="shared" ca="1" si="2"/>
        <v>39.1</v>
      </c>
      <c r="O85" s="1912" t="s">
        <v>2856</v>
      </c>
      <c r="P85" s="1912"/>
      <c r="Q85" s="1912"/>
      <c r="R85" s="1912"/>
      <c r="S85" s="1912"/>
      <c r="T85" s="1912"/>
      <c r="U85" s="1912"/>
      <c r="V85" s="1912"/>
    </row>
    <row r="86" spans="1:26" ht="13.5" thickBot="1">
      <c r="A86" s="380" t="s">
        <v>1819</v>
      </c>
      <c r="B86" s="381" t="s">
        <v>431</v>
      </c>
      <c r="C86" s="382">
        <f ca="1">IF(C85&lt;=0,0,ROUND(C85*D86,0))</f>
        <v>2049</v>
      </c>
      <c r="D86" s="383">
        <f>'数据-取费表'!B41</f>
        <v>5.5000000000000007E-2</v>
      </c>
      <c r="E86" s="384"/>
      <c r="F86" s="42"/>
      <c r="G86" s="42"/>
      <c r="H86" s="991"/>
      <c r="I86" s="309"/>
      <c r="J86" s="1912"/>
      <c r="K86" s="3483"/>
      <c r="L86" s="2767" t="s">
        <v>2858</v>
      </c>
      <c r="M86" s="2757">
        <f ca="1">N69*0.5%</f>
        <v>195.62</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83"/>
      <c r="L87" s="2767" t="s">
        <v>2860</v>
      </c>
      <c r="M87" s="2757">
        <f ca="1">IF(N69&gt;=10000,(8.25+(N69-10000)*0.01%),IF(AND(N69&gt;=8000,N69&lt;10000),(7.85+(N69-8000)*0.02%),IF(AND(N69&gt;=5000,N69&lt;8000),(6.65+(N69-5000)*0.04%),IF(AND(N69&gt;=2000,N69&lt;5000),(4.25+(PN69-2000)*0.08%),IF(AND(N69&gt;=1000,N69&lt;2000),(2.75+(N69-1000)*0.15%),IF(AND(N69&gt;=100,N69&lt;1000),(0.5+(N69-100)*0.25%),IF(AND(N69&gt;0,N69&lt;100),N69*0.5%)))))))</f>
        <v>11.1624</v>
      </c>
      <c r="N87" s="53">
        <f ca="1">ROUND(M87*0.9,1)</f>
        <v>10</v>
      </c>
      <c r="O87" s="2760"/>
      <c r="P87" s="1912"/>
      <c r="Q87" s="1912"/>
      <c r="R87" s="1912"/>
      <c r="S87" s="1912"/>
      <c r="T87" s="1912"/>
      <c r="U87" s="1912"/>
      <c r="V87" s="1912"/>
      <c r="W87" s="290"/>
      <c r="X87" s="290"/>
      <c r="Y87" s="290"/>
      <c r="Z87" s="290"/>
    </row>
    <row r="88" spans="1:26" s="1268" customFormat="1" ht="15" thickBot="1">
      <c r="A88" s="3462" t="s">
        <v>432</v>
      </c>
      <c r="B88" s="3463"/>
      <c r="C88" s="3463"/>
      <c r="D88" s="3463"/>
      <c r="E88" s="3463"/>
      <c r="F88" s="3463"/>
      <c r="G88" s="3463"/>
      <c r="H88" s="3463"/>
      <c r="I88" s="1269"/>
      <c r="J88" s="1920"/>
      <c r="K88" s="3483"/>
      <c r="L88" s="2767" t="s">
        <v>2861</v>
      </c>
      <c r="M88" s="2757">
        <f ca="1">IF(N69&gt;10000,N69*0.5%,IF(AND(N69&gt;5000,N69&lt;=10000),N69*1%,IF(AND(N69&gt;1000,N69&lt;=5000),N69*2%,IF(AND(N69&gt;200,N69&lt;=1000),N69*3%,N69*5%))))</f>
        <v>195.62</v>
      </c>
      <c r="N88" s="53">
        <f ca="1">ROUND(M88,1)</f>
        <v>195.6</v>
      </c>
      <c r="O88" s="2760"/>
      <c r="P88" s="1917"/>
      <c r="Q88" s="1917"/>
      <c r="R88" s="1917"/>
      <c r="S88" s="1917"/>
      <c r="T88" s="1917"/>
      <c r="U88" s="1917"/>
      <c r="V88" s="1917"/>
      <c r="W88" s="1921"/>
      <c r="X88" s="1921"/>
      <c r="Y88" s="1921"/>
      <c r="Z88" s="1921"/>
    </row>
    <row r="89" spans="1:26" s="1268" customFormat="1" ht="14.25">
      <c r="A89" s="3437" t="s">
        <v>423</v>
      </c>
      <c r="B89" s="3438"/>
      <c r="C89" s="982"/>
      <c r="D89" s="982" t="s">
        <v>424</v>
      </c>
      <c r="E89" s="385" t="s">
        <v>433</v>
      </c>
      <c r="F89" s="386"/>
      <c r="G89" s="386"/>
      <c r="H89" s="387"/>
      <c r="I89" s="1270"/>
      <c r="J89" s="1922"/>
      <c r="K89" s="3483"/>
      <c r="L89" s="2767" t="s">
        <v>27</v>
      </c>
      <c r="M89" s="2758"/>
      <c r="N89" s="53">
        <f ca="1">ROUND(SUM(N83:N88),0)</f>
        <v>636</v>
      </c>
      <c r="O89" s="2768">
        <f ca="1">N89/N69</f>
        <v>1.6256006543298233E-2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37261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186</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19" t="s">
        <v>441</v>
      </c>
      <c r="F94" s="3418"/>
      <c r="G94" s="3418"/>
      <c r="H94" s="3461"/>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186</v>
      </c>
      <c r="D96" s="400">
        <f>'数据-取费表'!B43</f>
        <v>5.000000000000001E-3</v>
      </c>
      <c r="E96" s="3453" t="s">
        <v>2413</v>
      </c>
      <c r="F96" s="3454"/>
      <c r="G96" s="3454"/>
      <c r="H96" s="3455"/>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37075</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199.3279569892473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22180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2" t="s">
        <v>448</v>
      </c>
      <c r="B101" s="3463"/>
      <c r="C101" s="3463"/>
      <c r="D101" s="3463"/>
      <c r="E101" s="3463"/>
      <c r="F101" s="3463"/>
      <c r="G101" s="3463"/>
      <c r="H101" s="3463"/>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37" t="s">
        <v>423</v>
      </c>
      <c r="B102" s="3438"/>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37261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38107.949399999998</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37921.949399999998</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v>36799.949399999998</v>
      </c>
      <c r="D106" s="400"/>
      <c r="E106" s="411" t="s">
        <v>451</v>
      </c>
      <c r="F106" s="974"/>
      <c r="G106" s="412" t="s">
        <v>452</v>
      </c>
      <c r="H106" s="413" t="s">
        <v>3073</v>
      </c>
      <c r="I106" s="11"/>
      <c r="J106" s="1917"/>
      <c r="K106" s="3242"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1122</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13" t="s">
        <v>2962</v>
      </c>
      <c r="H108" s="3414"/>
      <c r="I108" s="2857"/>
      <c r="J108" s="1917"/>
      <c r="K108" s="3242"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6" t="s">
        <v>456</v>
      </c>
      <c r="F109" s="3454"/>
      <c r="G109" s="3454"/>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3">
        <v>0</v>
      </c>
      <c r="E110" s="3456" t="s">
        <v>458</v>
      </c>
      <c r="F110" s="3454"/>
      <c r="G110" s="3454"/>
      <c r="H110" s="3455"/>
      <c r="I110" s="11"/>
      <c r="J110" s="1917"/>
      <c r="K110" s="3243"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186</v>
      </c>
      <c r="D111" s="400">
        <f>'数据-取费表'!B43</f>
        <v>5.000000000000001E-3</v>
      </c>
      <c r="E111" s="3453" t="s">
        <v>2413</v>
      </c>
      <c r="F111" s="3454"/>
      <c r="G111" s="3454"/>
      <c r="H111" s="3455"/>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6" t="s">
        <v>2436</v>
      </c>
      <c r="F112" s="3454"/>
      <c r="G112" s="3454"/>
      <c r="H112" s="3455"/>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-847</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60" zoomScaleNormal="95" workbookViewId="0">
      <selection activeCell="F52" sqref="F5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5"/>
      <c r="Q1" s="2015"/>
      <c r="R1" s="2015"/>
      <c r="S1" s="2015"/>
      <c r="T1" s="2015"/>
      <c r="U1" s="2015"/>
      <c r="V1" s="2015"/>
      <c r="W1" s="2015"/>
      <c r="X1" s="2015"/>
      <c r="Y1" s="2015"/>
      <c r="Z1" s="2015"/>
      <c r="AA1" s="2015"/>
      <c r="AB1" s="2015"/>
      <c r="AC1" s="3210"/>
      <c r="AD1" s="1289"/>
    </row>
    <row r="2" spans="1:30" s="1290" customFormat="1" ht="28.5" customHeight="1">
      <c r="A2" s="417" t="s">
        <v>461</v>
      </c>
      <c r="B2" s="502">
        <f>F68</f>
        <v>38987</v>
      </c>
      <c r="C2" s="3218"/>
      <c r="D2" s="3218"/>
      <c r="E2" s="3220"/>
      <c r="F2" s="3221"/>
      <c r="G2" s="3220"/>
      <c r="H2" s="3220"/>
      <c r="I2" s="3220"/>
      <c r="J2" s="3220"/>
      <c r="K2" s="3222"/>
      <c r="L2" s="2014"/>
      <c r="M2" s="2015"/>
      <c r="N2" s="2015"/>
      <c r="O2" s="2015"/>
      <c r="P2" s="2015"/>
      <c r="Q2" s="2015"/>
      <c r="R2" s="2015"/>
      <c r="S2" s="2015"/>
      <c r="T2" s="2015"/>
      <c r="U2" s="2015"/>
      <c r="V2" s="2015"/>
      <c r="W2" s="2015"/>
      <c r="X2" s="2015"/>
      <c r="Y2" s="2015"/>
      <c r="Z2" s="2015"/>
      <c r="AA2" s="2015"/>
      <c r="AB2" s="2015"/>
      <c r="AC2" s="3210"/>
      <c r="AD2" s="1289"/>
    </row>
    <row r="3" spans="1:30" s="1290" customFormat="1" ht="28.5" customHeight="1">
      <c r="A3" s="1331" t="s">
        <v>1675</v>
      </c>
      <c r="B3" s="504">
        <f>ROUND(B2*10000/'数据-汇总表'!E3,0)</f>
        <v>340</v>
      </c>
      <c r="C3" s="3219"/>
      <c r="D3" s="3223"/>
      <c r="E3" s="3219"/>
      <c r="F3" s="3219"/>
      <c r="G3" s="3220"/>
      <c r="H3" s="3220"/>
      <c r="I3" s="3220"/>
      <c r="J3" s="3220"/>
      <c r="K3" s="3222"/>
      <c r="L3" s="2014"/>
      <c r="M3" s="2015"/>
      <c r="N3" s="2015"/>
      <c r="O3" s="2015"/>
      <c r="P3" s="2015"/>
      <c r="Q3" s="2015"/>
      <c r="R3" s="2015"/>
      <c r="S3" s="2015"/>
      <c r="T3" s="2015"/>
      <c r="U3" s="2015"/>
      <c r="V3" s="2015"/>
      <c r="W3" s="2015"/>
      <c r="X3" s="2015"/>
      <c r="Y3" s="2015"/>
      <c r="Z3" s="2015"/>
      <c r="AA3" s="2015"/>
      <c r="AB3" s="3211"/>
      <c r="AC3" s="1945"/>
    </row>
    <row r="4" spans="1:30" s="1290" customFormat="1" ht="28.5" customHeight="1">
      <c r="A4" s="505" t="s">
        <v>514</v>
      </c>
      <c r="B4" s="421">
        <f>IF(B48="单位面积地价",C50,ROUND(B2*10000/'数据-汇总表'!D3,0))</f>
        <v>1462</v>
      </c>
      <c r="C4" s="3219"/>
      <c r="D4" s="3223"/>
      <c r="E4" s="3219"/>
      <c r="F4" s="3219"/>
      <c r="G4" s="3220"/>
      <c r="H4" s="3220"/>
      <c r="I4" s="3220"/>
      <c r="J4" s="3220"/>
      <c r="K4" s="3222"/>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97</v>
      </c>
      <c r="C5" s="425" t="s">
        <v>463</v>
      </c>
      <c r="D5" s="3219"/>
      <c r="E5" s="3219"/>
      <c r="F5" s="3219"/>
      <c r="G5" s="3220"/>
      <c r="H5" s="3220"/>
      <c r="I5" s="3220"/>
      <c r="J5" s="3220"/>
      <c r="K5" s="3222"/>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04" t="s">
        <v>516</v>
      </c>
      <c r="D6" s="3505"/>
      <c r="E6" s="3504" t="s">
        <v>517</v>
      </c>
      <c r="F6" s="3505"/>
      <c r="G6" s="3504" t="s">
        <v>518</v>
      </c>
      <c r="H6" s="3505"/>
      <c r="I6" s="3504" t="s">
        <v>519</v>
      </c>
      <c r="J6" s="3505"/>
      <c r="K6" s="508" t="s">
        <v>520</v>
      </c>
      <c r="L6" s="2016"/>
      <c r="M6" s="2015"/>
      <c r="N6" s="2015"/>
      <c r="O6" s="2017"/>
      <c r="P6" s="3506" t="s">
        <v>521</v>
      </c>
      <c r="Q6" s="3507"/>
      <c r="R6" s="3512" t="s">
        <v>517</v>
      </c>
      <c r="S6" s="3513"/>
      <c r="T6" s="3512" t="s">
        <v>518</v>
      </c>
      <c r="U6" s="3513"/>
      <c r="V6" s="3499" t="s">
        <v>519</v>
      </c>
      <c r="W6" s="3499"/>
      <c r="X6" s="1502"/>
      <c r="Y6" s="3512" t="s">
        <v>521</v>
      </c>
      <c r="Z6" s="3513"/>
      <c r="AA6" s="3501" t="s">
        <v>517</v>
      </c>
      <c r="AB6" s="3502" t="s">
        <v>518</v>
      </c>
      <c r="AC6" s="3501" t="s">
        <v>519</v>
      </c>
    </row>
    <row r="7" spans="1:30" ht="20.25">
      <c r="A7" s="509"/>
      <c r="B7" s="510"/>
      <c r="C7" s="3520" t="s">
        <v>2897</v>
      </c>
      <c r="D7" s="3521"/>
      <c r="E7" s="3520" t="str">
        <f>土地案例!A3</f>
        <v>崇文街北、豪迈路东</v>
      </c>
      <c r="F7" s="3521"/>
      <c r="G7" s="3520" t="str">
        <f>土地案例!A8</f>
        <v>新城大道以东、兴源街北侧</v>
      </c>
      <c r="H7" s="3521"/>
      <c r="I7" s="3520" t="str">
        <f>土地案例!A13</f>
        <v>康庄大街南、康葛路西</v>
      </c>
      <c r="J7" s="3521"/>
      <c r="K7" s="508"/>
      <c r="L7" s="2016"/>
      <c r="M7" s="2015"/>
      <c r="N7" s="2015"/>
      <c r="O7" s="2017"/>
      <c r="P7" s="3508"/>
      <c r="Q7" s="3509"/>
      <c r="R7" s="3514"/>
      <c r="S7" s="3515"/>
      <c r="T7" s="3514"/>
      <c r="U7" s="3515"/>
      <c r="V7" s="3499"/>
      <c r="W7" s="3499"/>
      <c r="X7" s="1502"/>
      <c r="Y7" s="3514"/>
      <c r="Z7" s="3515"/>
      <c r="AA7" s="3502"/>
      <c r="AB7" s="3502"/>
      <c r="AC7" s="3502"/>
    </row>
    <row r="8" spans="1:30" ht="21" thickBot="1">
      <c r="A8" s="509"/>
      <c r="B8" s="510"/>
      <c r="C8" s="3522" t="s">
        <v>2901</v>
      </c>
      <c r="D8" s="3523"/>
      <c r="E8" s="3522" t="s">
        <v>2901</v>
      </c>
      <c r="F8" s="3523"/>
      <c r="G8" s="3518" t="s">
        <v>2901</v>
      </c>
      <c r="H8" s="3519"/>
      <c r="I8" s="3518" t="s">
        <v>2901</v>
      </c>
      <c r="J8" s="3519"/>
      <c r="K8" s="508" t="s">
        <v>522</v>
      </c>
      <c r="L8" s="2016"/>
      <c r="M8" s="2015"/>
      <c r="N8" s="2015"/>
      <c r="O8" s="2017"/>
      <c r="P8" s="3510"/>
      <c r="Q8" s="3511"/>
      <c r="R8" s="3514"/>
      <c r="S8" s="3515"/>
      <c r="T8" s="3516"/>
      <c r="U8" s="3517"/>
      <c r="V8" s="3499"/>
      <c r="W8" s="3499"/>
      <c r="X8" s="1502"/>
      <c r="Y8" s="3516"/>
      <c r="Z8" s="3517"/>
      <c r="AA8" s="3503"/>
      <c r="AB8" s="3503"/>
      <c r="AC8" s="3503"/>
    </row>
    <row r="9" spans="1:30" s="1203" customFormat="1" ht="21" thickBot="1">
      <c r="A9" s="2629"/>
      <c r="B9" s="2636" t="s">
        <v>523</v>
      </c>
      <c r="C9" s="2628">
        <f>'数据-取费表'!B2</f>
        <v>44499</v>
      </c>
      <c r="D9" s="514">
        <v>100</v>
      </c>
      <c r="E9" s="515" t="str">
        <f>土地案例!H3</f>
        <v>2021-09-22</v>
      </c>
      <c r="F9" s="516">
        <f>SUMIF(72:72,YEAR(E9)&amp;"-"&amp;INT((MONTH(E9)+2)/3),73:73)</f>
        <v>99.8</v>
      </c>
      <c r="G9" s="517" t="str">
        <f>土地案例!H8</f>
        <v>2020-11-30</v>
      </c>
      <c r="H9" s="514">
        <f>SUMIF(72:72,YEAR(G9)&amp;"-"&amp;INT((MONTH(G9)+2)/3),73:73)</f>
        <v>99.2</v>
      </c>
      <c r="I9" s="517" t="str">
        <f>土地案例!H13</f>
        <v>2020-10-12</v>
      </c>
      <c r="J9" s="514">
        <f>SUMIF(72:72,YEAR(I9)&amp;"-"&amp;INT((MONTH(I9)+2)/3),73:73)</f>
        <v>99.2</v>
      </c>
      <c r="K9" s="518"/>
      <c r="L9" s="2018"/>
      <c r="M9" s="2015"/>
      <c r="N9" s="2015"/>
      <c r="O9" s="2019"/>
      <c r="P9" s="3529" t="s">
        <v>524</v>
      </c>
      <c r="Q9" s="3531"/>
      <c r="R9" s="1503" t="s">
        <v>8</v>
      </c>
      <c r="S9" s="1504">
        <f t="shared" ref="S9:S17" si="0">F9</f>
        <v>99.8</v>
      </c>
      <c r="T9" s="1503" t="s">
        <v>8</v>
      </c>
      <c r="U9" s="1504">
        <f t="shared" ref="U9:U17" si="1">H9</f>
        <v>99.2</v>
      </c>
      <c r="V9" s="1503" t="s">
        <v>8</v>
      </c>
      <c r="W9" s="1504">
        <f t="shared" ref="W9:W17" si="2">J9</f>
        <v>99.2</v>
      </c>
      <c r="X9" s="1505"/>
      <c r="Y9" s="3529" t="s">
        <v>524</v>
      </c>
      <c r="Z9" s="3530"/>
      <c r="AA9" s="1506">
        <f>D9/F9</f>
        <v>1.0020040080160322</v>
      </c>
      <c r="AB9" s="1506">
        <f>D9/H9</f>
        <v>1.0080645161290323</v>
      </c>
      <c r="AC9" s="1506">
        <f>D9/J9</f>
        <v>1.0080645161290323</v>
      </c>
    </row>
    <row r="10" spans="1:30" s="1203" customFormat="1" ht="21" thickBot="1">
      <c r="A10" s="2630"/>
      <c r="B10" s="2637" t="s">
        <v>525</v>
      </c>
      <c r="C10" s="845" t="s">
        <v>526</v>
      </c>
      <c r="D10" s="514">
        <v>100</v>
      </c>
      <c r="E10" s="3289" t="s">
        <v>3052</v>
      </c>
      <c r="F10" s="516">
        <f>SUMIF(75:75,E10,76:76)-SUMIF(75:75,C10,76:76)+100</f>
        <v>100</v>
      </c>
      <c r="G10" s="3289" t="s">
        <v>3052</v>
      </c>
      <c r="H10" s="514">
        <f>SUMIF(75:75,G10,76:76)-SUMIF(75:75,C10,76:76)+100</f>
        <v>100</v>
      </c>
      <c r="I10" s="3289" t="s">
        <v>3053</v>
      </c>
      <c r="J10" s="514">
        <f>SUMIF(75:75,I10,76:76)-SUMIF(75:75,C10,76:76)+100</f>
        <v>100</v>
      </c>
      <c r="K10" s="518"/>
      <c r="L10" s="2018"/>
      <c r="M10" s="2015"/>
      <c r="N10" s="2015"/>
      <c r="O10" s="2019"/>
      <c r="P10" s="3529" t="s">
        <v>527</v>
      </c>
      <c r="Q10" s="3530"/>
      <c r="R10" s="1503" t="s">
        <v>8</v>
      </c>
      <c r="S10" s="1504">
        <f t="shared" si="0"/>
        <v>100</v>
      </c>
      <c r="T10" s="1503" t="s">
        <v>8</v>
      </c>
      <c r="U10" s="1504">
        <f t="shared" si="1"/>
        <v>100</v>
      </c>
      <c r="V10" s="1503" t="s">
        <v>8</v>
      </c>
      <c r="W10" s="1504">
        <f t="shared" si="2"/>
        <v>100</v>
      </c>
      <c r="X10" s="1505"/>
      <c r="Y10" s="3529" t="s">
        <v>527</v>
      </c>
      <c r="Z10" s="3530"/>
      <c r="AA10" s="1506">
        <f t="shared" ref="AA10:AA47" si="3">D10/F10</f>
        <v>1</v>
      </c>
      <c r="AB10" s="1506">
        <f t="shared" ref="AB10:AB47" si="4">D10/H10</f>
        <v>1</v>
      </c>
      <c r="AC10" s="1506">
        <f t="shared" ref="AC10:AC47" si="5">D10/J10</f>
        <v>1</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98" t="s">
        <v>529</v>
      </c>
      <c r="Q11" s="1134" t="str">
        <f t="shared" ref="Q11:Q17" si="6">B11</f>
        <v>用途</v>
      </c>
      <c r="R11" s="1503" t="s">
        <v>8</v>
      </c>
      <c r="S11" s="1504">
        <f t="shared" si="0"/>
        <v>100</v>
      </c>
      <c r="T11" s="1503" t="s">
        <v>8</v>
      </c>
      <c r="U11" s="1504">
        <f t="shared" si="1"/>
        <v>100</v>
      </c>
      <c r="V11" s="1503" t="s">
        <v>8</v>
      </c>
      <c r="W11" s="1504">
        <f t="shared" si="2"/>
        <v>100</v>
      </c>
      <c r="X11" s="1505"/>
      <c r="Y11" s="3444" t="s">
        <v>530</v>
      </c>
      <c r="Z11" s="1133" t="str">
        <f t="shared" ref="Z11:Z17" si="7">Q11</f>
        <v>用途</v>
      </c>
      <c r="AA11" s="1506">
        <f t="shared" si="3"/>
        <v>1</v>
      </c>
      <c r="AB11" s="1506">
        <f t="shared" si="4"/>
        <v>1</v>
      </c>
      <c r="AC11" s="1506">
        <f t="shared" si="5"/>
        <v>1</v>
      </c>
    </row>
    <row r="12" spans="1:30" s="1292" customFormat="1" ht="27">
      <c r="A12" s="2632"/>
      <c r="B12" s="2637" t="s">
        <v>2737</v>
      </c>
      <c r="C12" s="899"/>
      <c r="D12" s="253">
        <v>100</v>
      </c>
      <c r="E12" s="523"/>
      <c r="F12" s="253">
        <f>ROUND(100/'数据-取费表'!G16,0)</f>
        <v>124</v>
      </c>
      <c r="G12" s="524"/>
      <c r="H12" s="253">
        <f>ROUND(100/'数据-取费表'!G16,0)</f>
        <v>124</v>
      </c>
      <c r="I12" s="524"/>
      <c r="J12" s="253">
        <f>ROUND(100/'数据-取费表'!G16,0)</f>
        <v>124</v>
      </c>
      <c r="K12" s="525"/>
      <c r="L12" s="2021"/>
      <c r="M12" s="2015"/>
      <c r="N12" s="2015"/>
      <c r="O12" s="2022"/>
      <c r="P12" s="3498"/>
      <c r="Q12" s="1134" t="str">
        <f t="shared" si="6"/>
        <v>土地使用年限（年）</v>
      </c>
      <c r="R12" s="1503" t="s">
        <v>8</v>
      </c>
      <c r="S12" s="1504">
        <f t="shared" si="0"/>
        <v>124</v>
      </c>
      <c r="T12" s="1503" t="s">
        <v>8</v>
      </c>
      <c r="U12" s="1504">
        <f t="shared" si="1"/>
        <v>124</v>
      </c>
      <c r="V12" s="1503" t="s">
        <v>8</v>
      </c>
      <c r="W12" s="1504">
        <f t="shared" si="2"/>
        <v>124</v>
      </c>
      <c r="X12" s="1505"/>
      <c r="Y12" s="3444"/>
      <c r="Z12" s="1133" t="str">
        <f t="shared" si="7"/>
        <v>土地使用年限（年）</v>
      </c>
      <c r="AA12" s="1506">
        <f t="shared" si="3"/>
        <v>0.80645161290322576</v>
      </c>
      <c r="AB12" s="1506">
        <f t="shared" si="4"/>
        <v>0.80645161290322576</v>
      </c>
      <c r="AC12" s="1506">
        <f t="shared" si="5"/>
        <v>0.80645161290322576</v>
      </c>
    </row>
    <row r="13" spans="1:30" ht="20.25">
      <c r="A13" s="2633"/>
      <c r="B13" s="2637" t="s">
        <v>2738</v>
      </c>
      <c r="C13" s="528">
        <f>'数据-汇总表'!I6</f>
        <v>4.3</v>
      </c>
      <c r="D13" s="253">
        <v>100</v>
      </c>
      <c r="E13" s="527">
        <v>1.5</v>
      </c>
      <c r="F13" s="253">
        <f>LOOKUP(E13,82:82,83:83)-LOOKUP(C13,82:82,83:83)+100</f>
        <v>112</v>
      </c>
      <c r="G13" s="528">
        <v>1.5</v>
      </c>
      <c r="H13" s="253">
        <f>LOOKUP(G13,82:82,83:83)-LOOKUP(C13,82:82,83:83)+100</f>
        <v>112</v>
      </c>
      <c r="I13" s="527">
        <v>1.2</v>
      </c>
      <c r="J13" s="253">
        <f>LOOKUP(I13,82:82,83:83)-LOOKUP(C13,82:82,83:83)+100</f>
        <v>112</v>
      </c>
      <c r="K13" s="3315">
        <v>4</v>
      </c>
      <c r="L13" s="2023"/>
      <c r="M13" s="2015"/>
      <c r="N13" s="2015"/>
      <c r="O13" s="2024"/>
      <c r="P13" s="3498"/>
      <c r="Q13" s="1134" t="str">
        <f t="shared" si="6"/>
        <v>容积率</v>
      </c>
      <c r="R13" s="1503" t="s">
        <v>8</v>
      </c>
      <c r="S13" s="1504">
        <f t="shared" si="0"/>
        <v>112</v>
      </c>
      <c r="T13" s="1503" t="s">
        <v>8</v>
      </c>
      <c r="U13" s="1504">
        <f t="shared" si="1"/>
        <v>112</v>
      </c>
      <c r="V13" s="1503" t="s">
        <v>8</v>
      </c>
      <c r="W13" s="1504">
        <f t="shared" si="2"/>
        <v>112</v>
      </c>
      <c r="X13" s="1505"/>
      <c r="Y13" s="3444"/>
      <c r="Z13" s="1133" t="str">
        <f t="shared" si="7"/>
        <v>容积率</v>
      </c>
      <c r="AA13" s="1506">
        <f t="shared" si="3"/>
        <v>0.8928571428571429</v>
      </c>
      <c r="AB13" s="1506">
        <f t="shared" si="4"/>
        <v>0.8928571428571429</v>
      </c>
      <c r="AC13" s="1506">
        <f t="shared" si="5"/>
        <v>0.8928571428571429</v>
      </c>
    </row>
    <row r="14" spans="1:30" s="1203" customFormat="1" ht="20.25">
      <c r="A14" s="2630"/>
      <c r="B14" s="2639" t="s">
        <v>2739</v>
      </c>
      <c r="C14" s="2626"/>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8"/>
      <c r="Q14" s="1134" t="str">
        <f t="shared" si="6"/>
        <v>配建</v>
      </c>
      <c r="R14" s="1503" t="s">
        <v>8</v>
      </c>
      <c r="S14" s="1504">
        <f t="shared" si="0"/>
        <v>100</v>
      </c>
      <c r="T14" s="1503" t="s">
        <v>8</v>
      </c>
      <c r="U14" s="1504">
        <f t="shared" si="1"/>
        <v>100</v>
      </c>
      <c r="V14" s="1503" t="s">
        <v>8</v>
      </c>
      <c r="W14" s="1504">
        <f t="shared" si="2"/>
        <v>100</v>
      </c>
      <c r="X14" s="1505"/>
      <c r="Y14" s="3444"/>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8"/>
      <c r="Q15" s="1134">
        <f t="shared" si="6"/>
        <v>111</v>
      </c>
      <c r="R15" s="1503" t="s">
        <v>8</v>
      </c>
      <c r="S15" s="1504">
        <f t="shared" si="0"/>
        <v>100</v>
      </c>
      <c r="T15" s="1503" t="s">
        <v>8</v>
      </c>
      <c r="U15" s="1504">
        <f t="shared" si="1"/>
        <v>100</v>
      </c>
      <c r="V15" s="1503" t="s">
        <v>8</v>
      </c>
      <c r="W15" s="1504">
        <f t="shared" si="2"/>
        <v>100</v>
      </c>
      <c r="X15" s="1505"/>
      <c r="Y15" s="3444"/>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8"/>
      <c r="Q16" s="1134">
        <f t="shared" si="6"/>
        <v>111</v>
      </c>
      <c r="R16" s="1503" t="s">
        <v>8</v>
      </c>
      <c r="S16" s="1504">
        <f t="shared" si="0"/>
        <v>100</v>
      </c>
      <c r="T16" s="1503" t="s">
        <v>8</v>
      </c>
      <c r="U16" s="1504">
        <f t="shared" si="1"/>
        <v>100</v>
      </c>
      <c r="V16" s="1503" t="s">
        <v>8</v>
      </c>
      <c r="W16" s="1504">
        <f t="shared" si="2"/>
        <v>100</v>
      </c>
      <c r="X16" s="1505"/>
      <c r="Y16" s="3444"/>
      <c r="Z16" s="1133">
        <f t="shared" si="7"/>
        <v>111</v>
      </c>
      <c r="AA16" s="1506">
        <f>D16/F16</f>
        <v>1</v>
      </c>
      <c r="AB16" s="1506">
        <f>D16/H16</f>
        <v>1</v>
      </c>
      <c r="AC16" s="1506">
        <f>D16/J16</f>
        <v>1</v>
      </c>
    </row>
    <row r="17" spans="1:29" ht="99.75" hidden="1">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32" t="s">
        <v>534</v>
      </c>
      <c r="Q17" s="1507" t="str">
        <f t="shared" si="6"/>
        <v>居住社区成熟度</v>
      </c>
      <c r="R17" s="1508" t="s">
        <v>8</v>
      </c>
      <c r="S17" s="1509">
        <f t="shared" si="0"/>
        <v>100</v>
      </c>
      <c r="T17" s="1508" t="s">
        <v>8</v>
      </c>
      <c r="U17" s="1509">
        <f t="shared" si="1"/>
        <v>100</v>
      </c>
      <c r="V17" s="1508" t="s">
        <v>8</v>
      </c>
      <c r="W17" s="1509">
        <f t="shared" si="2"/>
        <v>100</v>
      </c>
      <c r="X17" s="1502"/>
      <c r="Y17" s="3532"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533"/>
      <c r="Q18" s="1507"/>
      <c r="R18" s="1508"/>
      <c r="S18" s="1509"/>
      <c r="T18" s="1508"/>
      <c r="U18" s="1509"/>
      <c r="V18" s="1508"/>
      <c r="W18" s="1509"/>
      <c r="X18" s="1502"/>
      <c r="Y18" s="3533"/>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33"/>
      <c r="Q19" s="1507" t="str">
        <f>B19</f>
        <v>商业繁华度</v>
      </c>
      <c r="R19" s="1508" t="s">
        <v>8</v>
      </c>
      <c r="S19" s="1509">
        <f>F19</f>
        <v>100</v>
      </c>
      <c r="T19" s="1508" t="s">
        <v>8</v>
      </c>
      <c r="U19" s="1509">
        <f>H19</f>
        <v>100</v>
      </c>
      <c r="V19" s="1508" t="s">
        <v>8</v>
      </c>
      <c r="W19" s="1509">
        <f>J19</f>
        <v>100</v>
      </c>
      <c r="X19" s="1502"/>
      <c r="Y19" s="3533"/>
      <c r="Z19" s="1510" t="str">
        <f>Q19</f>
        <v>商业繁华度</v>
      </c>
      <c r="AA19" s="1511">
        <f t="shared" si="3"/>
        <v>1</v>
      </c>
      <c r="AB19" s="1511">
        <f t="shared" si="4"/>
        <v>1</v>
      </c>
      <c r="AC19" s="1511">
        <f t="shared" si="5"/>
        <v>1</v>
      </c>
    </row>
    <row r="20" spans="1:29" ht="20.25">
      <c r="A20" s="526"/>
      <c r="B20" s="560"/>
      <c r="C20" s="3290" t="s">
        <v>3054</v>
      </c>
      <c r="D20" s="557"/>
      <c r="E20" s="3291" t="s">
        <v>3055</v>
      </c>
      <c r="F20" s="553"/>
      <c r="G20" s="3292" t="s">
        <v>3055</v>
      </c>
      <c r="H20" s="549"/>
      <c r="I20" s="3291" t="s">
        <v>3055</v>
      </c>
      <c r="J20" s="549"/>
      <c r="K20" s="525"/>
      <c r="L20" s="2025"/>
      <c r="M20" s="2015"/>
      <c r="N20" s="2015"/>
      <c r="O20" s="2024"/>
      <c r="P20" s="3533"/>
      <c r="Q20" s="1507"/>
      <c r="R20" s="1508"/>
      <c r="S20" s="1509"/>
      <c r="T20" s="1508"/>
      <c r="U20" s="1509"/>
      <c r="V20" s="1508"/>
      <c r="W20" s="1509"/>
      <c r="X20" s="1502"/>
      <c r="Y20" s="3533"/>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33"/>
      <c r="Q21" s="1507" t="str">
        <f>B21</f>
        <v>办公集聚程度</v>
      </c>
      <c r="R21" s="1508" t="s">
        <v>8</v>
      </c>
      <c r="S21" s="1509">
        <f>F21</f>
        <v>100</v>
      </c>
      <c r="T21" s="1508" t="s">
        <v>8</v>
      </c>
      <c r="U21" s="1509">
        <f>H21</f>
        <v>100</v>
      </c>
      <c r="V21" s="1508" t="s">
        <v>8</v>
      </c>
      <c r="W21" s="1509">
        <f>J21</f>
        <v>100</v>
      </c>
      <c r="X21" s="1502"/>
      <c r="Y21" s="3533"/>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33"/>
      <c r="Q22" s="1507"/>
      <c r="R22" s="1508"/>
      <c r="S22" s="1509"/>
      <c r="T22" s="1508"/>
      <c r="U22" s="1509"/>
      <c r="V22" s="1508"/>
      <c r="W22" s="1509"/>
      <c r="X22" s="1502"/>
      <c r="Y22" s="3533"/>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33"/>
      <c r="Q23" s="1507" t="str">
        <f>B23</f>
        <v>交通便捷度</v>
      </c>
      <c r="R23" s="1508" t="s">
        <v>8</v>
      </c>
      <c r="S23" s="1509">
        <f>F23</f>
        <v>100</v>
      </c>
      <c r="T23" s="1508" t="s">
        <v>8</v>
      </c>
      <c r="U23" s="1509">
        <f>H23</f>
        <v>100</v>
      </c>
      <c r="V23" s="1508" t="s">
        <v>8</v>
      </c>
      <c r="W23" s="1509">
        <f>J23</f>
        <v>100</v>
      </c>
      <c r="X23" s="1502"/>
      <c r="Y23" s="3533"/>
      <c r="Z23" s="1510" t="str">
        <f>Q23</f>
        <v>交通便捷度</v>
      </c>
      <c r="AA23" s="1511">
        <f t="shared" si="3"/>
        <v>1</v>
      </c>
      <c r="AB23" s="1511">
        <f t="shared" si="4"/>
        <v>1</v>
      </c>
      <c r="AC23" s="1511">
        <f t="shared" si="5"/>
        <v>1</v>
      </c>
    </row>
    <row r="24" spans="1:29" ht="20.25">
      <c r="A24" s="526"/>
      <c r="B24" s="572"/>
      <c r="C24" s="3293" t="s">
        <v>3055</v>
      </c>
      <c r="D24" s="551"/>
      <c r="E24" s="3294" t="s">
        <v>3056</v>
      </c>
      <c r="F24" s="549"/>
      <c r="G24" s="3295" t="s">
        <v>3055</v>
      </c>
      <c r="H24" s="549"/>
      <c r="I24" s="3294" t="s">
        <v>3055</v>
      </c>
      <c r="J24" s="549"/>
      <c r="K24" s="525"/>
      <c r="L24" s="2025"/>
      <c r="M24" s="2015"/>
      <c r="N24" s="2015"/>
      <c r="O24" s="2024"/>
      <c r="P24" s="3533"/>
      <c r="Q24" s="1507"/>
      <c r="R24" s="1508"/>
      <c r="S24" s="1509"/>
      <c r="T24" s="1508"/>
      <c r="U24" s="1509"/>
      <c r="V24" s="1508"/>
      <c r="W24" s="1509"/>
      <c r="X24" s="1502"/>
      <c r="Y24" s="3533"/>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33"/>
      <c r="Q25" s="1507" t="str">
        <f t="shared" ref="Q25:Q39" si="8">B25</f>
        <v>区域土地利用方向</v>
      </c>
      <c r="R25" s="1508" t="s">
        <v>8</v>
      </c>
      <c r="S25" s="1509">
        <f>F25</f>
        <v>100</v>
      </c>
      <c r="T25" s="1508" t="s">
        <v>8</v>
      </c>
      <c r="U25" s="1509">
        <f>H25</f>
        <v>100</v>
      </c>
      <c r="V25" s="1508" t="s">
        <v>8</v>
      </c>
      <c r="W25" s="1509">
        <f>J25</f>
        <v>100</v>
      </c>
      <c r="X25" s="1502"/>
      <c r="Y25" s="3533"/>
      <c r="Z25" s="1510" t="str">
        <f>Q25</f>
        <v>区域土地利用方向</v>
      </c>
      <c r="AA25" s="1511">
        <f t="shared" si="3"/>
        <v>1</v>
      </c>
      <c r="AB25" s="1511">
        <f t="shared" si="4"/>
        <v>1</v>
      </c>
      <c r="AC25" s="1511">
        <f t="shared" si="5"/>
        <v>1</v>
      </c>
    </row>
    <row r="26" spans="1:29" ht="20.25">
      <c r="A26" s="509"/>
      <c r="B26" s="994"/>
      <c r="C26" s="3293" t="s">
        <v>3057</v>
      </c>
      <c r="D26" s="551"/>
      <c r="E26" s="3294" t="s">
        <v>3057</v>
      </c>
      <c r="F26" s="549"/>
      <c r="G26" s="3295" t="s">
        <v>3057</v>
      </c>
      <c r="H26" s="549"/>
      <c r="I26" s="3294" t="s">
        <v>3057</v>
      </c>
      <c r="J26" s="549"/>
      <c r="K26" s="525"/>
      <c r="L26" s="2025"/>
      <c r="M26" s="2015"/>
      <c r="N26" s="2015"/>
      <c r="O26" s="2024"/>
      <c r="P26" s="3533"/>
      <c r="Q26" s="1507"/>
      <c r="R26" s="1508"/>
      <c r="S26" s="1509"/>
      <c r="T26" s="1508"/>
      <c r="U26" s="1509"/>
      <c r="V26" s="1508"/>
      <c r="W26" s="1509"/>
      <c r="X26" s="1502"/>
      <c r="Y26" s="3533"/>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33"/>
      <c r="Q27" s="1507" t="str">
        <f t="shared" si="8"/>
        <v>自然及人文环境状况</v>
      </c>
      <c r="R27" s="1508" t="s">
        <v>8</v>
      </c>
      <c r="S27" s="1509">
        <f>F27</f>
        <v>100</v>
      </c>
      <c r="T27" s="1508" t="s">
        <v>8</v>
      </c>
      <c r="U27" s="1509">
        <f>H27</f>
        <v>100</v>
      </c>
      <c r="V27" s="1508" t="s">
        <v>8</v>
      </c>
      <c r="W27" s="1509">
        <f>J27</f>
        <v>100</v>
      </c>
      <c r="X27" s="1502"/>
      <c r="Y27" s="3533"/>
      <c r="Z27" s="1510" t="str">
        <f>Q27</f>
        <v>自然及人文环境状况</v>
      </c>
      <c r="AA27" s="1511">
        <f t="shared" si="3"/>
        <v>1</v>
      </c>
      <c r="AB27" s="1511">
        <f t="shared" si="4"/>
        <v>1</v>
      </c>
      <c r="AC27" s="1511">
        <f t="shared" si="5"/>
        <v>1</v>
      </c>
    </row>
    <row r="28" spans="1:29" ht="20.25">
      <c r="A28" s="509"/>
      <c r="B28" s="560"/>
      <c r="C28" s="3293" t="s">
        <v>3055</v>
      </c>
      <c r="D28" s="551"/>
      <c r="E28" s="3296" t="s">
        <v>3055</v>
      </c>
      <c r="F28" s="549"/>
      <c r="G28" s="3293" t="s">
        <v>3055</v>
      </c>
      <c r="H28" s="549"/>
      <c r="I28" s="3296" t="s">
        <v>3055</v>
      </c>
      <c r="J28" s="549"/>
      <c r="K28" s="525"/>
      <c r="L28" s="2025"/>
      <c r="M28" s="2015"/>
      <c r="N28" s="2015"/>
      <c r="O28" s="2024"/>
      <c r="P28" s="3533"/>
      <c r="Q28" s="1507"/>
      <c r="R28" s="1508"/>
      <c r="S28" s="1509"/>
      <c r="T28" s="1508"/>
      <c r="U28" s="1509"/>
      <c r="V28" s="1508"/>
      <c r="W28" s="1509"/>
      <c r="X28" s="1502"/>
      <c r="Y28" s="3533"/>
      <c r="Z28" s="1510"/>
      <c r="AA28" s="1511">
        <v>1</v>
      </c>
      <c r="AB28" s="1511">
        <v>1</v>
      </c>
      <c r="AC28" s="1511">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33"/>
      <c r="Q29" s="1134" t="str">
        <f t="shared" si="8"/>
        <v>公共配套设施</v>
      </c>
      <c r="R29" s="1503" t="s">
        <v>8</v>
      </c>
      <c r="S29" s="1504">
        <f>F29</f>
        <v>100</v>
      </c>
      <c r="T29" s="1503" t="s">
        <v>8</v>
      </c>
      <c r="U29" s="1504">
        <f>H29</f>
        <v>100</v>
      </c>
      <c r="V29" s="1503" t="s">
        <v>8</v>
      </c>
      <c r="W29" s="1504">
        <f>J29</f>
        <v>100</v>
      </c>
      <c r="X29" s="1505"/>
      <c r="Y29" s="3533"/>
      <c r="Z29" s="1133" t="str">
        <f>Q29</f>
        <v>公共配套设施</v>
      </c>
      <c r="AA29" s="1511">
        <f>D29/F29</f>
        <v>1</v>
      </c>
      <c r="AB29" s="1511">
        <f>D29/H29</f>
        <v>1</v>
      </c>
      <c r="AC29" s="1511">
        <f>D29/J29</f>
        <v>1</v>
      </c>
    </row>
    <row r="30" spans="1:29" s="1203" customFormat="1" ht="20.25">
      <c r="A30" s="571"/>
      <c r="B30" s="560"/>
      <c r="C30" s="3297" t="s">
        <v>3055</v>
      </c>
      <c r="D30" s="551"/>
      <c r="E30" s="3296" t="s">
        <v>3055</v>
      </c>
      <c r="F30" s="549"/>
      <c r="G30" s="3293" t="s">
        <v>3055</v>
      </c>
      <c r="H30" s="549"/>
      <c r="I30" s="3296" t="s">
        <v>3055</v>
      </c>
      <c r="J30" s="549"/>
      <c r="K30" s="525"/>
      <c r="L30" s="2018"/>
      <c r="M30" s="2015"/>
      <c r="N30" s="2015"/>
      <c r="O30" s="2020"/>
      <c r="P30" s="3533"/>
      <c r="Q30" s="1134"/>
      <c r="R30" s="1503"/>
      <c r="S30" s="1504"/>
      <c r="T30" s="1503"/>
      <c r="U30" s="1504"/>
      <c r="V30" s="1503"/>
      <c r="W30" s="1504"/>
      <c r="X30" s="1505"/>
      <c r="Y30" s="3533"/>
      <c r="Z30" s="1133"/>
      <c r="AA30" s="1511">
        <v>1</v>
      </c>
      <c r="AB30" s="1511">
        <v>1</v>
      </c>
      <c r="AC30" s="1511">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33"/>
      <c r="Q31" s="2428" t="str">
        <f t="shared" ref="Q31" si="9">B31</f>
        <v>基础设施水平</v>
      </c>
      <c r="R31" s="1503" t="s">
        <v>8</v>
      </c>
      <c r="S31" s="1504">
        <f>F31</f>
        <v>100</v>
      </c>
      <c r="T31" s="1503" t="s">
        <v>8</v>
      </c>
      <c r="U31" s="1504">
        <f>H31</f>
        <v>100</v>
      </c>
      <c r="V31" s="1503" t="s">
        <v>8</v>
      </c>
      <c r="W31" s="1504">
        <f>J31</f>
        <v>100</v>
      </c>
      <c r="X31" s="1505"/>
      <c r="Y31" s="3533"/>
      <c r="Z31" s="2427" t="str">
        <f>Q31</f>
        <v>基础设施水平</v>
      </c>
      <c r="AA31" s="1511">
        <f>D31/F31</f>
        <v>1</v>
      </c>
      <c r="AB31" s="1511">
        <f>D31/H31</f>
        <v>1</v>
      </c>
      <c r="AC31" s="1511">
        <f>D31/J31</f>
        <v>1</v>
      </c>
    </row>
    <row r="32" spans="1:29" s="1203" customFormat="1" ht="20.25">
      <c r="A32" s="571"/>
      <c r="B32" s="560"/>
      <c r="C32" s="3297" t="s">
        <v>3058</v>
      </c>
      <c r="D32" s="551"/>
      <c r="E32" s="3298" t="s">
        <v>3058</v>
      </c>
      <c r="F32" s="549"/>
      <c r="G32" s="3297" t="s">
        <v>3058</v>
      </c>
      <c r="H32" s="549"/>
      <c r="I32" s="3297" t="s">
        <v>3058</v>
      </c>
      <c r="J32" s="549"/>
      <c r="K32" s="525"/>
      <c r="L32" s="2018"/>
      <c r="M32" s="2015"/>
      <c r="N32" s="2015"/>
      <c r="O32" s="2020"/>
      <c r="P32" s="3533"/>
      <c r="Q32" s="2428"/>
      <c r="R32" s="1503"/>
      <c r="S32" s="1504"/>
      <c r="T32" s="1503"/>
      <c r="U32" s="1504"/>
      <c r="V32" s="1503"/>
      <c r="W32" s="1504"/>
      <c r="X32" s="1505"/>
      <c r="Y32" s="3533"/>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3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33"/>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33"/>
      <c r="Q34" s="1507" t="str">
        <f t="shared" si="8"/>
        <v>毗邻道路的类型与等级</v>
      </c>
      <c r="R34" s="1508" t="s">
        <v>8</v>
      </c>
      <c r="S34" s="1509">
        <f t="shared" si="10"/>
        <v>100</v>
      </c>
      <c r="T34" s="1508" t="s">
        <v>8</v>
      </c>
      <c r="U34" s="1509">
        <f t="shared" si="11"/>
        <v>100</v>
      </c>
      <c r="V34" s="1508" t="s">
        <v>8</v>
      </c>
      <c r="W34" s="1509">
        <f t="shared" si="12"/>
        <v>100</v>
      </c>
      <c r="X34" s="1502"/>
      <c r="Y34" s="3533"/>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33"/>
      <c r="Q35" s="1507"/>
      <c r="R35" s="1508"/>
      <c r="S35" s="1509"/>
      <c r="T35" s="1508"/>
      <c r="U35" s="1509"/>
      <c r="V35" s="1508"/>
      <c r="W35" s="1509"/>
      <c r="X35" s="1502"/>
      <c r="Y35" s="3533"/>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33"/>
      <c r="Q36" s="1507" t="str">
        <f t="shared" si="8"/>
        <v>土地级别</v>
      </c>
      <c r="R36" s="1508" t="s">
        <v>8</v>
      </c>
      <c r="S36" s="1509">
        <f t="shared" si="10"/>
        <v>100</v>
      </c>
      <c r="T36" s="1508" t="s">
        <v>8</v>
      </c>
      <c r="U36" s="1509">
        <f t="shared" si="11"/>
        <v>100</v>
      </c>
      <c r="V36" s="1508" t="s">
        <v>8</v>
      </c>
      <c r="W36" s="1509">
        <f t="shared" si="12"/>
        <v>100</v>
      </c>
      <c r="X36" s="1502"/>
      <c r="Y36" s="3533"/>
      <c r="Z36" s="1510" t="str">
        <f t="shared" si="13"/>
        <v>土地级别</v>
      </c>
      <c r="AA36" s="1511">
        <f t="shared" si="3"/>
        <v>1</v>
      </c>
      <c r="AB36" s="1511">
        <f t="shared" si="4"/>
        <v>1</v>
      </c>
      <c r="AC36" s="1511">
        <f t="shared" si="5"/>
        <v>1</v>
      </c>
    </row>
    <row r="37" spans="1:29" ht="20.25">
      <c r="A37" s="509"/>
      <c r="B37" s="3306" t="s">
        <v>3247</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33"/>
      <c r="Q37" s="1507" t="str">
        <f t="shared" si="8"/>
        <v>距市人民政府距离</v>
      </c>
      <c r="R37" s="1508" t="s">
        <v>8</v>
      </c>
      <c r="S37" s="1509">
        <f t="shared" si="10"/>
        <v>100</v>
      </c>
      <c r="T37" s="1508" t="s">
        <v>8</v>
      </c>
      <c r="U37" s="1509">
        <f t="shared" si="11"/>
        <v>100</v>
      </c>
      <c r="V37" s="1508" t="s">
        <v>8</v>
      </c>
      <c r="W37" s="1509">
        <f t="shared" si="12"/>
        <v>100</v>
      </c>
      <c r="X37" s="1502"/>
      <c r="Y37" s="3533"/>
      <c r="Z37" s="1510" t="str">
        <f t="shared" si="13"/>
        <v>距市人民政府距离</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34" t="s">
        <v>544</v>
      </c>
      <c r="Q38" s="1507">
        <f t="shared" si="8"/>
        <v>111</v>
      </c>
      <c r="R38" s="1508" t="s">
        <v>8</v>
      </c>
      <c r="S38" s="1509">
        <f t="shared" si="10"/>
        <v>100</v>
      </c>
      <c r="T38" s="1508" t="s">
        <v>8</v>
      </c>
      <c r="U38" s="1509">
        <f t="shared" si="11"/>
        <v>100</v>
      </c>
      <c r="V38" s="1508" t="s">
        <v>8</v>
      </c>
      <c r="W38" s="1509">
        <f t="shared" si="12"/>
        <v>100</v>
      </c>
      <c r="X38" s="1502"/>
      <c r="Y38" s="3535"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35"/>
      <c r="Q39" s="1507">
        <f t="shared" si="8"/>
        <v>111</v>
      </c>
      <c r="R39" s="1512" t="s">
        <v>8</v>
      </c>
      <c r="S39" s="1513">
        <f t="shared" si="10"/>
        <v>100</v>
      </c>
      <c r="T39" s="1512" t="s">
        <v>8</v>
      </c>
      <c r="U39" s="1513">
        <f t="shared" si="11"/>
        <v>100</v>
      </c>
      <c r="V39" s="1512" t="s">
        <v>8</v>
      </c>
      <c r="W39" s="1513">
        <f t="shared" si="12"/>
        <v>100</v>
      </c>
      <c r="X39" s="1514"/>
      <c r="Y39" s="3535"/>
      <c r="Z39" s="1515">
        <f t="shared" si="13"/>
        <v>111</v>
      </c>
      <c r="AA39" s="1511">
        <f t="shared" si="3"/>
        <v>1</v>
      </c>
      <c r="AB39" s="1511">
        <f t="shared" si="4"/>
        <v>1</v>
      </c>
      <c r="AC39" s="1511">
        <f t="shared" si="5"/>
        <v>1</v>
      </c>
    </row>
    <row r="40" spans="1:29" ht="20.25">
      <c r="A40" s="2624" t="s">
        <v>2735</v>
      </c>
      <c r="B40" s="589" t="s">
        <v>546</v>
      </c>
      <c r="C40" s="590">
        <f>'数据-基础表'!A3</f>
        <v>266666.3</v>
      </c>
      <c r="D40" s="591">
        <v>100</v>
      </c>
      <c r="E40" s="590">
        <f>土地案例!C3</f>
        <v>3835</v>
      </c>
      <c r="F40" s="591">
        <f>LOOKUP(E40,119:119,120:120)-LOOKUP(C40,119:119,120:120)+100</f>
        <v>101</v>
      </c>
      <c r="G40" s="590">
        <f>土地案例!C8</f>
        <v>4689</v>
      </c>
      <c r="H40" s="591">
        <f>LOOKUP(G40,119:119,120:120)-LOOKUP(C40,119:119,120:120)+100</f>
        <v>101</v>
      </c>
      <c r="I40" s="592">
        <f>土地案例!C13</f>
        <v>7617</v>
      </c>
      <c r="J40" s="591">
        <f>LOOKUP(I40,119:119,120:120)-LOOKUP(C40,119:119,120:120)+100</f>
        <v>102</v>
      </c>
      <c r="K40" s="575"/>
      <c r="L40" s="2025"/>
      <c r="M40" s="2015"/>
      <c r="N40" s="2015"/>
      <c r="O40" s="2024"/>
      <c r="P40" s="3535"/>
      <c r="Q40" s="1507" t="str">
        <f>B40</f>
        <v>宗地面积</v>
      </c>
      <c r="R40" s="1508" t="s">
        <v>8</v>
      </c>
      <c r="S40" s="1509">
        <f t="shared" si="10"/>
        <v>101</v>
      </c>
      <c r="T40" s="1508" t="s">
        <v>8</v>
      </c>
      <c r="U40" s="1509">
        <f t="shared" si="11"/>
        <v>101</v>
      </c>
      <c r="V40" s="1508" t="s">
        <v>8</v>
      </c>
      <c r="W40" s="1509">
        <f t="shared" si="12"/>
        <v>102</v>
      </c>
      <c r="X40" s="1502"/>
      <c r="Y40" s="3535"/>
      <c r="Z40" s="1510" t="str">
        <f t="shared" si="13"/>
        <v>宗地面积</v>
      </c>
      <c r="AA40" s="1511">
        <f t="shared" si="3"/>
        <v>0.99009900990099009</v>
      </c>
      <c r="AB40" s="1511">
        <f t="shared" si="4"/>
        <v>0.99009900990099009</v>
      </c>
      <c r="AC40" s="1511">
        <f t="shared" si="5"/>
        <v>0.98039215686274506</v>
      </c>
    </row>
    <row r="41" spans="1:29" ht="20.25">
      <c r="A41" s="588"/>
      <c r="B41" s="521" t="s">
        <v>547</v>
      </c>
      <c r="C41" s="3299" t="s">
        <v>3059</v>
      </c>
      <c r="D41" s="534">
        <v>100</v>
      </c>
      <c r="E41" s="3299" t="s">
        <v>3059</v>
      </c>
      <c r="F41" s="534">
        <f>SUMIF(121:121,E41,122:122)-SUMIF(121:121,C41,122:122)+100</f>
        <v>100</v>
      </c>
      <c r="G41" s="3299" t="s">
        <v>3059</v>
      </c>
      <c r="H41" s="534">
        <f>SUMIF(121:121,G41,122:122)-SUMIF(121:121,C41,122:122)+100</f>
        <v>100</v>
      </c>
      <c r="I41" s="3299" t="s">
        <v>3059</v>
      </c>
      <c r="J41" s="534">
        <f>SUMIF(121:121,I41,122:122)-SUMIF(121:121,C41,122:122)+100</f>
        <v>100</v>
      </c>
      <c r="K41" s="578"/>
      <c r="L41" s="2025"/>
      <c r="M41" s="2015"/>
      <c r="N41" s="2015"/>
      <c r="O41" s="2024"/>
      <c r="P41" s="3535"/>
      <c r="Q41" s="1507" t="str">
        <f t="shared" ref="Q41:Q47" si="14">B41</f>
        <v>宗地形状</v>
      </c>
      <c r="R41" s="1508" t="s">
        <v>8</v>
      </c>
      <c r="S41" s="1509">
        <f t="shared" si="10"/>
        <v>100</v>
      </c>
      <c r="T41" s="1508" t="s">
        <v>8</v>
      </c>
      <c r="U41" s="1509">
        <f t="shared" si="11"/>
        <v>100</v>
      </c>
      <c r="V41" s="1508" t="s">
        <v>8</v>
      </c>
      <c r="W41" s="1509">
        <f t="shared" si="12"/>
        <v>100</v>
      </c>
      <c r="X41" s="1502"/>
      <c r="Y41" s="3535"/>
      <c r="Z41" s="1510" t="str">
        <f t="shared" si="13"/>
        <v>宗地形状</v>
      </c>
      <c r="AA41" s="1511">
        <f t="shared" si="3"/>
        <v>1</v>
      </c>
      <c r="AB41" s="1511">
        <f t="shared" si="4"/>
        <v>1</v>
      </c>
      <c r="AC41" s="1511">
        <f t="shared" si="5"/>
        <v>1</v>
      </c>
    </row>
    <row r="42" spans="1:29" ht="20.25">
      <c r="A42" s="588"/>
      <c r="B42" s="521" t="s">
        <v>548</v>
      </c>
      <c r="C42" s="3299" t="s">
        <v>3060</v>
      </c>
      <c r="D42" s="534">
        <v>100</v>
      </c>
      <c r="E42" s="3299" t="s">
        <v>3060</v>
      </c>
      <c r="F42" s="534">
        <f>SUMIF(123:123,E42,124:124)-SUMIF(123:123,C42,124:124)+100</f>
        <v>100</v>
      </c>
      <c r="G42" s="3299" t="s">
        <v>3060</v>
      </c>
      <c r="H42" s="534">
        <f>SUMIF(123:123,G42,124:124)-SUMIF(123:123,C42,124:124)+100</f>
        <v>100</v>
      </c>
      <c r="I42" s="3299" t="s">
        <v>3060</v>
      </c>
      <c r="J42" s="534">
        <f>SUMIF(123:123,I42,124:124)-SUMIF(123:123,C42,124:124)+100</f>
        <v>100</v>
      </c>
      <c r="K42" s="578"/>
      <c r="L42" s="2025"/>
      <c r="M42" s="2015"/>
      <c r="N42" s="2015"/>
      <c r="O42" s="2024"/>
      <c r="P42" s="3535"/>
      <c r="Q42" s="1507" t="str">
        <f t="shared" si="14"/>
        <v>临街宽度及深度</v>
      </c>
      <c r="R42" s="1508" t="s">
        <v>8</v>
      </c>
      <c r="S42" s="1509">
        <f t="shared" si="10"/>
        <v>100</v>
      </c>
      <c r="T42" s="1508" t="s">
        <v>8</v>
      </c>
      <c r="U42" s="1509">
        <f t="shared" si="11"/>
        <v>100</v>
      </c>
      <c r="V42" s="1508" t="s">
        <v>8</v>
      </c>
      <c r="W42" s="1509">
        <f t="shared" si="12"/>
        <v>100</v>
      </c>
      <c r="X42" s="1502"/>
      <c r="Y42" s="3535"/>
      <c r="Z42" s="1510" t="str">
        <f t="shared" si="13"/>
        <v>临街宽度及深度</v>
      </c>
      <c r="AA42" s="1511">
        <f t="shared" si="3"/>
        <v>1</v>
      </c>
      <c r="AB42" s="1511">
        <f t="shared" si="4"/>
        <v>1</v>
      </c>
      <c r="AC42" s="1511">
        <f t="shared" si="5"/>
        <v>1</v>
      </c>
    </row>
    <row r="43" spans="1:29" s="1203" customFormat="1" ht="20.25">
      <c r="A43" s="594"/>
      <c r="B43" s="1810" t="s">
        <v>2409</v>
      </c>
      <c r="C43" s="3300" t="s">
        <v>3061</v>
      </c>
      <c r="D43" s="253">
        <v>100</v>
      </c>
      <c r="E43" s="3300" t="s">
        <v>3061</v>
      </c>
      <c r="F43" s="534">
        <f>SUMIF(125:125,E43,126:126)-SUMIF(125:125,C43,126:126)+100</f>
        <v>100</v>
      </c>
      <c r="G43" s="3300" t="s">
        <v>3061</v>
      </c>
      <c r="H43" s="534">
        <f>SUMIF(125:125,G43,126:126)-SUMIF(125:125,C43,126:126)+100</f>
        <v>100</v>
      </c>
      <c r="I43" s="3300" t="s">
        <v>3061</v>
      </c>
      <c r="J43" s="534">
        <f>SUMIF(125:125,I43,126:126)-SUMIF(125:125,C43,126:126)+100</f>
        <v>100</v>
      </c>
      <c r="K43" s="578"/>
      <c r="L43" s="2018"/>
      <c r="M43" s="2015"/>
      <c r="N43" s="2015"/>
      <c r="O43" s="2020"/>
      <c r="P43" s="3535"/>
      <c r="Q43" s="1507" t="str">
        <f t="shared" si="14"/>
        <v>宗地开发程度</v>
      </c>
      <c r="R43" s="1503" t="s">
        <v>8</v>
      </c>
      <c r="S43" s="1504">
        <f t="shared" si="10"/>
        <v>100</v>
      </c>
      <c r="T43" s="1503" t="s">
        <v>8</v>
      </c>
      <c r="U43" s="1504">
        <f t="shared" si="11"/>
        <v>100</v>
      </c>
      <c r="V43" s="1503" t="s">
        <v>8</v>
      </c>
      <c r="W43" s="1504">
        <f t="shared" si="12"/>
        <v>100</v>
      </c>
      <c r="X43" s="1505"/>
      <c r="Y43" s="3535"/>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35" t="s">
        <v>544</v>
      </c>
      <c r="Q44" s="1507" t="str">
        <f t="shared" si="14"/>
        <v>工程地质条件</v>
      </c>
      <c r="R44" s="1508" t="s">
        <v>8</v>
      </c>
      <c r="S44" s="1509">
        <f t="shared" si="10"/>
        <v>100</v>
      </c>
      <c r="T44" s="1508" t="s">
        <v>8</v>
      </c>
      <c r="U44" s="1509">
        <f t="shared" si="11"/>
        <v>100</v>
      </c>
      <c r="V44" s="1508" t="s">
        <v>8</v>
      </c>
      <c r="W44" s="1509">
        <f t="shared" si="12"/>
        <v>100</v>
      </c>
      <c r="X44" s="1502"/>
      <c r="Y44" s="3535"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35"/>
      <c r="Q45" s="1507">
        <f t="shared" si="14"/>
        <v>111</v>
      </c>
      <c r="R45" s="1508" t="s">
        <v>8</v>
      </c>
      <c r="S45" s="1509">
        <f t="shared" si="10"/>
        <v>100</v>
      </c>
      <c r="T45" s="1508" t="s">
        <v>8</v>
      </c>
      <c r="U45" s="1509">
        <f t="shared" si="11"/>
        <v>100</v>
      </c>
      <c r="V45" s="1508" t="s">
        <v>8</v>
      </c>
      <c r="W45" s="1509">
        <f t="shared" si="12"/>
        <v>100</v>
      </c>
      <c r="X45" s="1502"/>
      <c r="Y45" s="3535"/>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35"/>
      <c r="Q46" s="1507">
        <f t="shared" si="14"/>
        <v>111</v>
      </c>
      <c r="R46" s="1508" t="s">
        <v>8</v>
      </c>
      <c r="S46" s="1509">
        <f t="shared" si="10"/>
        <v>100</v>
      </c>
      <c r="T46" s="1508" t="s">
        <v>8</v>
      </c>
      <c r="U46" s="1509">
        <f t="shared" si="11"/>
        <v>100</v>
      </c>
      <c r="V46" s="1508" t="s">
        <v>8</v>
      </c>
      <c r="W46" s="1509">
        <f t="shared" si="12"/>
        <v>100</v>
      </c>
      <c r="X46" s="1502"/>
      <c r="Y46" s="3535"/>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35"/>
      <c r="Q47" s="1507">
        <f t="shared" si="14"/>
        <v>111</v>
      </c>
      <c r="R47" s="1512" t="s">
        <v>8</v>
      </c>
      <c r="S47" s="1513">
        <f t="shared" si="10"/>
        <v>100</v>
      </c>
      <c r="T47" s="1512" t="s">
        <v>8</v>
      </c>
      <c r="U47" s="1513">
        <f t="shared" si="11"/>
        <v>100</v>
      </c>
      <c r="V47" s="1512" t="s">
        <v>8</v>
      </c>
      <c r="W47" s="1513">
        <f t="shared" si="12"/>
        <v>100</v>
      </c>
      <c r="X47" s="1514"/>
      <c r="Y47" s="3535"/>
      <c r="Z47" s="1515">
        <f t="shared" si="13"/>
        <v>111</v>
      </c>
      <c r="AA47" s="1511">
        <f t="shared" si="3"/>
        <v>1</v>
      </c>
      <c r="AB47" s="1511">
        <f t="shared" si="4"/>
        <v>1</v>
      </c>
      <c r="AC47" s="1511">
        <f t="shared" si="5"/>
        <v>1</v>
      </c>
    </row>
    <row r="48" spans="1:29" ht="20.25">
      <c r="A48" s="601" t="s">
        <v>550</v>
      </c>
      <c r="B48" s="602" t="s">
        <v>3062</v>
      </c>
      <c r="C48" s="603" t="s">
        <v>1</v>
      </c>
      <c r="D48" s="604"/>
      <c r="E48" s="605">
        <f>土地案例!L3</f>
        <v>480</v>
      </c>
      <c r="F48" s="606"/>
      <c r="G48" s="607">
        <f>土地案例!L8</f>
        <v>446</v>
      </c>
      <c r="H48" s="608"/>
      <c r="I48" s="605">
        <f>土地案例!L13</f>
        <v>500</v>
      </c>
      <c r="J48" s="608"/>
      <c r="K48" s="1294"/>
      <c r="L48" s="2027"/>
      <c r="M48" s="2015"/>
      <c r="N48" s="2015"/>
      <c r="O48" s="2028"/>
      <c r="P48" s="3498" t="str">
        <f>A48</f>
        <v>成交单价</v>
      </c>
      <c r="Q48" s="3498"/>
      <c r="R48" s="3499">
        <f>E48</f>
        <v>480</v>
      </c>
      <c r="S48" s="3499"/>
      <c r="T48" s="3499">
        <f>G48</f>
        <v>446</v>
      </c>
      <c r="U48" s="3499"/>
      <c r="V48" s="3499">
        <f>I48</f>
        <v>500</v>
      </c>
      <c r="W48" s="3499"/>
      <c r="X48" s="1497"/>
      <c r="Y48" s="1516"/>
      <c r="Z48" s="1497"/>
      <c r="AA48" s="1497"/>
      <c r="AB48" s="1497"/>
      <c r="AC48" s="1497"/>
    </row>
    <row r="49" spans="1:29" ht="21" thickBot="1">
      <c r="A49" s="609" t="s">
        <v>2673</v>
      </c>
      <c r="B49" s="610"/>
      <c r="C49" s="611">
        <f>R50</f>
        <v>340</v>
      </c>
      <c r="D49" s="3012" t="s">
        <v>2971</v>
      </c>
      <c r="E49" s="611">
        <f>R49</f>
        <v>343</v>
      </c>
      <c r="F49" s="3013"/>
      <c r="G49" s="612">
        <f>T49</f>
        <v>321</v>
      </c>
      <c r="H49" s="3013"/>
      <c r="I49" s="611">
        <f>V49</f>
        <v>356</v>
      </c>
      <c r="J49" s="3013"/>
      <c r="K49" s="3014">
        <f>F49+H49+J49</f>
        <v>0</v>
      </c>
      <c r="L49" s="2027"/>
      <c r="M49" s="2015"/>
      <c r="N49" s="2015"/>
      <c r="O49" s="2028"/>
      <c r="P49" s="3498" t="str">
        <f>A49</f>
        <v>比较价格（元/平方米）</v>
      </c>
      <c r="Q49" s="3498"/>
      <c r="R49" s="3500">
        <f>ROUND(PRODUCT(R48,AA9:AA47),0)</f>
        <v>343</v>
      </c>
      <c r="S49" s="3500"/>
      <c r="T49" s="3500">
        <f>ROUND(PRODUCT(T48,AB9:AB47),0)</f>
        <v>321</v>
      </c>
      <c r="U49" s="3500"/>
      <c r="V49" s="3500">
        <f>ROUND(PRODUCT(V48,AC9:AC47),0)</f>
        <v>356</v>
      </c>
      <c r="W49" s="3500"/>
      <c r="X49" s="1497"/>
      <c r="Y49" s="1497"/>
      <c r="Z49" s="1497"/>
      <c r="AA49" s="1497"/>
      <c r="AB49" s="1497"/>
      <c r="AC49" s="1497"/>
    </row>
    <row r="50" spans="1:29" ht="21" thickBot="1">
      <c r="A50" s="613" t="s">
        <v>2903</v>
      </c>
      <c r="B50" s="614"/>
      <c r="C50" s="615">
        <f>R50</f>
        <v>340</v>
      </c>
      <c r="D50" s="615"/>
      <c r="E50" s="615"/>
      <c r="F50" s="615"/>
      <c r="G50" s="615"/>
      <c r="H50" s="615"/>
      <c r="I50" s="615"/>
      <c r="J50" s="615"/>
      <c r="K50" s="1295"/>
      <c r="L50" s="2027"/>
      <c r="M50" s="2015"/>
      <c r="N50" s="2015"/>
      <c r="O50" s="2028"/>
      <c r="P50" s="3495" t="str">
        <f>A50</f>
        <v>估价对象XX用房的比较价格（楼面单价，元/平方米）</v>
      </c>
      <c r="Q50" s="3496"/>
      <c r="R50" s="3497">
        <f>ROUND(IF(D49="简单平均",AVERAGE(R49:W49),R49*F49+T49*H49+V49*J49),0)</f>
        <v>340</v>
      </c>
      <c r="S50" s="3497"/>
      <c r="T50" s="3497"/>
      <c r="U50" s="3497"/>
      <c r="V50" s="3497"/>
      <c r="W50" s="3497"/>
      <c r="X50" s="1497"/>
      <c r="Y50" s="1497"/>
      <c r="Z50" s="1497"/>
      <c r="AA50" s="1497"/>
      <c r="AB50" s="1497"/>
      <c r="AC50" s="1497"/>
    </row>
    <row r="51" spans="1:29" ht="20.25">
      <c r="A51" s="3212"/>
      <c r="B51" s="3212"/>
      <c r="C51" s="3212"/>
      <c r="D51" s="3212"/>
      <c r="E51" s="3212"/>
      <c r="F51" s="3212"/>
      <c r="G51" s="3214"/>
      <c r="H51" s="3212"/>
      <c r="I51" s="3212"/>
      <c r="J51" s="3212"/>
      <c r="K51" s="3215"/>
      <c r="L51" s="2032"/>
      <c r="M51" s="2015"/>
      <c r="N51" s="2015"/>
      <c r="O51" s="2028"/>
      <c r="P51" s="2028"/>
      <c r="Q51" s="2028"/>
      <c r="R51" s="2028"/>
      <c r="S51" s="2028"/>
      <c r="T51" s="2028"/>
      <c r="U51" s="2028"/>
      <c r="V51" s="2028"/>
      <c r="W51" s="2028"/>
      <c r="X51" s="2028"/>
      <c r="Y51" s="2028"/>
      <c r="Z51" s="2028"/>
      <c r="AA51" s="2028"/>
      <c r="AB51" s="2028"/>
      <c r="AC51" s="2028"/>
    </row>
    <row r="52" spans="1:29" ht="20.25">
      <c r="A52" s="3212"/>
      <c r="B52" s="3212"/>
      <c r="C52" s="3212"/>
      <c r="D52" s="3212"/>
      <c r="E52" s="3212"/>
      <c r="F52" s="3212"/>
      <c r="G52" s="3212"/>
      <c r="H52" s="3212"/>
      <c r="I52" s="3212"/>
      <c r="J52" s="3212"/>
      <c r="K52" s="3215"/>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551</v>
      </c>
      <c r="D53" s="617"/>
      <c r="E53" s="618">
        <f>IF(E48&lt;E49,E49/E48-1,E48/E49-1)</f>
        <v>0.39941690962099119</v>
      </c>
      <c r="F53" s="619" t="str">
        <f>IF(OR(E53&gt;=0.3,E53&lt;=-0.3),"超过30%","")</f>
        <v>超过30%</v>
      </c>
      <c r="G53" s="618">
        <f>IF(G48&lt;G49,G49/G48-1,G48/G49-1)</f>
        <v>0.38940809968847345</v>
      </c>
      <c r="H53" s="619" t="str">
        <f>IF(OR(G53&gt;=0.3,G53&lt;=-0.3),"超过30%","")</f>
        <v>超过30%</v>
      </c>
      <c r="I53" s="618">
        <f>IF(I48&lt;I49,I49/I48-1,I48/I49-1)</f>
        <v>0.40449438202247201</v>
      </c>
      <c r="J53" s="619" t="str">
        <f>IF(OR(I53&gt;=0.3,I53&lt;=-0.3),"超过30%","")</f>
        <v>超过30%</v>
      </c>
      <c r="K53" s="3215"/>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2"/>
      <c r="B54" s="3212"/>
      <c r="C54" s="616" t="s">
        <v>552</v>
      </c>
      <c r="D54" s="620"/>
      <c r="E54" s="618">
        <f>IF(E49&lt;G49,G49/E49-1,E49/G49-1)</f>
        <v>6.8535825545171347E-2</v>
      </c>
      <c r="F54" s="619" t="str">
        <f>IF(OR(E54&gt;=0.2,E54&lt;=-0.2),"超过20%","")</f>
        <v/>
      </c>
      <c r="G54" s="618">
        <f>IF(G49&lt;I49,I49/G49-1,G49/I49-1)</f>
        <v>0.10903426791277249</v>
      </c>
      <c r="H54" s="619" t="str">
        <f>IF(OR(G54&gt;=0.2,G54&lt;=-0.2),"超过20%","")</f>
        <v/>
      </c>
      <c r="I54" s="618">
        <f>IF(I49&lt;E49,E49/I49-1,I49/E49-1)</f>
        <v>3.790087463556846E-2</v>
      </c>
      <c r="J54" s="619" t="str">
        <f>IF(OR(I54&gt;=0.2,I54&lt;=-0.2),"超过20%","")</f>
        <v/>
      </c>
      <c r="K54" s="3215"/>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3"/>
      <c r="B55" s="3213"/>
      <c r="C55" s="616" t="s">
        <v>553</v>
      </c>
      <c r="D55" s="620"/>
      <c r="E55" s="618">
        <f>IF(E48&lt;G48,G48/E48-1,E48/G48-1)</f>
        <v>7.623318385650224E-2</v>
      </c>
      <c r="F55" s="619" t="str">
        <f>IF(OR(E55&gt;=0.3,E55&lt;=-0.3),"超过30%","")</f>
        <v/>
      </c>
      <c r="G55" s="618">
        <f>IF(G48&lt;I48,I48/G48-1,G48/I48-1)</f>
        <v>0.12107623318385641</v>
      </c>
      <c r="H55" s="619" t="str">
        <f>IF(OR(G55&gt;=0.3,G55&lt;=-0.3),"超过30%","")</f>
        <v/>
      </c>
      <c r="I55" s="618">
        <f>IF(I48&lt;E48,E48/I48-1,I48/E48-1)</f>
        <v>4.1666666666666741E-2</v>
      </c>
      <c r="J55" s="619" t="str">
        <f>IF(OR(I55&gt;=0.3,I55&lt;=-0.3),"超过30%","")</f>
        <v/>
      </c>
      <c r="K55" s="3216"/>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6"/>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24" t="s">
        <v>2269</v>
      </c>
      <c r="H57" s="3525"/>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340</v>
      </c>
      <c r="C58" s="627">
        <v>1</v>
      </c>
      <c r="D58" s="2109">
        <v>1</v>
      </c>
      <c r="E58" s="627">
        <f>'数据-汇总表'!E8+'数据-汇总表'!E9</f>
        <v>1146665.0900000001</v>
      </c>
      <c r="F58" s="628">
        <f t="shared" ref="F58:F67" si="15">ROUND(B58*E58/10000,0)</f>
        <v>38987</v>
      </c>
      <c r="G58" s="3526"/>
      <c r="H58" s="3527"/>
      <c r="I58" s="1495">
        <v>1</v>
      </c>
      <c r="J58" s="1495">
        <v>1</v>
      </c>
      <c r="K58" s="3217"/>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28" t="s">
        <v>2270</v>
      </c>
      <c r="H59" s="1863">
        <f>项目基本情况!B43</f>
        <v>0</v>
      </c>
      <c r="I59" s="1495">
        <f>SUMIF(修正!$A$45:$A$56,H59,修正!B45:B56)</f>
        <v>0</v>
      </c>
      <c r="J59" s="1496"/>
      <c r="K59" s="3217"/>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28"/>
      <c r="H60" s="1863">
        <f>项目基本情况!B43</f>
        <v>0</v>
      </c>
      <c r="I60" s="1495">
        <f>SUMIF(修正!$A$45:$A$56,H60,修正!C45:C56)</f>
        <v>0</v>
      </c>
      <c r="J60" s="1496"/>
      <c r="K60" s="3217"/>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28"/>
      <c r="H61" s="1863">
        <f>项目基本情况!B43</f>
        <v>0</v>
      </c>
      <c r="I61" s="1495">
        <f>SUMIF(修正!$A$45:$A$56,H61,修正!D45:D56)</f>
        <v>0</v>
      </c>
      <c r="J61" s="1496"/>
      <c r="K61" s="3217"/>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28"/>
      <c r="H62" s="1863">
        <f>项目基本情况!B43</f>
        <v>0</v>
      </c>
      <c r="I62" s="1495">
        <f>SUMIF(修正!$A$45:$A$56,H62,修正!E45:E56)</f>
        <v>0</v>
      </c>
      <c r="J62" s="1496"/>
      <c r="K62" s="3217"/>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7"/>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7"/>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7"/>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7"/>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7"/>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1146665.0900000001</v>
      </c>
      <c r="F68" s="636">
        <f>IF(B48="楼面地价",SUM(F58:F67),ROUND(C50*E68/10000,0))</f>
        <v>38987</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6" t="str">
        <f>YEAR(C9)&amp;"-"&amp;MONTH(C9)&amp;"-1"</f>
        <v>2021-10-1</v>
      </c>
      <c r="D70" s="2516">
        <f>EDATE(C70,-3)</f>
        <v>44378</v>
      </c>
      <c r="E70" s="2516">
        <f t="shared" ref="E70:N70" si="18">EDATE(D70,-3)</f>
        <v>44287</v>
      </c>
      <c r="F70" s="2516">
        <f t="shared" si="18"/>
        <v>44197</v>
      </c>
      <c r="G70" s="2516">
        <f t="shared" si="18"/>
        <v>44105</v>
      </c>
      <c r="H70" s="2516">
        <f t="shared" si="18"/>
        <v>44013</v>
      </c>
      <c r="I70" s="2516">
        <f t="shared" si="18"/>
        <v>43922</v>
      </c>
      <c r="J70" s="2516">
        <f t="shared" si="18"/>
        <v>43831</v>
      </c>
      <c r="K70" s="2516">
        <f t="shared" si="18"/>
        <v>43739</v>
      </c>
      <c r="L70" s="2516">
        <f t="shared" si="18"/>
        <v>43647</v>
      </c>
      <c r="M70" s="2516">
        <f t="shared" si="18"/>
        <v>43556</v>
      </c>
      <c r="N70" s="2516">
        <f t="shared" si="18"/>
        <v>43466</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1" t="s">
        <v>2513</v>
      </c>
      <c r="B72" s="2422"/>
      <c r="C72" s="2513" t="str">
        <f>YEAR(C70)&amp;"-"&amp;ROUNDUP(MONTH(C70)/3,0)</f>
        <v>2021-4</v>
      </c>
      <c r="D72" s="2518" t="str">
        <f>YEAR(D70)&amp;"-"&amp;ROUNDUP(MONTH(D70)/3,0)</f>
        <v>2021-3</v>
      </c>
      <c r="E72" s="2518" t="str">
        <f t="shared" ref="E72:N72" si="19">YEAR(E70)&amp;"-"&amp;ROUNDUP(MONTH(E70)/3,0)</f>
        <v>2021-2</v>
      </c>
      <c r="F72" s="2518" t="str">
        <f t="shared" si="19"/>
        <v>2021-1</v>
      </c>
      <c r="G72" s="2518" t="str">
        <f t="shared" si="19"/>
        <v>2020-4</v>
      </c>
      <c r="H72" s="2518" t="str">
        <f t="shared" si="19"/>
        <v>2020-3</v>
      </c>
      <c r="I72" s="2518" t="str">
        <f t="shared" si="19"/>
        <v>2020-2</v>
      </c>
      <c r="J72" s="2518" t="str">
        <f t="shared" si="19"/>
        <v>2020-1</v>
      </c>
      <c r="K72" s="2518" t="str">
        <f t="shared" si="19"/>
        <v>2019-4</v>
      </c>
      <c r="L72" s="2518" t="str">
        <f t="shared" si="19"/>
        <v>2019-3</v>
      </c>
      <c r="M72" s="2518" t="str">
        <f t="shared" si="19"/>
        <v>2019-2</v>
      </c>
      <c r="N72" s="2518" t="str">
        <f t="shared" si="19"/>
        <v>2019-1</v>
      </c>
      <c r="O72" s="2041"/>
      <c r="P72" s="2042"/>
      <c r="Q72" s="2043"/>
      <c r="R72" s="2043"/>
      <c r="S72" s="2043"/>
      <c r="T72" s="2043"/>
      <c r="U72" s="2043"/>
      <c r="V72" s="2043"/>
      <c r="W72" s="2043"/>
      <c r="X72" s="2043"/>
      <c r="Y72" s="2043"/>
      <c r="Z72" s="2043"/>
      <c r="AA72" s="2043"/>
      <c r="AB72" s="2043"/>
      <c r="AC72" s="2043"/>
    </row>
    <row r="73" spans="1:29" s="1203" customFormat="1" ht="27" customHeight="1">
      <c r="A73" s="2523" t="s">
        <v>2627</v>
      </c>
      <c r="B73" s="473" t="str">
        <f>"北京市平均增长率"&amp;TEXT(SUMIF(基准地价!N21:N25,A73,基准地价!P21:P25),"0.00%")</f>
        <v>北京市平均增长率1.66%</v>
      </c>
      <c r="C73" s="883">
        <v>100</v>
      </c>
      <c r="D73" s="722">
        <v>99.8</v>
      </c>
      <c r="E73" s="722">
        <v>99.6</v>
      </c>
      <c r="F73" s="722">
        <v>99.4</v>
      </c>
      <c r="G73" s="722">
        <v>99.2</v>
      </c>
      <c r="H73" s="722">
        <v>99</v>
      </c>
      <c r="I73" s="722">
        <v>98.8</v>
      </c>
      <c r="J73" s="722">
        <v>98.6</v>
      </c>
      <c r="K73" s="722">
        <v>98.4</v>
      </c>
      <c r="L73" s="722">
        <v>98.2</v>
      </c>
      <c r="M73" s="722">
        <v>98</v>
      </c>
      <c r="N73" s="722">
        <v>97.8</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4" t="s">
        <v>2626</v>
      </c>
      <c r="B74" s="2522"/>
      <c r="C74" s="2509"/>
      <c r="D74" s="2510"/>
      <c r="E74" s="2510"/>
      <c r="F74" s="2510"/>
      <c r="G74" s="2510"/>
      <c r="H74" s="2510"/>
      <c r="I74" s="2510"/>
      <c r="J74" s="2510"/>
      <c r="K74" s="2510"/>
      <c r="L74" s="2510"/>
      <c r="M74" s="2510"/>
      <c r="N74" s="2510"/>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v>7</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96</v>
      </c>
      <c r="E83" s="671">
        <f t="shared" ref="E83:M83" si="21">IF($B$48="单位面积地价",D83+$K13,D83-$K13)</f>
        <v>92</v>
      </c>
      <c r="F83" s="671">
        <f t="shared" si="21"/>
        <v>88</v>
      </c>
      <c r="G83" s="671">
        <f t="shared" si="21"/>
        <v>84</v>
      </c>
      <c r="H83" s="671">
        <f t="shared" si="21"/>
        <v>80</v>
      </c>
      <c r="I83" s="671">
        <f t="shared" si="21"/>
        <v>76</v>
      </c>
      <c r="J83" s="671">
        <f t="shared" si="21"/>
        <v>72</v>
      </c>
      <c r="K83" s="671">
        <f t="shared" si="21"/>
        <v>68</v>
      </c>
      <c r="L83" s="671">
        <f t="shared" si="21"/>
        <v>64</v>
      </c>
      <c r="M83" s="671">
        <f t="shared" si="21"/>
        <v>60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t="str">
        <f>B37</f>
        <v>距市人民政府距离</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3316" t="str">
        <f t="shared" ref="C118:L118" si="25">C119&amp;"(含)"&amp;"-"&amp;D119</f>
        <v>0(含)-5000</v>
      </c>
      <c r="D118" s="3316" t="str">
        <f t="shared" si="25"/>
        <v>5000(含)-10000</v>
      </c>
      <c r="E118" s="3316" t="str">
        <f t="shared" si="25"/>
        <v>10000(含)-20000</v>
      </c>
      <c r="F118" s="3316" t="str">
        <f t="shared" si="25"/>
        <v>20000(含)-50000</v>
      </c>
      <c r="G118" s="3316" t="str">
        <f t="shared" si="25"/>
        <v>50000(含)-80000</v>
      </c>
      <c r="H118" s="3316" t="str">
        <f t="shared" si="25"/>
        <v>80000(含)-150000</v>
      </c>
      <c r="I118" s="3316" t="str">
        <f t="shared" si="25"/>
        <v>150000(含)-200000</v>
      </c>
      <c r="J118" s="3317" t="str">
        <f t="shared" si="25"/>
        <v>200000(含)-</v>
      </c>
      <c r="K118" s="2778" t="str">
        <f t="shared" si="25"/>
        <v>(含)-</v>
      </c>
      <c r="L118" s="2779" t="str">
        <f t="shared" si="25"/>
        <v>(含)-</v>
      </c>
      <c r="M118" s="2780"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3318">
        <v>0</v>
      </c>
      <c r="D119" s="3318">
        <v>5000</v>
      </c>
      <c r="E119" s="3318">
        <v>10000</v>
      </c>
      <c r="F119" s="3318">
        <v>20000</v>
      </c>
      <c r="G119" s="3318">
        <v>50000</v>
      </c>
      <c r="H119" s="3318">
        <v>80000</v>
      </c>
      <c r="I119" s="3318">
        <v>150000</v>
      </c>
      <c r="J119" s="3319">
        <v>200000</v>
      </c>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3320">
        <v>97</v>
      </c>
      <c r="D120" s="3321">
        <v>98</v>
      </c>
      <c r="E120" s="3321">
        <v>99</v>
      </c>
      <c r="F120" s="3321">
        <v>100</v>
      </c>
      <c r="G120" s="3321">
        <v>99</v>
      </c>
      <c r="H120" s="3321">
        <v>98</v>
      </c>
      <c r="I120" s="3321">
        <v>97</v>
      </c>
      <c r="J120" s="3321">
        <v>96</v>
      </c>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41" sqref="B41"/>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6"/>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39794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347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1492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99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5" t="s">
        <v>1833</v>
      </c>
      <c r="B6" s="2546"/>
      <c r="C6" s="2547">
        <f ca="1">SUM(C10:K10)</f>
        <v>518756</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6" customFormat="1" ht="15">
      <c r="A7" s="2549" t="s">
        <v>464</v>
      </c>
      <c r="B7" s="2550" t="s">
        <v>465</v>
      </c>
      <c r="C7" s="430" t="s">
        <v>3011</v>
      </c>
      <c r="D7" s="430"/>
      <c r="E7" s="430"/>
      <c r="F7" s="430"/>
      <c r="G7" s="430"/>
      <c r="H7" s="430"/>
      <c r="I7" s="430"/>
      <c r="J7" s="430"/>
      <c r="K7" s="431"/>
      <c r="AA7" s="1995"/>
      <c r="AB7" s="1995"/>
      <c r="AC7" s="1995"/>
      <c r="AD7" s="1995"/>
      <c r="AE7" s="1995"/>
    </row>
    <row r="8" spans="1:31" s="1998" customFormat="1" ht="13.5" customHeight="1">
      <c r="A8" s="793" t="s">
        <v>1836</v>
      </c>
      <c r="B8" s="259" t="s">
        <v>466</v>
      </c>
      <c r="C8" s="2551">
        <f ca="1">不动产收益法!B3</f>
        <v>4524</v>
      </c>
      <c r="D8" s="2551"/>
      <c r="E8" s="2551"/>
      <c r="F8" s="2551"/>
      <c r="G8" s="2551"/>
      <c r="H8" s="2551"/>
      <c r="I8" s="2551"/>
      <c r="J8" s="2551"/>
      <c r="K8" s="2552"/>
      <c r="AA8" s="1997"/>
      <c r="AB8" s="1997"/>
      <c r="AC8" s="1997"/>
      <c r="AD8" s="1997"/>
      <c r="AE8" s="1997"/>
    </row>
    <row r="9" spans="1:31" s="1998" customFormat="1" ht="13.5" customHeight="1">
      <c r="A9" s="793" t="s">
        <v>1837</v>
      </c>
      <c r="B9" s="259" t="s">
        <v>467</v>
      </c>
      <c r="C9" s="435">
        <f>SUMIF('数据-汇总表'!$C19:$C33,'剩余法-待开发'!C7,'数据-汇总表'!$E19:$E33)</f>
        <v>1146665.0900000001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3" t="s">
        <v>1838</v>
      </c>
      <c r="B10" s="2539" t="s">
        <v>468</v>
      </c>
      <c r="C10" s="2741">
        <f ca="1">不动产收益法!B2</f>
        <v>518756</v>
      </c>
      <c r="D10" s="2741"/>
      <c r="E10" s="2741"/>
      <c r="F10" s="2554"/>
      <c r="G10" s="2554"/>
      <c r="H10" s="2554"/>
      <c r="I10" s="2554"/>
      <c r="J10" s="2554"/>
      <c r="K10" s="2555"/>
      <c r="AA10" s="1997"/>
      <c r="AB10" s="1997"/>
      <c r="AC10" s="1997"/>
      <c r="AD10" s="1997"/>
      <c r="AE10" s="1997"/>
    </row>
    <row r="11" spans="1:31" s="1994" customFormat="1" ht="16.5" customHeight="1">
      <c r="A11" s="2556" t="s">
        <v>1834</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8"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9" customFormat="1" ht="13.5" customHeight="1">
      <c r="A13" s="2559" t="s">
        <v>1839</v>
      </c>
      <c r="B13" s="2560" t="s">
        <v>473</v>
      </c>
      <c r="C13" s="444">
        <f ca="1">IF(B1="",'数据-取费表'!P16,INDIRECT("'数据-取费表'!p"&amp;$K$1)+INDIRECT("'数据-取费表'!t"&amp;$K$1))</f>
        <v>286666</v>
      </c>
      <c r="D13" s="2561"/>
      <c r="E13" s="2562"/>
      <c r="F13" s="2563"/>
      <c r="G13" s="2529"/>
      <c r="H13" s="2530"/>
      <c r="I13" s="2530"/>
      <c r="J13" s="2530"/>
      <c r="K13" s="2531"/>
      <c r="L13" s="2000"/>
      <c r="M13" s="2000"/>
      <c r="N13" s="2000"/>
      <c r="O13" s="2000"/>
      <c r="P13" s="2000"/>
      <c r="Q13" s="2000"/>
      <c r="R13" s="2000"/>
      <c r="S13" s="2000"/>
      <c r="T13" s="2000"/>
      <c r="U13" s="2000"/>
      <c r="V13" s="2000"/>
      <c r="W13" s="2000"/>
      <c r="X13" s="2000"/>
      <c r="Y13" s="2000"/>
      <c r="Z13" s="2000"/>
    </row>
    <row r="14" spans="1:31" s="1999" customFormat="1" ht="13.5" customHeight="1">
      <c r="A14" s="2559" t="s">
        <v>1840</v>
      </c>
      <c r="B14" s="2560" t="s">
        <v>474</v>
      </c>
      <c r="C14" s="53">
        <f ca="1">ROUND(C13*F14,0)</f>
        <v>8600</v>
      </c>
      <c r="D14" s="2561"/>
      <c r="E14" s="2562"/>
      <c r="F14" s="2564">
        <f>'数据-取费表'!B33</f>
        <v>0.03</v>
      </c>
      <c r="G14" s="2529" t="s">
        <v>475</v>
      </c>
      <c r="H14" s="2530"/>
      <c r="I14" s="2530"/>
      <c r="J14" s="2530"/>
      <c r="K14" s="2531"/>
      <c r="L14" s="2000"/>
      <c r="M14" s="2000"/>
      <c r="N14" s="2000"/>
      <c r="O14" s="2000"/>
      <c r="P14" s="2000"/>
      <c r="Q14" s="2000"/>
      <c r="R14" s="2000"/>
      <c r="S14" s="2000"/>
      <c r="T14" s="2000"/>
      <c r="U14" s="2000"/>
      <c r="V14" s="2000"/>
      <c r="W14" s="2000"/>
      <c r="X14" s="2000"/>
      <c r="Y14" s="2000"/>
      <c r="Z14" s="2000"/>
    </row>
    <row r="15" spans="1:31" s="1999"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2000"/>
      <c r="M15" s="2000"/>
      <c r="N15" s="2000"/>
      <c r="O15" s="2000"/>
      <c r="P15" s="2000"/>
      <c r="Q15" s="2000"/>
      <c r="R15" s="2000"/>
      <c r="S15" s="2000"/>
      <c r="T15" s="2000"/>
      <c r="U15" s="2000"/>
      <c r="V15" s="2000"/>
      <c r="W15" s="2000"/>
      <c r="X15" s="2000"/>
      <c r="Y15" s="2000"/>
      <c r="Z15" s="2000"/>
    </row>
    <row r="16" spans="1:31" s="2000" customFormat="1" ht="13.5" customHeight="1">
      <c r="A16" s="2559" t="s">
        <v>1842</v>
      </c>
      <c r="B16" s="2560" t="s">
        <v>478</v>
      </c>
      <c r="C16" s="53">
        <f ca="1">ROUND(D16*E16/10000,0)</f>
        <v>22933</v>
      </c>
      <c r="D16" s="2561">
        <f ca="1">IF(B1="",'数据-汇总表'!E3,INDIRECT("'数据-取费表'!K"&amp;$K$1)+INDIRECT("'数据-取费表'!S"&amp;$K$1))</f>
        <v>1146665.0900000001</v>
      </c>
      <c r="E16" s="53">
        <f>'数据-取费表'!B35</f>
        <v>200</v>
      </c>
      <c r="F16" s="2564"/>
      <c r="G16" s="2529"/>
      <c r="H16" s="2530"/>
      <c r="I16" s="2530"/>
      <c r="J16" s="2530"/>
      <c r="K16" s="2531"/>
      <c r="AA16" s="1999"/>
      <c r="AB16" s="1999"/>
      <c r="AC16" s="1999"/>
      <c r="AD16" s="1999"/>
      <c r="AE16" s="1999"/>
    </row>
    <row r="17" spans="1:26" s="1999" customFormat="1" ht="13.5" customHeight="1">
      <c r="A17" s="2559" t="s">
        <v>1843</v>
      </c>
      <c r="B17" s="2560" t="s">
        <v>479</v>
      </c>
      <c r="C17" s="2565">
        <f ca="1">ROUND(C13*F17,0)</f>
        <v>4300</v>
      </c>
      <c r="D17" s="469"/>
      <c r="E17" s="2565"/>
      <c r="F17" s="2566">
        <f>'数据-取费表'!B36</f>
        <v>1.4999999999999999E-2</v>
      </c>
      <c r="G17" s="259" t="s">
        <v>480</v>
      </c>
      <c r="H17" s="2532"/>
      <c r="I17" s="2532"/>
      <c r="J17" s="2532"/>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7" t="s">
        <v>1844</v>
      </c>
      <c r="B18" s="2568" t="s">
        <v>481</v>
      </c>
      <c r="C18" s="2569">
        <f ca="1">SUM(C13:C17)</f>
        <v>322499</v>
      </c>
      <c r="D18" s="2570"/>
      <c r="E18" s="462"/>
      <c r="F18" s="462"/>
      <c r="G18" s="2533" t="s">
        <v>2414</v>
      </c>
      <c r="H18" s="2534"/>
      <c r="I18" s="2534"/>
      <c r="J18" s="2534"/>
      <c r="K18" s="2535"/>
      <c r="L18" s="2000"/>
      <c r="M18" s="2000"/>
      <c r="N18" s="2000"/>
      <c r="O18" s="2000"/>
      <c r="P18" s="2000"/>
      <c r="Q18" s="2000"/>
      <c r="R18" s="2000"/>
      <c r="S18" s="2000"/>
      <c r="T18" s="2000"/>
      <c r="U18" s="2000"/>
      <c r="V18" s="2000"/>
      <c r="W18" s="2000"/>
      <c r="X18" s="2000"/>
      <c r="Y18" s="2000"/>
      <c r="Z18" s="2000"/>
    </row>
    <row r="19" spans="1:26" s="1999" customFormat="1" ht="13.5" customHeight="1">
      <c r="A19" s="2567" t="s">
        <v>1845</v>
      </c>
      <c r="B19" s="2568" t="s">
        <v>482</v>
      </c>
      <c r="C19" s="2525">
        <f ca="1">ROUND(D19*E19/10000,0)</f>
        <v>12613</v>
      </c>
      <c r="D19" s="2571">
        <f ca="1">D16</f>
        <v>1146665.0900000001</v>
      </c>
      <c r="E19" s="2525">
        <f>'数据-取费表'!B32</f>
        <v>110</v>
      </c>
      <c r="F19" s="462"/>
      <c r="G19" s="2529" t="s">
        <v>483</v>
      </c>
      <c r="H19" s="2530"/>
      <c r="I19" s="2534"/>
      <c r="J19" s="2534"/>
      <c r="K19" s="2535"/>
      <c r="L19" s="2000"/>
      <c r="M19" s="2000"/>
      <c r="N19" s="2000"/>
      <c r="O19" s="2000"/>
      <c r="P19" s="2000"/>
      <c r="Q19" s="2000"/>
      <c r="R19" s="2000"/>
      <c r="S19" s="2000"/>
      <c r="T19" s="2000"/>
      <c r="U19" s="2000"/>
      <c r="V19" s="2000"/>
      <c r="W19" s="2000"/>
      <c r="X19" s="2000"/>
      <c r="Y19" s="2000"/>
      <c r="Z19" s="2000"/>
    </row>
    <row r="20" spans="1:26" s="1999" customFormat="1" ht="13.5" customHeight="1">
      <c r="A20" s="2567" t="s">
        <v>1846</v>
      </c>
      <c r="B20" s="2568" t="s">
        <v>484</v>
      </c>
      <c r="C20" s="2525">
        <f ca="1">C21+C22-IF(B1="",'数据-取费表'!B29,IF(G20="已全部缴纳",C21+C22,H20))</f>
        <v>8600</v>
      </c>
      <c r="D20" s="2571"/>
      <c r="E20" s="2525"/>
      <c r="F20" s="2572"/>
      <c r="G20" s="2774"/>
      <c r="H20" s="2527"/>
      <c r="I20" s="2528" t="s">
        <v>2631</v>
      </c>
      <c r="J20" s="2534"/>
      <c r="K20" s="2535"/>
      <c r="L20" s="2000"/>
      <c r="M20" s="2000"/>
      <c r="N20" s="2000"/>
      <c r="O20" s="2000"/>
      <c r="P20" s="2000"/>
      <c r="Q20" s="2000"/>
      <c r="R20" s="2000"/>
      <c r="S20" s="2000"/>
      <c r="T20" s="2000"/>
      <c r="U20" s="2000"/>
      <c r="V20" s="2000"/>
      <c r="W20" s="2000"/>
      <c r="X20" s="2000"/>
      <c r="Y20" s="2000"/>
      <c r="Z20" s="2000"/>
    </row>
    <row r="21" spans="1:26" s="1999" customFormat="1" ht="13.5" customHeight="1">
      <c r="A21" s="2559" t="s">
        <v>1847</v>
      </c>
      <c r="B21" s="2560" t="s">
        <v>485</v>
      </c>
      <c r="C21" s="53">
        <f ca="1">ROUND(D21*E21/10000,0)</f>
        <v>0</v>
      </c>
      <c r="D21" s="2561">
        <f ca="1">IF(B1="",'数据-汇总表'!E5,IF(INDIRECT("'数据-取费表'!c"&amp;$K$1)="住宅",INDIRECT("'数据-取费表'!k"&amp;$K$1),0))</f>
        <v>0</v>
      </c>
      <c r="E21" s="53">
        <f>'数据-取费表'!B27</f>
        <v>75</v>
      </c>
      <c r="F21" s="2564"/>
      <c r="G21" s="26"/>
      <c r="H21" s="51"/>
      <c r="I21" s="51"/>
      <c r="J21" s="51"/>
      <c r="K21" s="2536"/>
      <c r="L21" s="2000"/>
      <c r="M21" s="2000"/>
      <c r="N21" s="2000"/>
      <c r="O21" s="2000"/>
      <c r="P21" s="2000"/>
      <c r="Q21" s="2000"/>
      <c r="R21" s="2000"/>
      <c r="S21" s="2000"/>
      <c r="T21" s="2000"/>
      <c r="U21" s="2000"/>
      <c r="V21" s="2000"/>
      <c r="W21" s="2000"/>
      <c r="X21" s="2000"/>
      <c r="Y21" s="2000"/>
      <c r="Z21" s="2000"/>
    </row>
    <row r="22" spans="1:26" s="1999" customFormat="1" ht="13.5" customHeight="1">
      <c r="A22" s="2559" t="s">
        <v>1848</v>
      </c>
      <c r="B22" s="2560" t="s">
        <v>486</v>
      </c>
      <c r="C22" s="53">
        <f ca="1">ROUND(D22*E22/10000,0)</f>
        <v>8600</v>
      </c>
      <c r="D22" s="2561">
        <f ca="1">IF(B1="",'数据-汇总表'!E6,IF(INDIRECT("'数据-取费表'!c"&amp;$K$1)="住宅",INDIRECT("'数据-取费表'!s"&amp;$K$1),INDIRECT("'数据-取费表'!k"&amp;$K$1)+INDIRECT("'数据-取费表'!s"&amp;$K$1)))</f>
        <v>1146665.0900000001</v>
      </c>
      <c r="E22" s="53">
        <f>'数据-取费表'!B28</f>
        <v>75</v>
      </c>
      <c r="F22" s="2564"/>
      <c r="G22" s="26"/>
      <c r="H22" s="51"/>
      <c r="I22" s="51"/>
      <c r="J22" s="51"/>
      <c r="K22" s="2536"/>
      <c r="L22" s="2000"/>
      <c r="M22" s="2000"/>
      <c r="N22" s="2000"/>
      <c r="O22" s="2000"/>
      <c r="P22" s="2000"/>
      <c r="Q22" s="2000"/>
      <c r="R22" s="2000"/>
      <c r="S22" s="2000"/>
      <c r="T22" s="2000"/>
      <c r="U22" s="2000"/>
      <c r="V22" s="2000"/>
      <c r="W22" s="2000"/>
      <c r="X22" s="2000"/>
      <c r="Y22" s="2000"/>
      <c r="Z22" s="2000"/>
    </row>
    <row r="23" spans="1:26" s="1999" customFormat="1" ht="13.5" customHeight="1">
      <c r="A23" s="2567" t="s">
        <v>1849</v>
      </c>
      <c r="B23" s="2747" t="s">
        <v>2813</v>
      </c>
      <c r="C23" s="2569">
        <f ca="1">ROUND((C18+C19+C20)*F23,0)</f>
        <v>6874</v>
      </c>
      <c r="D23" s="462"/>
      <c r="E23" s="462"/>
      <c r="F23" s="2573">
        <f>'数据-取费表'!B37</f>
        <v>0.02</v>
      </c>
      <c r="G23" s="2529" t="s">
        <v>2415</v>
      </c>
      <c r="H23" s="2530"/>
      <c r="I23" s="2530"/>
      <c r="J23" s="2530"/>
      <c r="K23" s="2531"/>
      <c r="L23" s="3197"/>
      <c r="M23" s="3197"/>
      <c r="N23" s="3197"/>
      <c r="O23" s="2000"/>
      <c r="P23" s="2000"/>
      <c r="Q23" s="2000"/>
      <c r="R23" s="2000"/>
      <c r="S23" s="2000"/>
      <c r="T23" s="2000"/>
      <c r="U23" s="2000"/>
      <c r="V23" s="2000"/>
      <c r="W23" s="2000"/>
      <c r="X23" s="2000"/>
      <c r="Y23" s="2000"/>
      <c r="Z23" s="2000"/>
    </row>
    <row r="24" spans="1:26" s="1999" customFormat="1" ht="13.5" customHeight="1">
      <c r="A24" s="2567" t="s">
        <v>1850</v>
      </c>
      <c r="B24" s="2747" t="s">
        <v>2816</v>
      </c>
      <c r="C24" s="2569">
        <f ca="1">ROUND(C6*F24,0)</f>
        <v>10375</v>
      </c>
      <c r="D24" s="469"/>
      <c r="E24" s="467"/>
      <c r="F24" s="2573">
        <f>'数据-取费表'!B38</f>
        <v>0.02</v>
      </c>
      <c r="G24" s="2538" t="s">
        <v>493</v>
      </c>
      <c r="H24" s="2532"/>
      <c r="I24" s="2532"/>
      <c r="J24" s="2532"/>
      <c r="K24" s="277"/>
      <c r="L24" s="3197"/>
      <c r="M24" s="3197"/>
      <c r="N24" s="3197"/>
      <c r="O24" s="2000"/>
      <c r="P24" s="2000"/>
      <c r="Q24" s="2000"/>
      <c r="R24" s="2000"/>
      <c r="S24" s="2000"/>
      <c r="T24" s="2000"/>
      <c r="U24" s="2000"/>
      <c r="V24" s="2000"/>
      <c r="W24" s="2000"/>
      <c r="X24" s="2000"/>
      <c r="Y24" s="2000"/>
      <c r="Z24" s="2000"/>
    </row>
    <row r="25" spans="1:26" s="2002" customFormat="1" ht="13.5" customHeight="1">
      <c r="A25" s="2567" t="s">
        <v>1851</v>
      </c>
      <c r="B25" s="2747"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8"/>
      <c r="M25" s="3198"/>
      <c r="N25" s="3198"/>
      <c r="O25" s="3198"/>
      <c r="P25" s="3198"/>
      <c r="Q25" s="3198"/>
      <c r="R25" s="3198"/>
      <c r="S25" s="3198"/>
      <c r="T25" s="3198"/>
      <c r="U25" s="3198"/>
      <c r="V25" s="3198"/>
      <c r="W25" s="3198"/>
      <c r="X25" s="3198"/>
      <c r="Y25" s="3198"/>
      <c r="Z25" s="3198"/>
    </row>
    <row r="26" spans="1:26" s="2001" customFormat="1" ht="13.5" customHeight="1">
      <c r="A26" s="2567" t="s">
        <v>1852</v>
      </c>
      <c r="B26" s="2748" t="s">
        <v>2815</v>
      </c>
      <c r="C26" s="2574">
        <f ca="1">C28</f>
        <v>23807</v>
      </c>
      <c r="D26" s="461">
        <f ca="1">C27</f>
        <v>0.14019999999999999</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3" customFormat="1" ht="13.5" customHeight="1">
      <c r="A27" s="793" t="s">
        <v>1847</v>
      </c>
      <c r="B27" s="2575" t="s">
        <v>490</v>
      </c>
      <c r="C27" s="2576">
        <f ca="1">ROUND(IF('数据-取费表'!B22&lt;=1,(1+C25)*F26*'数据-取费表'!B24,(1+C25)*(POWER((1+F26),'数据-取费表'!B24)-1)),4)</f>
        <v>0.14019999999999999</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3" customFormat="1" ht="13.5" customHeight="1">
      <c r="A28" s="793" t="s">
        <v>1848</v>
      </c>
      <c r="B28" s="2575" t="s">
        <v>2817</v>
      </c>
      <c r="C28" s="2577">
        <f ca="1">ROUND(IF('数据-取费表'!B22&lt;=1,(C18+C19+C20+C23+C24)*F26*'数据-取费表'!B24/2,(C18+C19+C20+C23+C24)*(POWER((1+F26),'数据-取费表'!B24/2)-1)),0)</f>
        <v>23807</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3" customFormat="1" ht="13.5" customHeight="1">
      <c r="A29" s="2578" t="s">
        <v>1853</v>
      </c>
      <c r="B29" s="2568" t="s">
        <v>491</v>
      </c>
      <c r="C29" s="2569">
        <f ca="1">ROUND(C6*F29/(1+'数据-取费表'!C42),0)</f>
        <v>27173</v>
      </c>
      <c r="D29" s="462"/>
      <c r="E29" s="462"/>
      <c r="F29" s="2749">
        <f>'数据-取费表'!B41</f>
        <v>5.5000000000000007E-2</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4" customFormat="1" ht="13.5" customHeight="1">
      <c r="A30" s="1564" t="s">
        <v>1854</v>
      </c>
      <c r="B30" s="2579" t="s">
        <v>494</v>
      </c>
      <c r="C30" s="2574">
        <f ca="1">C31</f>
        <v>411941</v>
      </c>
      <c r="D30" s="471">
        <f ca="1">C32</f>
        <v>0.16919999999999999</v>
      </c>
      <c r="E30" s="463" t="s">
        <v>489</v>
      </c>
      <c r="F30" s="465"/>
      <c r="G30" s="2537" t="s">
        <v>2936</v>
      </c>
      <c r="H30" s="2530"/>
      <c r="I30" s="2530"/>
      <c r="J30" s="2530"/>
      <c r="K30" s="2531"/>
      <c r="L30" s="3200"/>
      <c r="M30" s="3200"/>
      <c r="N30" s="3200"/>
      <c r="O30" s="3200"/>
      <c r="P30" s="3200"/>
      <c r="Q30" s="3200"/>
      <c r="R30" s="3200"/>
      <c r="S30" s="3200"/>
      <c r="T30" s="3200"/>
      <c r="U30" s="3200"/>
      <c r="V30" s="3200"/>
      <c r="W30" s="3200"/>
      <c r="X30" s="3200"/>
      <c r="Y30" s="3200"/>
      <c r="Z30" s="3200"/>
    </row>
    <row r="31" spans="1:26" s="2003" customFormat="1" ht="13.5" customHeight="1">
      <c r="A31" s="793" t="s">
        <v>1847</v>
      </c>
      <c r="B31" s="2575"/>
      <c r="C31" s="444">
        <f ca="1">C18+C19+C20+C23+C24+C26+C29</f>
        <v>411941</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3" customFormat="1" ht="13.5" customHeight="1">
      <c r="A32" s="793" t="s">
        <v>1848</v>
      </c>
      <c r="B32" s="2575"/>
      <c r="C32" s="53">
        <f ca="1">ROUND(C25+D26,4)</f>
        <v>0.16919999999999999</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5" customFormat="1" ht="13.5" customHeight="1">
      <c r="A33" s="2746" t="s">
        <v>2812</v>
      </c>
      <c r="B33" s="2744" t="s">
        <v>2810</v>
      </c>
      <c r="C33" s="472">
        <f ca="1">C35</f>
        <v>54144</v>
      </c>
      <c r="D33" s="461">
        <f ca="1">C34</f>
        <v>0.15440000000000001</v>
      </c>
      <c r="E33" s="463" t="s">
        <v>489</v>
      </c>
      <c r="F33" s="473">
        <f ca="1">IF(B1="",'数据-取费表'!Q16,INDIRECT("'数据-取费表'!q"&amp;$K$1))</f>
        <v>0.15</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6" customFormat="1" ht="13.5" customHeight="1">
      <c r="A34" s="369" t="s">
        <v>1847</v>
      </c>
      <c r="B34" s="2580" t="s">
        <v>495</v>
      </c>
      <c r="C34" s="466">
        <f ca="1">ROUND((1+C25)*F33,4)</f>
        <v>0.15440000000000001</v>
      </c>
      <c r="D34" s="466"/>
      <c r="E34" s="467"/>
      <c r="F34" s="474"/>
      <c r="G34" s="259" t="s">
        <v>2278</v>
      </c>
      <c r="H34" s="2532"/>
      <c r="I34" s="2532"/>
      <c r="J34" s="2532"/>
      <c r="K34" s="277"/>
      <c r="L34" s="3202"/>
      <c r="M34" s="3202"/>
      <c r="N34" s="3202"/>
      <c r="O34" s="3202"/>
      <c r="P34" s="3202"/>
      <c r="Q34" s="3202"/>
      <c r="R34" s="3202"/>
      <c r="S34" s="3202"/>
      <c r="T34" s="3202"/>
      <c r="U34" s="3202"/>
      <c r="V34" s="3202"/>
      <c r="W34" s="3202"/>
      <c r="X34" s="3202"/>
      <c r="Y34" s="3202"/>
      <c r="Z34" s="3202"/>
    </row>
    <row r="35" spans="1:26" s="2006" customFormat="1" ht="13.5" customHeight="1" thickBot="1">
      <c r="A35" s="1565" t="s">
        <v>1848</v>
      </c>
      <c r="B35" s="2745" t="s">
        <v>2818</v>
      </c>
      <c r="C35" s="1557">
        <f ca="1">ROUND((C18+C19+C20+C23+C24)*F33,0)</f>
        <v>54144</v>
      </c>
      <c r="D35" s="1558"/>
      <c r="E35" s="2581"/>
      <c r="F35" s="1559"/>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8" customFormat="1" ht="13.5" customHeight="1" thickBot="1">
      <c r="A36" s="282" t="s">
        <v>1835</v>
      </c>
      <c r="B36" s="2543"/>
      <c r="C36" s="2582">
        <f ca="1">ROUND((C6-C30-C33)/(1+D30+D33),0)</f>
        <v>39794</v>
      </c>
      <c r="D36" s="2543"/>
      <c r="E36" s="2543"/>
      <c r="F36" s="2543"/>
      <c r="G36" s="2542" t="s">
        <v>2819</v>
      </c>
      <c r="H36" s="2543"/>
      <c r="I36" s="2543"/>
      <c r="J36" s="2543"/>
      <c r="K36" s="2544"/>
      <c r="L36" s="3196"/>
      <c r="M36" s="3196"/>
      <c r="N36" s="3196"/>
      <c r="O36" s="3196"/>
      <c r="P36" s="3196"/>
      <c r="Q36" s="3196"/>
      <c r="R36" s="3196"/>
      <c r="S36" s="3196"/>
      <c r="T36" s="3196"/>
      <c r="U36" s="3196"/>
      <c r="V36" s="3196"/>
      <c r="W36" s="3196"/>
      <c r="X36" s="3196"/>
      <c r="Y36" s="3196"/>
      <c r="Z36" s="3196"/>
    </row>
    <row r="37" spans="1:26" s="1998" customFormat="1">
      <c r="A37" s="3203"/>
      <c r="C37" s="3204"/>
      <c r="E37" s="3203"/>
    </row>
    <row r="38" spans="1:26" s="1998" customFormat="1" ht="12.75" customHeight="1">
      <c r="A38" s="3203"/>
      <c r="C38" s="3204"/>
      <c r="E38" s="3203"/>
    </row>
    <row r="39" spans="1:26" s="1998" customFormat="1">
      <c r="A39" s="3203"/>
      <c r="C39" s="3204"/>
      <c r="E39" s="3203"/>
    </row>
    <row r="40" spans="1:26" s="1998" customFormat="1">
      <c r="A40" s="3203"/>
      <c r="C40" s="3204"/>
      <c r="E40" s="3203"/>
    </row>
    <row r="41" spans="1:26" s="1998" customFormat="1">
      <c r="A41" s="3203"/>
      <c r="C41" s="3204"/>
      <c r="E41" s="3203"/>
    </row>
    <row r="42" spans="1:26" s="1998" customFormat="1">
      <c r="A42" s="3203"/>
      <c r="C42" s="3204"/>
      <c r="E42" s="3203"/>
    </row>
    <row r="43" spans="1:26" s="1998" customFormat="1">
      <c r="A43" s="3203"/>
      <c r="C43" s="3204"/>
      <c r="E43" s="3203"/>
    </row>
    <row r="44" spans="1:26" s="1998" customFormat="1">
      <c r="A44" s="3203"/>
      <c r="C44" s="3204"/>
      <c r="E44" s="3203"/>
    </row>
    <row r="45" spans="1:26" s="1998" customFormat="1">
      <c r="A45" s="3203"/>
      <c r="C45" s="3204"/>
      <c r="E45" s="3203"/>
    </row>
    <row r="46" spans="1:26" s="1998" customFormat="1">
      <c r="A46" s="3203"/>
      <c r="C46" s="3204"/>
      <c r="E46" s="3203"/>
    </row>
    <row r="47" spans="1:26" s="1998" customFormat="1">
      <c r="A47" s="3203"/>
      <c r="C47" s="3204"/>
      <c r="E47" s="3203"/>
    </row>
    <row r="48" spans="1:26" s="1998" customFormat="1">
      <c r="A48" s="3203"/>
      <c r="C48" s="3204"/>
      <c r="E48" s="3203"/>
    </row>
    <row r="49" spans="1:5" s="1998" customFormat="1">
      <c r="A49" s="3203"/>
      <c r="C49" s="3204"/>
      <c r="E49" s="3203"/>
    </row>
    <row r="50" spans="1:5" s="1998" customFormat="1">
      <c r="A50" s="3203"/>
      <c r="C50" s="3204"/>
      <c r="E50" s="3203"/>
    </row>
    <row r="51" spans="1:5" s="1998" customFormat="1">
      <c r="A51" s="3203"/>
      <c r="C51" s="3204"/>
      <c r="E51" s="3203"/>
    </row>
    <row r="52" spans="1:5" s="1998" customFormat="1">
      <c r="A52" s="3203"/>
      <c r="C52" s="3204"/>
      <c r="E52" s="3203"/>
    </row>
    <row r="53" spans="1:5" s="1998" customFormat="1">
      <c r="A53" s="3203"/>
      <c r="C53" s="3204"/>
      <c r="E53" s="3203"/>
    </row>
    <row r="54" spans="1:5" s="1998" customFormat="1">
      <c r="A54" s="3203"/>
      <c r="C54" s="3204"/>
      <c r="E54" s="3203"/>
    </row>
    <row r="55" spans="1:5" s="1998" customFormat="1">
      <c r="A55" s="3203"/>
      <c r="C55" s="3204"/>
      <c r="E55" s="3203"/>
    </row>
    <row r="56" spans="1:5" s="1998" customFormat="1">
      <c r="A56" s="3203"/>
      <c r="C56" s="3204"/>
      <c r="E56" s="3203"/>
    </row>
    <row r="57" spans="1:5" s="1998" customFormat="1">
      <c r="A57" s="3203"/>
      <c r="C57" s="3204"/>
      <c r="E57" s="3203"/>
    </row>
    <row r="58" spans="1:5" s="1998" customFormat="1">
      <c r="A58" s="3203"/>
      <c r="C58" s="3204"/>
      <c r="E58" s="3203"/>
    </row>
    <row r="59" spans="1:5" s="1998" customFormat="1">
      <c r="A59" s="3203"/>
      <c r="C59" s="3204"/>
      <c r="E59" s="3203"/>
    </row>
    <row r="60" spans="1:5" s="1998" customFormat="1">
      <c r="A60" s="3203"/>
      <c r="C60" s="3204"/>
      <c r="E60" s="3203"/>
    </row>
    <row r="61" spans="1:5" s="1998" customFormat="1">
      <c r="A61" s="3203"/>
      <c r="C61" s="3204"/>
      <c r="E61" s="3203"/>
    </row>
    <row r="62" spans="1:5" s="1998" customFormat="1">
      <c r="A62" s="3203"/>
      <c r="C62" s="3204"/>
      <c r="E62" s="3203"/>
    </row>
    <row r="63" spans="1:5" s="1998" customFormat="1">
      <c r="A63" s="3203"/>
      <c r="C63" s="3204"/>
      <c r="E63" s="3203"/>
    </row>
    <row r="64" spans="1:5" s="1998" customFormat="1">
      <c r="A64" s="3203"/>
      <c r="C64" s="3204"/>
      <c r="E64" s="3203"/>
    </row>
    <row r="65" spans="1:5" s="1998" customFormat="1">
      <c r="A65" s="3203"/>
      <c r="C65" s="3204"/>
      <c r="E65" s="3203"/>
    </row>
    <row r="66" spans="1:5" s="1998" customFormat="1">
      <c r="A66" s="3203"/>
      <c r="C66" s="3204"/>
      <c r="E66" s="3203"/>
    </row>
    <row r="67" spans="1:5" s="1998" customFormat="1">
      <c r="A67" s="3203"/>
      <c r="C67" s="3204"/>
      <c r="E67" s="3203"/>
    </row>
    <row r="68" spans="1:5" s="1998" customFormat="1">
      <c r="A68" s="3203"/>
      <c r="C68" s="3204"/>
      <c r="E68" s="3203"/>
    </row>
    <row r="69" spans="1:5" s="1998" customFormat="1">
      <c r="A69" s="3203"/>
      <c r="C69" s="3204"/>
      <c r="E69" s="3203"/>
    </row>
    <row r="70" spans="1:5" s="1998" customFormat="1">
      <c r="A70" s="3203"/>
      <c r="C70" s="3204"/>
      <c r="E70" s="3203"/>
    </row>
    <row r="71" spans="1:5" s="1998" customFormat="1">
      <c r="A71" s="3203"/>
      <c r="C71" s="3204"/>
      <c r="E71" s="3203"/>
    </row>
    <row r="72" spans="1:5" s="1998" customFormat="1">
      <c r="A72" s="3203"/>
      <c r="C72" s="3204"/>
      <c r="E72" s="3203"/>
    </row>
    <row r="73" spans="1:5" s="1998" customFormat="1">
      <c r="A73" s="3203"/>
      <c r="C73" s="3204"/>
      <c r="E73" s="3203"/>
    </row>
    <row r="74" spans="1:5" s="1998" customFormat="1">
      <c r="A74" s="3203"/>
      <c r="C74" s="3204"/>
      <c r="E74" s="3203"/>
    </row>
    <row r="75" spans="1:5" s="1998" customFormat="1">
      <c r="A75" s="3203"/>
      <c r="C75" s="3204"/>
      <c r="E75" s="3203"/>
    </row>
    <row r="76" spans="1:5" s="1998" customFormat="1">
      <c r="A76" s="3203"/>
      <c r="C76" s="3204"/>
      <c r="E76" s="3203"/>
    </row>
    <row r="77" spans="1:5" s="1998" customFormat="1">
      <c r="A77" s="3203"/>
      <c r="C77" s="3204"/>
      <c r="E77" s="3203"/>
    </row>
    <row r="78" spans="1:5" s="1998" customFormat="1">
      <c r="A78" s="3203"/>
      <c r="C78" s="3204"/>
      <c r="E78" s="3203"/>
    </row>
    <row r="79" spans="1:5" s="1998" customFormat="1">
      <c r="A79" s="3203"/>
      <c r="C79" s="3204"/>
      <c r="E79" s="3203"/>
    </row>
    <row r="80" spans="1:5" s="1998" customFormat="1">
      <c r="A80" s="3203"/>
      <c r="C80" s="3204"/>
      <c r="E80" s="3203"/>
    </row>
    <row r="81" spans="1:5" s="1998" customFormat="1">
      <c r="A81" s="3203"/>
      <c r="C81" s="3204"/>
      <c r="E81" s="3203"/>
    </row>
    <row r="82" spans="1:5" s="1998" customFormat="1">
      <c r="A82" s="3203"/>
      <c r="C82" s="3204"/>
      <c r="E82" s="3203"/>
    </row>
    <row r="83" spans="1:5" s="1998" customFormat="1">
      <c r="A83" s="3203"/>
      <c r="C83" s="3204"/>
      <c r="E83" s="3203"/>
    </row>
    <row r="84" spans="1:5" s="1998" customFormat="1">
      <c r="A84" s="3203"/>
      <c r="C84" s="3204"/>
      <c r="E84" s="3203"/>
    </row>
    <row r="85" spans="1:5" s="1998" customFormat="1">
      <c r="A85" s="3203"/>
      <c r="C85" s="3204"/>
      <c r="E85" s="3203"/>
    </row>
    <row r="86" spans="1:5" s="1998" customFormat="1">
      <c r="A86" s="3203"/>
      <c r="C86" s="3204"/>
      <c r="E86" s="3203"/>
    </row>
    <row r="87" spans="1:5" s="1998" customFormat="1">
      <c r="A87" s="3203"/>
      <c r="C87" s="3204"/>
      <c r="E87" s="3203"/>
    </row>
    <row r="88" spans="1:5" s="1998" customFormat="1">
      <c r="A88" s="3203"/>
      <c r="C88" s="3204"/>
      <c r="E88" s="3203"/>
    </row>
    <row r="89" spans="1:5" s="1998" customFormat="1">
      <c r="A89" s="3203"/>
      <c r="C89" s="3204"/>
      <c r="E89" s="3203"/>
    </row>
    <row r="90" spans="1:5" s="1998" customFormat="1">
      <c r="A90" s="3203"/>
      <c r="C90" s="3204"/>
      <c r="E90" s="3203"/>
    </row>
    <row r="91" spans="1:5" s="1998" customFormat="1">
      <c r="A91" s="3203"/>
      <c r="C91" s="3204"/>
      <c r="E91" s="3203"/>
    </row>
    <row r="92" spans="1:5" s="1998" customFormat="1">
      <c r="A92" s="3203"/>
      <c r="C92" s="3204"/>
      <c r="E92" s="3203"/>
    </row>
    <row r="93" spans="1:5" s="1998" customFormat="1">
      <c r="A93" s="3203"/>
      <c r="C93" s="3204"/>
      <c r="E93" s="3203"/>
    </row>
    <row r="94" spans="1:5" s="1998" customFormat="1">
      <c r="A94" s="3203"/>
      <c r="C94" s="3204"/>
      <c r="E94" s="3203"/>
    </row>
    <row r="95" spans="1:5" s="1998" customFormat="1">
      <c r="A95" s="3203"/>
      <c r="C95" s="3204"/>
      <c r="E95" s="3203"/>
    </row>
    <row r="96" spans="1:5" s="1998" customFormat="1">
      <c r="A96" s="3203"/>
      <c r="C96" s="3204"/>
      <c r="E96" s="3203"/>
    </row>
    <row r="97" spans="1:5" s="1998" customFormat="1">
      <c r="A97" s="3203"/>
      <c r="C97" s="3204"/>
      <c r="E97" s="3203"/>
    </row>
    <row r="98" spans="1:5" s="1998" customFormat="1">
      <c r="A98" s="3203"/>
      <c r="C98" s="3204"/>
      <c r="E98" s="3203"/>
    </row>
    <row r="99" spans="1:5" s="1998" customFormat="1">
      <c r="A99" s="3203"/>
      <c r="C99" s="3204"/>
      <c r="E99" s="3203"/>
    </row>
    <row r="100" spans="1:5" s="1998" customFormat="1">
      <c r="A100" s="3203"/>
      <c r="C100" s="3204"/>
      <c r="E100" s="3203"/>
    </row>
    <row r="101" spans="1:5" s="1998" customFormat="1">
      <c r="A101" s="3203"/>
      <c r="C101" s="3204"/>
      <c r="E101" s="3203"/>
    </row>
    <row r="102" spans="1:5" s="1998" customFormat="1">
      <c r="A102" s="3203"/>
      <c r="C102" s="3204"/>
      <c r="E102" s="3203"/>
    </row>
    <row r="103" spans="1:5" s="1998" customFormat="1">
      <c r="A103" s="3203"/>
      <c r="C103" s="3204"/>
      <c r="E103" s="3203"/>
    </row>
    <row r="104" spans="1:5" s="1998" customFormat="1">
      <c r="A104" s="3203"/>
      <c r="C104" s="3204"/>
      <c r="E104" s="3203"/>
    </row>
    <row r="105" spans="1:5" s="1998" customFormat="1">
      <c r="A105" s="3203"/>
      <c r="C105" s="3204"/>
      <c r="E105" s="3203"/>
    </row>
    <row r="106" spans="1:5" s="1998" customFormat="1">
      <c r="A106" s="3203"/>
      <c r="C106" s="3204"/>
      <c r="E106" s="3203"/>
    </row>
    <row r="107" spans="1:5" s="1998" customFormat="1">
      <c r="A107" s="3203"/>
      <c r="C107" s="3204"/>
      <c r="E107" s="3203"/>
    </row>
    <row r="108" spans="1:5" s="1998" customFormat="1">
      <c r="A108" s="3203"/>
      <c r="C108" s="3204"/>
      <c r="E108" s="3203"/>
    </row>
    <row r="109" spans="1:5" s="1998" customFormat="1">
      <c r="A109" s="3203"/>
      <c r="C109" s="3204"/>
      <c r="E109" s="3203"/>
    </row>
    <row r="110" spans="1:5" s="1998" customFormat="1">
      <c r="A110" s="3203"/>
      <c r="C110" s="3204"/>
      <c r="E110" s="3203"/>
    </row>
    <row r="111" spans="1:5" s="1998" customFormat="1">
      <c r="A111" s="3203"/>
      <c r="C111" s="3204"/>
      <c r="E111" s="3203"/>
    </row>
    <row r="112" spans="1:5" s="1998" customFormat="1">
      <c r="A112" s="3203"/>
      <c r="C112" s="3204"/>
      <c r="E112" s="3203"/>
    </row>
    <row r="113" spans="1:5" s="1998" customFormat="1">
      <c r="A113" s="3203"/>
      <c r="C113" s="3204"/>
      <c r="E113" s="3203"/>
    </row>
    <row r="114" spans="1:5" s="1998" customFormat="1">
      <c r="A114" s="3203"/>
      <c r="C114" s="3204"/>
      <c r="E114" s="3203"/>
    </row>
    <row r="115" spans="1:5" s="1998" customFormat="1">
      <c r="A115" s="3203"/>
      <c r="C115" s="3204"/>
      <c r="E115" s="3203"/>
    </row>
    <row r="116" spans="1:5" s="1998" customFormat="1">
      <c r="A116" s="3203"/>
      <c r="C116" s="3204"/>
      <c r="E116" s="3203"/>
    </row>
    <row r="117" spans="1:5" s="1998" customFormat="1">
      <c r="A117" s="3203"/>
      <c r="C117" s="3204"/>
      <c r="E117" s="3203"/>
    </row>
    <row r="118" spans="1:5" s="1998" customFormat="1">
      <c r="A118" s="3203"/>
      <c r="C118" s="3204"/>
      <c r="E118" s="3203"/>
    </row>
    <row r="119" spans="1:5" s="1998" customFormat="1">
      <c r="A119" s="3203"/>
      <c r="C119" s="3204"/>
      <c r="E119" s="3203"/>
    </row>
    <row r="120" spans="1:5" s="1998" customFormat="1">
      <c r="A120" s="3203"/>
      <c r="C120" s="3204"/>
      <c r="E120" s="3203"/>
    </row>
    <row r="121" spans="1:5" s="1998" customFormat="1">
      <c r="A121" s="3203"/>
      <c r="C121" s="3204"/>
      <c r="E121" s="3203"/>
    </row>
    <row r="122" spans="1:5" s="1998" customFormat="1">
      <c r="A122" s="3203"/>
      <c r="C122" s="3204"/>
      <c r="E122" s="3203"/>
    </row>
    <row r="123" spans="1:5" s="1998" customFormat="1">
      <c r="A123" s="3203"/>
      <c r="C123" s="3204"/>
      <c r="E123" s="3203"/>
    </row>
    <row r="124" spans="1:5" s="1998" customFormat="1">
      <c r="A124" s="3203"/>
      <c r="C124" s="3204"/>
      <c r="E124" s="3203"/>
    </row>
    <row r="125" spans="1:5" s="1998" customFormat="1">
      <c r="A125" s="3203"/>
      <c r="C125" s="3204"/>
      <c r="E125" s="3203"/>
    </row>
    <row r="126" spans="1:5" s="1998" customFormat="1">
      <c r="A126" s="3203"/>
      <c r="C126" s="3204"/>
      <c r="E126" s="3203"/>
    </row>
    <row r="127" spans="1:5" s="1998" customFormat="1">
      <c r="A127" s="3203"/>
      <c r="C127" s="3204"/>
      <c r="E127" s="3203"/>
    </row>
    <row r="128" spans="1:5" s="1998" customFormat="1">
      <c r="A128" s="3203"/>
      <c r="C128" s="3204"/>
      <c r="E128" s="3203"/>
    </row>
    <row r="129" spans="1:5" s="1998" customFormat="1">
      <c r="A129" s="3203"/>
      <c r="C129" s="3204"/>
      <c r="E129" s="3203"/>
    </row>
    <row r="130" spans="1:5" s="1998" customFormat="1">
      <c r="A130" s="3203"/>
      <c r="C130" s="3204"/>
      <c r="E130" s="3203"/>
    </row>
    <row r="131" spans="1:5" s="1998" customFormat="1">
      <c r="A131" s="3203"/>
      <c r="C131" s="3204"/>
      <c r="E131" s="3203"/>
    </row>
    <row r="132" spans="1:5" s="1998" customFormat="1">
      <c r="A132" s="3203"/>
      <c r="C132" s="3204"/>
      <c r="E132" s="3203"/>
    </row>
    <row r="133" spans="1:5" s="1998" customFormat="1">
      <c r="A133" s="3203"/>
      <c r="C133" s="3204"/>
      <c r="E133" s="3203"/>
    </row>
    <row r="134" spans="1:5" s="1998" customFormat="1">
      <c r="A134" s="3203"/>
      <c r="C134" s="3204"/>
      <c r="E134" s="3203"/>
    </row>
    <row r="135" spans="1:5" s="1998" customFormat="1">
      <c r="A135" s="3203"/>
      <c r="C135" s="3204"/>
      <c r="E135" s="3203"/>
    </row>
    <row r="136" spans="1:5" s="1998" customFormat="1">
      <c r="A136" s="3203"/>
      <c r="C136" s="3204"/>
      <c r="E136" s="3203"/>
    </row>
    <row r="137" spans="1:5" s="1998" customFormat="1">
      <c r="A137" s="3203"/>
      <c r="C137" s="3204"/>
      <c r="E137" s="3203"/>
    </row>
    <row r="138" spans="1:5" s="1998" customFormat="1">
      <c r="A138" s="3203"/>
      <c r="C138" s="3204"/>
      <c r="E138" s="3203"/>
    </row>
    <row r="139" spans="1:5" s="1998" customFormat="1">
      <c r="A139" s="3203"/>
      <c r="C139" s="3204"/>
      <c r="E139" s="3203"/>
    </row>
    <row r="140" spans="1:5" s="1998" customFormat="1">
      <c r="A140" s="3203"/>
      <c r="C140" s="3204"/>
      <c r="E140" s="3203"/>
    </row>
    <row r="141" spans="1:5" s="1998" customFormat="1">
      <c r="A141" s="3203"/>
      <c r="C141" s="3204"/>
      <c r="E141" s="3203"/>
    </row>
    <row r="142" spans="1:5" s="1998" customFormat="1">
      <c r="A142" s="3203"/>
      <c r="C142" s="3204"/>
      <c r="E142" s="3203"/>
    </row>
    <row r="143" spans="1:5" s="1998" customFormat="1">
      <c r="A143" s="3203"/>
      <c r="C143" s="3204"/>
      <c r="E143" s="3203"/>
    </row>
    <row r="144" spans="1:5" s="1998" customFormat="1">
      <c r="A144" s="3203"/>
      <c r="C144" s="3204"/>
      <c r="E144" s="3203"/>
    </row>
    <row r="145" spans="1:5" s="1998" customFormat="1">
      <c r="A145" s="3203"/>
      <c r="C145" s="3204"/>
      <c r="E145" s="3203"/>
    </row>
    <row r="146" spans="1:5" s="1998" customFormat="1">
      <c r="A146" s="3203"/>
      <c r="C146" s="3204"/>
      <c r="E146" s="3203"/>
    </row>
    <row r="147" spans="1:5" s="1998" customFormat="1">
      <c r="A147" s="3203"/>
      <c r="C147" s="3204"/>
      <c r="E147" s="3203"/>
    </row>
    <row r="148" spans="1:5" s="1998" customFormat="1">
      <c r="A148" s="3203"/>
      <c r="C148" s="3204"/>
      <c r="E148" s="3203"/>
    </row>
    <row r="149" spans="1:5" s="1998" customFormat="1">
      <c r="A149" s="3203"/>
      <c r="C149" s="3204"/>
      <c r="E149" s="3203"/>
    </row>
    <row r="150" spans="1:5" s="1998" customFormat="1">
      <c r="A150" s="3203"/>
      <c r="C150" s="3204"/>
      <c r="E150" s="3203"/>
    </row>
    <row r="151" spans="1:5" s="1998" customFormat="1">
      <c r="A151" s="3203"/>
      <c r="C151" s="3204"/>
      <c r="E151" s="3203"/>
    </row>
    <row r="152" spans="1:5" s="1998" customFormat="1">
      <c r="A152" s="3203"/>
      <c r="C152" s="3204"/>
      <c r="E152" s="3203"/>
    </row>
    <row r="153" spans="1:5" s="1998" customFormat="1">
      <c r="A153" s="3203"/>
      <c r="C153" s="3204"/>
      <c r="E153" s="3203"/>
    </row>
    <row r="154" spans="1:5" s="1998" customFormat="1">
      <c r="A154" s="3203"/>
      <c r="C154" s="3204"/>
      <c r="E154" s="3203"/>
    </row>
    <row r="155" spans="1:5" s="1998" customFormat="1">
      <c r="A155" s="3203"/>
      <c r="C155" s="3204"/>
      <c r="E155" s="3203"/>
    </row>
    <row r="156" spans="1:5" s="1998" customFormat="1">
      <c r="A156" s="3203"/>
      <c r="C156" s="3204"/>
      <c r="E156" s="3203"/>
    </row>
    <row r="157" spans="1:5" s="1998" customFormat="1">
      <c r="A157" s="3203"/>
      <c r="C157" s="3204"/>
      <c r="E157" s="3203"/>
    </row>
    <row r="158" spans="1:5" s="1998" customFormat="1">
      <c r="A158" s="3203"/>
      <c r="C158" s="3204"/>
      <c r="E158" s="3203"/>
    </row>
    <row r="159" spans="1:5" s="1998" customFormat="1">
      <c r="A159" s="3203"/>
      <c r="C159" s="3204"/>
      <c r="E159" s="3203"/>
    </row>
    <row r="160" spans="1:5" s="1998" customFormat="1">
      <c r="A160" s="3203"/>
      <c r="C160" s="3204"/>
      <c r="E160" s="3203"/>
    </row>
    <row r="161" spans="1:5" s="1998" customFormat="1">
      <c r="A161" s="3203"/>
      <c r="C161" s="3204"/>
      <c r="E161" s="3203"/>
    </row>
    <row r="162" spans="1:5" s="1998" customFormat="1">
      <c r="A162" s="3203"/>
      <c r="C162" s="3204"/>
      <c r="E162" s="3203"/>
    </row>
    <row r="163" spans="1:5" s="1998" customFormat="1">
      <c r="A163" s="3203"/>
      <c r="C163" s="3204"/>
      <c r="E163" s="3203"/>
    </row>
    <row r="164" spans="1:5" s="1998" customFormat="1">
      <c r="A164" s="3203"/>
      <c r="C164" s="3204"/>
      <c r="E164" s="3203"/>
    </row>
    <row r="165" spans="1:5" s="1998" customFormat="1">
      <c r="A165" s="3203"/>
      <c r="C165" s="3204"/>
      <c r="E165" s="3203"/>
    </row>
    <row r="166" spans="1:5" s="1998" customFormat="1">
      <c r="A166" s="3203"/>
      <c r="C166" s="3204"/>
      <c r="E166" s="3203"/>
    </row>
    <row r="167" spans="1:5" s="1998" customFormat="1">
      <c r="A167" s="3203"/>
      <c r="C167" s="3204"/>
      <c r="E167" s="3203"/>
    </row>
    <row r="168" spans="1:5" s="1998" customFormat="1">
      <c r="A168" s="3203"/>
      <c r="C168" s="3204"/>
      <c r="E168" s="3203"/>
    </row>
    <row r="169" spans="1:5" s="1998" customFormat="1">
      <c r="A169" s="3203"/>
      <c r="C169" s="3204"/>
      <c r="E169" s="3203"/>
    </row>
    <row r="170" spans="1:5" s="1998" customFormat="1">
      <c r="A170" s="3203"/>
      <c r="C170" s="3204"/>
      <c r="E170" s="3203"/>
    </row>
    <row r="171" spans="1:5" s="1998" customFormat="1">
      <c r="A171" s="3203"/>
      <c r="C171" s="3204"/>
      <c r="E171" s="3203"/>
    </row>
    <row r="172" spans="1:5" s="1998" customFormat="1">
      <c r="A172" s="3203"/>
      <c r="C172" s="3204"/>
      <c r="E172" s="3203"/>
    </row>
    <row r="173" spans="1:5" s="1998" customFormat="1">
      <c r="A173" s="3203"/>
      <c r="C173" s="3204"/>
      <c r="E173" s="3203"/>
    </row>
    <row r="174" spans="1:5" s="1998" customFormat="1">
      <c r="A174" s="3203"/>
      <c r="C174" s="3204"/>
      <c r="E174" s="3203"/>
    </row>
    <row r="175" spans="1:5" s="1998" customFormat="1">
      <c r="A175" s="3203"/>
      <c r="C175" s="3204"/>
      <c r="E175" s="3203"/>
    </row>
    <row r="176" spans="1:5" s="1998" customFormat="1">
      <c r="A176" s="3203"/>
      <c r="C176" s="3204"/>
      <c r="E176" s="3203"/>
    </row>
    <row r="177" spans="1:5" s="1998" customFormat="1">
      <c r="A177" s="3203"/>
      <c r="C177" s="3204"/>
      <c r="E177" s="3203"/>
    </row>
    <row r="178" spans="1:5" s="1998" customFormat="1">
      <c r="A178" s="3203"/>
      <c r="C178" s="3204"/>
      <c r="E178" s="3203"/>
    </row>
    <row r="179" spans="1:5" s="1998" customFormat="1">
      <c r="A179" s="3203"/>
      <c r="C179" s="3204"/>
      <c r="E179" s="3203"/>
    </row>
    <row r="180" spans="1:5" s="1998" customFormat="1">
      <c r="A180" s="3203"/>
      <c r="C180" s="3204"/>
      <c r="E180" s="3203"/>
    </row>
    <row r="181" spans="1:5" s="1998" customFormat="1">
      <c r="A181" s="3203"/>
      <c r="C181" s="3204"/>
      <c r="E181" s="3203"/>
    </row>
    <row r="182" spans="1:5" s="1998" customFormat="1">
      <c r="A182" s="3203"/>
      <c r="C182" s="3204"/>
      <c r="E182" s="3203"/>
    </row>
    <row r="183" spans="1:5" s="1998" customFormat="1">
      <c r="A183" s="3203"/>
      <c r="C183" s="3204"/>
      <c r="E183" s="3203"/>
    </row>
    <row r="184" spans="1:5" s="1998" customFormat="1">
      <c r="A184" s="3203"/>
      <c r="C184" s="3204"/>
      <c r="E184" s="3203"/>
    </row>
    <row r="185" spans="1:5" s="1998" customFormat="1">
      <c r="A185" s="3203"/>
      <c r="C185" s="3204"/>
      <c r="E185" s="3203"/>
    </row>
    <row r="186" spans="1:5" s="1998" customFormat="1">
      <c r="A186" s="3203"/>
      <c r="C186" s="3204"/>
      <c r="E186" s="3203"/>
    </row>
    <row r="187" spans="1:5" s="1998" customFormat="1">
      <c r="A187" s="3203"/>
      <c r="C187" s="3204"/>
      <c r="E187" s="3203"/>
    </row>
    <row r="188" spans="1:5" s="1998" customFormat="1">
      <c r="A188" s="3203"/>
      <c r="C188" s="3204"/>
      <c r="E188" s="3203"/>
    </row>
    <row r="189" spans="1:5" s="1998" customFormat="1">
      <c r="A189" s="3203"/>
      <c r="C189" s="3204"/>
      <c r="E189" s="3203"/>
    </row>
    <row r="190" spans="1:5" s="1998" customFormat="1">
      <c r="A190" s="3203"/>
      <c r="C190" s="3204"/>
      <c r="E190" s="3203"/>
    </row>
    <row r="191" spans="1:5" s="1998" customFormat="1">
      <c r="A191" s="3203"/>
      <c r="C191" s="3204"/>
      <c r="E191" s="3203"/>
    </row>
    <row r="192" spans="1:5" s="1998" customFormat="1">
      <c r="A192" s="3203"/>
      <c r="C192" s="3204"/>
      <c r="E192" s="3203"/>
    </row>
    <row r="193" spans="1:5" s="1998" customFormat="1">
      <c r="A193" s="3203"/>
      <c r="C193" s="3204"/>
      <c r="E193" s="3203"/>
    </row>
    <row r="194" spans="1:5" s="1998" customFormat="1">
      <c r="A194" s="3203"/>
      <c r="C194" s="3204"/>
      <c r="E194" s="3203"/>
    </row>
    <row r="195" spans="1:5" s="1998" customFormat="1">
      <c r="A195" s="3203"/>
      <c r="C195" s="3204"/>
      <c r="E195" s="3203"/>
    </row>
    <row r="196" spans="1:5" s="1998" customFormat="1">
      <c r="A196" s="3203"/>
      <c r="C196" s="3204"/>
      <c r="E196" s="3203"/>
    </row>
    <row r="197" spans="1:5" s="1998" customFormat="1">
      <c r="A197" s="3203"/>
      <c r="C197" s="3204"/>
      <c r="E197" s="3203"/>
    </row>
    <row r="198" spans="1:5" s="1998" customFormat="1">
      <c r="A198" s="3203"/>
      <c r="C198" s="3204"/>
      <c r="E198" s="3203"/>
    </row>
    <row r="199" spans="1:5" s="1998" customFormat="1">
      <c r="A199" s="3203"/>
      <c r="C199" s="3204"/>
      <c r="E199" s="3203"/>
    </row>
    <row r="200" spans="1:5" s="1998" customFormat="1">
      <c r="A200" s="3203"/>
      <c r="C200" s="3204"/>
      <c r="E200" s="3203"/>
    </row>
    <row r="201" spans="1:5" s="1998" customFormat="1">
      <c r="A201" s="3203"/>
      <c r="C201" s="3204"/>
      <c r="E201" s="3203"/>
    </row>
    <row r="202" spans="1:5" s="1998" customFormat="1">
      <c r="A202" s="3203"/>
      <c r="C202" s="3204"/>
      <c r="E202" s="3203"/>
    </row>
    <row r="203" spans="1:5" s="1998" customFormat="1">
      <c r="A203" s="3203"/>
      <c r="C203" s="3204"/>
      <c r="E203" s="3203"/>
    </row>
    <row r="204" spans="1:5" s="1998" customFormat="1">
      <c r="A204" s="3203"/>
      <c r="C204" s="3204"/>
      <c r="E204" s="3203"/>
    </row>
    <row r="205" spans="1:5" s="1998" customFormat="1">
      <c r="A205" s="3203"/>
      <c r="C205" s="3204"/>
      <c r="E205" s="3203"/>
    </row>
    <row r="206" spans="1:5" s="1998" customFormat="1">
      <c r="A206" s="3203"/>
      <c r="C206" s="3204"/>
      <c r="E206" s="3203"/>
    </row>
    <row r="207" spans="1:5" s="1998" customFormat="1">
      <c r="A207" s="3203"/>
      <c r="C207" s="3204"/>
      <c r="E207" s="3203"/>
    </row>
    <row r="208" spans="1:5" s="1998" customFormat="1">
      <c r="A208" s="3203"/>
      <c r="C208" s="3204"/>
      <c r="E208" s="3203"/>
    </row>
    <row r="209" spans="1:5" s="1998" customFormat="1">
      <c r="A209" s="3203"/>
      <c r="C209" s="3204"/>
      <c r="E209" s="3203"/>
    </row>
    <row r="210" spans="1:5" s="1998" customFormat="1">
      <c r="A210" s="3203"/>
      <c r="C210" s="3204"/>
      <c r="E210" s="3203"/>
    </row>
    <row r="211" spans="1:5" s="1998" customFormat="1">
      <c r="A211" s="3203"/>
      <c r="C211" s="3204"/>
      <c r="E211" s="3203"/>
    </row>
    <row r="212" spans="1:5" s="1998" customFormat="1">
      <c r="A212" s="3203"/>
      <c r="C212" s="3204"/>
      <c r="E212" s="3203"/>
    </row>
    <row r="213" spans="1:5" s="1998" customFormat="1">
      <c r="A213" s="3203"/>
      <c r="C213" s="3204"/>
      <c r="E213" s="3203"/>
    </row>
    <row r="214" spans="1:5" s="1998" customFormat="1">
      <c r="A214" s="3203"/>
      <c r="C214" s="3204"/>
      <c r="E214" s="3203"/>
    </row>
    <row r="215" spans="1:5" s="1998" customFormat="1">
      <c r="A215" s="3203"/>
      <c r="C215" s="3204"/>
      <c r="E215" s="3203"/>
    </row>
    <row r="216" spans="1:5" s="1998" customFormat="1">
      <c r="A216" s="3203"/>
      <c r="C216" s="3204"/>
      <c r="E216" s="3203"/>
    </row>
    <row r="217" spans="1:5" s="1998" customFormat="1">
      <c r="A217" s="3203"/>
      <c r="C217" s="3204"/>
      <c r="E217" s="3203"/>
    </row>
    <row r="218" spans="1:5" s="1998" customFormat="1">
      <c r="A218" s="3203"/>
      <c r="C218" s="3204"/>
      <c r="E218" s="3203"/>
    </row>
    <row r="219" spans="1:5" s="1998" customFormat="1">
      <c r="A219" s="3203"/>
      <c r="C219" s="3204"/>
      <c r="E219" s="3203"/>
    </row>
    <row r="220" spans="1:5" s="1998" customFormat="1">
      <c r="A220" s="3203"/>
      <c r="C220" s="3204"/>
      <c r="E220" s="3203"/>
    </row>
    <row r="221" spans="1:5" s="1998" customFormat="1">
      <c r="A221" s="3203"/>
      <c r="C221" s="3204"/>
      <c r="E221" s="3203"/>
    </row>
    <row r="222" spans="1:5" s="1998" customFormat="1">
      <c r="A222" s="3203"/>
      <c r="C222" s="3204"/>
      <c r="E222" s="3203"/>
    </row>
    <row r="223" spans="1:5" s="1998" customFormat="1">
      <c r="A223" s="3203"/>
      <c r="C223" s="3204"/>
      <c r="E223" s="3203"/>
    </row>
    <row r="224" spans="1:5" s="1998" customFormat="1">
      <c r="A224" s="3203"/>
      <c r="C224" s="3204"/>
      <c r="E224" s="3203"/>
    </row>
    <row r="225" spans="1:5" s="1998" customFormat="1">
      <c r="A225" s="3203"/>
      <c r="C225" s="3204"/>
      <c r="E225" s="3203"/>
    </row>
    <row r="226" spans="1:5" s="1998" customFormat="1">
      <c r="A226" s="3203"/>
      <c r="C226" s="3204"/>
      <c r="E226" s="3203"/>
    </row>
    <row r="227" spans="1:5" s="1998" customFormat="1">
      <c r="A227" s="3203"/>
      <c r="C227" s="3204"/>
      <c r="E227" s="3203"/>
    </row>
    <row r="228" spans="1:5" s="1998" customFormat="1">
      <c r="A228" s="3203"/>
      <c r="C228" s="3204"/>
      <c r="E228" s="3203"/>
    </row>
    <row r="229" spans="1:5" s="1998" customFormat="1">
      <c r="A229" s="3203"/>
      <c r="C229" s="3204"/>
      <c r="E229" s="3203"/>
    </row>
    <row r="230" spans="1:5" s="1998" customFormat="1">
      <c r="A230" s="3203"/>
      <c r="C230" s="3204"/>
      <c r="E230" s="3203"/>
    </row>
    <row r="231" spans="1:5" s="1998" customFormat="1">
      <c r="A231" s="3203"/>
      <c r="C231" s="3204"/>
      <c r="E231" s="3203"/>
    </row>
    <row r="232" spans="1:5" s="1998" customFormat="1">
      <c r="A232" s="3203"/>
      <c r="C232" s="3204"/>
      <c r="E232" s="3203"/>
    </row>
    <row r="233" spans="1:5" s="1998" customFormat="1">
      <c r="A233" s="3203"/>
      <c r="C233" s="3204"/>
      <c r="E233" s="3203"/>
    </row>
    <row r="234" spans="1:5" s="1998" customFormat="1">
      <c r="A234" s="3203"/>
      <c r="C234" s="3204"/>
      <c r="E234" s="3203"/>
    </row>
    <row r="235" spans="1:5" s="1998" customFormat="1">
      <c r="A235" s="3203"/>
      <c r="C235" s="3204"/>
      <c r="E235" s="3203"/>
    </row>
    <row r="236" spans="1:5" s="1998" customFormat="1">
      <c r="A236" s="3203"/>
      <c r="C236" s="3204"/>
      <c r="E236" s="3203"/>
    </row>
    <row r="237" spans="1:5" s="1998" customFormat="1">
      <c r="A237" s="3203"/>
      <c r="C237" s="3204"/>
      <c r="E237" s="3203"/>
    </row>
    <row r="238" spans="1:5" s="1998" customFormat="1">
      <c r="A238" s="3203"/>
      <c r="C238" s="3204"/>
      <c r="E238" s="3203"/>
    </row>
    <row r="239" spans="1:5" s="1998" customFormat="1">
      <c r="A239" s="3203"/>
      <c r="C239" s="3204"/>
      <c r="E239" s="3203"/>
    </row>
    <row r="240" spans="1:5" s="1998" customFormat="1">
      <c r="A240" s="3203"/>
      <c r="C240" s="3204"/>
      <c r="E240" s="3203"/>
    </row>
    <row r="241" spans="1:5" s="1998" customFormat="1">
      <c r="A241" s="3203"/>
      <c r="C241" s="3204"/>
      <c r="E241" s="3203"/>
    </row>
    <row r="242" spans="1:5" s="1998" customFormat="1">
      <c r="A242" s="3203"/>
      <c r="C242" s="3204"/>
      <c r="E242" s="3203"/>
    </row>
    <row r="243" spans="1:5" s="1998" customFormat="1">
      <c r="A243" s="3203"/>
      <c r="C243" s="3204"/>
      <c r="E243" s="3203"/>
    </row>
    <row r="244" spans="1:5" s="1998" customFormat="1">
      <c r="A244" s="3203"/>
      <c r="C244" s="3204"/>
      <c r="E244" s="3203"/>
    </row>
    <row r="245" spans="1:5" s="1998" customFormat="1">
      <c r="A245" s="3203"/>
      <c r="C245" s="3204"/>
      <c r="E245" s="3203"/>
    </row>
    <row r="246" spans="1:5" s="1998" customFormat="1">
      <c r="A246" s="3203"/>
      <c r="C246" s="3204"/>
      <c r="E246" s="3203"/>
    </row>
    <row r="247" spans="1:5" s="1998" customFormat="1">
      <c r="A247" s="3203"/>
      <c r="C247" s="3204"/>
      <c r="E247" s="3203"/>
    </row>
    <row r="248" spans="1:5" s="1998" customFormat="1">
      <c r="A248" s="3203"/>
      <c r="C248" s="3204"/>
      <c r="E248" s="3203"/>
    </row>
    <row r="249" spans="1:5" s="1998" customFormat="1">
      <c r="A249" s="3203"/>
      <c r="C249" s="3204"/>
      <c r="E249" s="3203"/>
    </row>
    <row r="250" spans="1:5" s="1998" customFormat="1">
      <c r="A250" s="3203"/>
      <c r="C250" s="3204"/>
      <c r="E250" s="3203"/>
    </row>
    <row r="251" spans="1:5" s="1998" customFormat="1">
      <c r="A251" s="3203"/>
      <c r="C251" s="3204"/>
      <c r="E251" s="3203"/>
    </row>
    <row r="252" spans="1:5" s="1998" customFormat="1">
      <c r="A252" s="3203"/>
      <c r="C252" s="3204"/>
      <c r="E252" s="3203"/>
    </row>
    <row r="253" spans="1:5" s="1998" customFormat="1">
      <c r="A253" s="3203"/>
      <c r="C253" s="3204"/>
      <c r="E253" s="3203"/>
    </row>
    <row r="254" spans="1:5" s="1998" customFormat="1">
      <c r="A254" s="3203"/>
      <c r="C254" s="3204"/>
      <c r="E254" s="3203"/>
    </row>
    <row r="255" spans="1:5" s="1998" customFormat="1">
      <c r="A255" s="3203"/>
      <c r="C255" s="3204"/>
      <c r="E255" s="3203"/>
    </row>
    <row r="256" spans="1:5" s="1998" customFormat="1">
      <c r="A256" s="3203"/>
      <c r="C256" s="3204"/>
      <c r="E256" s="3203"/>
    </row>
    <row r="257" spans="1:5" s="1998" customFormat="1">
      <c r="A257" s="3203"/>
      <c r="C257" s="3204"/>
      <c r="E257" s="3203"/>
    </row>
    <row r="258" spans="1:5" s="1998" customFormat="1">
      <c r="A258" s="3203"/>
      <c r="C258" s="3204"/>
      <c r="E258" s="3203"/>
    </row>
    <row r="259" spans="1:5" s="1998" customFormat="1">
      <c r="A259" s="3203"/>
      <c r="C259" s="3204"/>
      <c r="E259" s="3203"/>
    </row>
    <row r="260" spans="1:5" s="1998" customFormat="1">
      <c r="A260" s="3203"/>
      <c r="C260" s="3204"/>
      <c r="E260" s="3203"/>
    </row>
    <row r="261" spans="1:5" s="1998" customFormat="1">
      <c r="A261" s="3203"/>
      <c r="C261" s="3204"/>
      <c r="E261" s="3203"/>
    </row>
    <row r="262" spans="1:5" s="1998" customFormat="1">
      <c r="A262" s="3203"/>
      <c r="C262" s="3204"/>
      <c r="E262" s="3203"/>
    </row>
    <row r="263" spans="1:5" s="1998" customFormat="1">
      <c r="A263" s="3203"/>
      <c r="C263" s="3204"/>
      <c r="E263" s="3203"/>
    </row>
    <row r="264" spans="1:5" s="1998" customFormat="1">
      <c r="A264" s="3203"/>
      <c r="C264" s="3204"/>
      <c r="E264" s="3203"/>
    </row>
    <row r="265" spans="1:5" s="1998" customFormat="1">
      <c r="A265" s="3203"/>
      <c r="C265" s="3204"/>
      <c r="E265" s="3203"/>
    </row>
    <row r="266" spans="1:5" s="1998" customFormat="1">
      <c r="A266" s="3203"/>
      <c r="C266" s="3204"/>
      <c r="E266" s="3203"/>
    </row>
    <row r="267" spans="1:5" s="1998" customFormat="1">
      <c r="A267" s="3203"/>
      <c r="C267" s="3204"/>
      <c r="E267" s="3203"/>
    </row>
    <row r="268" spans="1:5" s="1998" customFormat="1">
      <c r="A268" s="3203"/>
      <c r="C268" s="3204"/>
      <c r="E268" s="3203"/>
    </row>
    <row r="269" spans="1:5" s="1998" customFormat="1">
      <c r="A269" s="3203"/>
      <c r="C269" s="3204"/>
      <c r="E269" s="3203"/>
    </row>
    <row r="270" spans="1:5" s="1998" customFormat="1">
      <c r="A270" s="3203"/>
      <c r="C270" s="3204"/>
      <c r="E270" s="3203"/>
    </row>
    <row r="271" spans="1:5" s="1998" customFormat="1">
      <c r="A271" s="3203"/>
      <c r="C271" s="3204"/>
      <c r="E271" s="3203"/>
    </row>
    <row r="272" spans="1:5" s="1998" customFormat="1">
      <c r="A272" s="3203"/>
      <c r="C272" s="3204"/>
      <c r="E272" s="3203"/>
    </row>
    <row r="273" spans="1:5" s="1998" customFormat="1">
      <c r="A273" s="3203"/>
      <c r="C273" s="3204"/>
      <c r="E273" s="3203"/>
    </row>
    <row r="274" spans="1:5" s="1998" customFormat="1">
      <c r="A274" s="3203"/>
      <c r="C274" s="3204"/>
      <c r="E274" s="3203"/>
    </row>
    <row r="275" spans="1:5" s="1998" customFormat="1">
      <c r="A275" s="3203"/>
      <c r="C275" s="3204"/>
      <c r="E275" s="3203"/>
    </row>
    <row r="276" spans="1:5" s="1998" customFormat="1">
      <c r="A276" s="3203"/>
      <c r="C276" s="3204"/>
      <c r="E276" s="3203"/>
    </row>
    <row r="277" spans="1:5" s="1998" customFormat="1">
      <c r="A277" s="3203"/>
      <c r="C277" s="3204"/>
      <c r="E277" s="3203"/>
    </row>
    <row r="278" spans="1:5" s="1998" customFormat="1">
      <c r="A278" s="3203"/>
      <c r="C278" s="3204"/>
      <c r="E278" s="3203"/>
    </row>
    <row r="279" spans="1:5" s="1998" customFormat="1">
      <c r="A279" s="3203"/>
      <c r="C279" s="3204"/>
      <c r="E279" s="3203"/>
    </row>
    <row r="280" spans="1:5" s="1998" customFormat="1">
      <c r="A280" s="3203"/>
      <c r="C280" s="3204"/>
      <c r="E280" s="3203"/>
    </row>
    <row r="281" spans="1:5" s="1998" customFormat="1">
      <c r="A281" s="3203"/>
      <c r="C281" s="3204"/>
      <c r="E281" s="3203"/>
    </row>
    <row r="282" spans="1:5" s="1998" customFormat="1">
      <c r="A282" s="3203"/>
      <c r="C282" s="3204"/>
      <c r="E282" s="3203"/>
    </row>
    <row r="283" spans="1:5" s="1998" customFormat="1">
      <c r="A283" s="3203"/>
      <c r="C283" s="3204"/>
      <c r="E283" s="3203"/>
    </row>
    <row r="284" spans="1:5" s="1998" customFormat="1">
      <c r="A284" s="3203"/>
      <c r="C284" s="3204"/>
      <c r="E284" s="3203"/>
    </row>
    <row r="285" spans="1:5" s="1998" customFormat="1">
      <c r="A285" s="3203"/>
      <c r="C285" s="3204"/>
      <c r="E285" s="3203"/>
    </row>
    <row r="286" spans="1:5" s="1998" customFormat="1">
      <c r="A286" s="3203"/>
      <c r="C286" s="3204"/>
      <c r="E286" s="3203"/>
    </row>
    <row r="287" spans="1:5" s="1998" customFormat="1">
      <c r="A287" s="3203"/>
      <c r="C287" s="3204"/>
      <c r="E287" s="3203"/>
    </row>
    <row r="288" spans="1:5" s="1998" customFormat="1">
      <c r="A288" s="3203"/>
      <c r="C288" s="3204"/>
      <c r="E288" s="3203"/>
    </row>
    <row r="289" spans="1:5" s="1998" customFormat="1">
      <c r="A289" s="3203"/>
      <c r="C289" s="3204"/>
      <c r="E289" s="3203"/>
    </row>
    <row r="290" spans="1:5" s="1998" customFormat="1">
      <c r="A290" s="3203"/>
      <c r="C290" s="3204"/>
      <c r="E290" s="3203"/>
    </row>
    <row r="291" spans="1:5" s="1998" customFormat="1">
      <c r="A291" s="3203"/>
      <c r="C291" s="3204"/>
      <c r="E291" s="3203"/>
    </row>
    <row r="292" spans="1:5" s="1998" customFormat="1">
      <c r="A292" s="3203"/>
      <c r="C292" s="3204"/>
      <c r="E292" s="3203"/>
    </row>
    <row r="293" spans="1:5" s="1998" customFormat="1">
      <c r="A293" s="3203"/>
      <c r="C293" s="3204"/>
      <c r="E293" s="3203"/>
    </row>
    <row r="294" spans="1:5" s="1998" customFormat="1">
      <c r="A294" s="3203"/>
      <c r="C294" s="3204"/>
      <c r="E294" s="3203"/>
    </row>
    <row r="295" spans="1:5" s="1998" customFormat="1">
      <c r="A295" s="3203"/>
      <c r="C295" s="3204"/>
      <c r="E295" s="3203"/>
    </row>
    <row r="296" spans="1:5" s="1998" customFormat="1">
      <c r="A296" s="3203"/>
      <c r="C296" s="3204"/>
      <c r="E296" s="3203"/>
    </row>
    <row r="297" spans="1:5" s="1998" customFormat="1">
      <c r="A297" s="3203"/>
      <c r="C297" s="3204"/>
      <c r="E297" s="3203"/>
    </row>
    <row r="298" spans="1:5" s="1998" customFormat="1">
      <c r="A298" s="3203"/>
      <c r="C298" s="3204"/>
      <c r="E298" s="3203"/>
    </row>
    <row r="299" spans="1:5" s="1998" customFormat="1">
      <c r="A299" s="3203"/>
      <c r="C299" s="3204"/>
      <c r="E299" s="3203"/>
    </row>
    <row r="300" spans="1:5" s="1998" customFormat="1">
      <c r="A300" s="3203"/>
      <c r="C300" s="3204"/>
      <c r="E300" s="3203"/>
    </row>
    <row r="301" spans="1:5" s="1998" customFormat="1">
      <c r="A301" s="3203"/>
      <c r="C301" s="3204"/>
      <c r="E301" s="3203"/>
    </row>
    <row r="302" spans="1:5" s="1998" customFormat="1">
      <c r="A302" s="3203"/>
      <c r="C302" s="3204"/>
      <c r="E302" s="3203"/>
    </row>
    <row r="303" spans="1:5" s="1998" customFormat="1">
      <c r="A303" s="3203"/>
      <c r="C303" s="3204"/>
      <c r="E303" s="3203"/>
    </row>
    <row r="304" spans="1:5" s="1998" customFormat="1">
      <c r="A304" s="3203"/>
      <c r="C304" s="3204"/>
      <c r="E304" s="3203"/>
    </row>
    <row r="305" spans="1:5" s="1998" customFormat="1">
      <c r="A305" s="3203"/>
      <c r="C305" s="3204"/>
      <c r="E305" s="3203"/>
    </row>
    <row r="306" spans="1:5" s="1998" customFormat="1">
      <c r="A306" s="3203"/>
      <c r="C306" s="3204"/>
      <c r="E306" s="3203"/>
    </row>
    <row r="307" spans="1:5" s="1998" customFormat="1">
      <c r="A307" s="3203"/>
      <c r="C307" s="3204"/>
      <c r="E307" s="3203"/>
    </row>
    <row r="308" spans="1:5" s="1998" customFormat="1">
      <c r="A308" s="3203"/>
      <c r="C308" s="3204"/>
      <c r="E308" s="3203"/>
    </row>
    <row r="309" spans="1:5" s="1998" customFormat="1">
      <c r="A309" s="3203"/>
      <c r="C309" s="3204"/>
      <c r="E309" s="3203"/>
    </row>
    <row r="310" spans="1:5" s="1998" customFormat="1">
      <c r="A310" s="3203"/>
      <c r="C310" s="3204"/>
      <c r="E310" s="3203"/>
    </row>
    <row r="311" spans="1:5" s="1998" customFormat="1">
      <c r="A311" s="3203"/>
      <c r="C311" s="3204"/>
      <c r="E311" s="3203"/>
    </row>
    <row r="312" spans="1:5" s="1998" customFormat="1">
      <c r="A312" s="3203"/>
      <c r="C312" s="3204"/>
      <c r="E312" s="3203"/>
    </row>
    <row r="313" spans="1:5" s="1998" customFormat="1">
      <c r="A313" s="3203"/>
      <c r="C313" s="3204"/>
      <c r="E313" s="3203"/>
    </row>
    <row r="314" spans="1:5" s="1998" customFormat="1">
      <c r="A314" s="3203"/>
      <c r="C314" s="3204"/>
      <c r="E314" s="3203"/>
    </row>
    <row r="315" spans="1:5" s="1998" customFormat="1">
      <c r="A315" s="3203"/>
      <c r="C315" s="3204"/>
      <c r="E315" s="3203"/>
    </row>
    <row r="316" spans="1:5" s="1998" customFormat="1">
      <c r="A316" s="3203"/>
      <c r="C316" s="3204"/>
      <c r="E316" s="3203"/>
    </row>
    <row r="317" spans="1:5" s="1998" customFormat="1">
      <c r="A317" s="3203"/>
      <c r="C317" s="3204"/>
      <c r="E317" s="3203"/>
    </row>
    <row r="318" spans="1:5" s="1998" customFormat="1">
      <c r="A318" s="3203"/>
      <c r="C318" s="3204"/>
      <c r="E318" s="3203"/>
    </row>
    <row r="319" spans="1:5" s="1998" customFormat="1">
      <c r="A319" s="3203"/>
      <c r="C319" s="3204"/>
      <c r="E319" s="3203"/>
    </row>
    <row r="320" spans="1:5" s="1998" customFormat="1">
      <c r="A320" s="3203"/>
      <c r="C320" s="3204"/>
      <c r="E320" s="3203"/>
    </row>
    <row r="321" spans="1:5" s="1998" customFormat="1">
      <c r="A321" s="3203"/>
      <c r="C321" s="3204"/>
      <c r="E321" s="3203"/>
    </row>
    <row r="322" spans="1:5" s="1998" customFormat="1">
      <c r="A322" s="3203"/>
      <c r="C322" s="3204"/>
      <c r="E322" s="3203"/>
    </row>
    <row r="323" spans="1:5" s="1998" customFormat="1">
      <c r="A323" s="3203"/>
      <c r="C323" s="3204"/>
      <c r="E323" s="3203"/>
    </row>
    <row r="324" spans="1:5" s="1998" customFormat="1">
      <c r="A324" s="3203"/>
      <c r="C324" s="3204"/>
      <c r="E324" s="3203"/>
    </row>
    <row r="325" spans="1:5" s="1998" customFormat="1">
      <c r="A325" s="3203"/>
      <c r="C325" s="3204"/>
      <c r="E325" s="3203"/>
    </row>
    <row r="326" spans="1:5" s="1998" customFormat="1">
      <c r="A326" s="3203"/>
      <c r="C326" s="3204"/>
      <c r="E326" s="3203"/>
    </row>
    <row r="327" spans="1:5" s="1998" customFormat="1">
      <c r="A327" s="3203"/>
      <c r="C327" s="3204"/>
      <c r="E327" s="3203"/>
    </row>
    <row r="328" spans="1:5" s="1998" customFormat="1">
      <c r="A328" s="3203"/>
      <c r="C328" s="3204"/>
      <c r="E328" s="3203"/>
    </row>
    <row r="329" spans="1:5" s="1998" customFormat="1">
      <c r="A329" s="3203"/>
      <c r="C329" s="3204"/>
      <c r="E329" s="3203"/>
    </row>
    <row r="330" spans="1:5" s="1998" customFormat="1">
      <c r="A330" s="3203"/>
      <c r="C330" s="3204"/>
      <c r="E330" s="3203"/>
    </row>
    <row r="331" spans="1:5" s="1998" customFormat="1">
      <c r="A331" s="3203"/>
      <c r="C331" s="3204"/>
      <c r="E331" s="3203"/>
    </row>
    <row r="332" spans="1:5" s="1998" customFormat="1">
      <c r="A332" s="3203"/>
      <c r="C332" s="3204"/>
      <c r="E332" s="3203"/>
    </row>
    <row r="333" spans="1:5" s="1998" customFormat="1">
      <c r="A333" s="3203"/>
      <c r="C333" s="3204"/>
      <c r="E333" s="3203"/>
    </row>
    <row r="334" spans="1:5" s="1998" customFormat="1">
      <c r="A334" s="3203"/>
      <c r="C334" s="3204"/>
      <c r="E334" s="3203"/>
    </row>
    <row r="335" spans="1:5" s="1998" customFormat="1">
      <c r="A335" s="3203"/>
      <c r="C335" s="3204"/>
      <c r="E335" s="3203"/>
    </row>
    <row r="336" spans="1:5" s="1998" customFormat="1">
      <c r="A336" s="3203"/>
      <c r="C336" s="3204"/>
      <c r="E336" s="3203"/>
    </row>
    <row r="337" spans="1:5" s="1998" customFormat="1">
      <c r="A337" s="3203"/>
      <c r="C337" s="3204"/>
      <c r="E337" s="3203"/>
    </row>
    <row r="338" spans="1:5" s="1998" customFormat="1">
      <c r="A338" s="3203"/>
      <c r="C338" s="3204"/>
      <c r="E338" s="3203"/>
    </row>
    <row r="339" spans="1:5" s="1998" customFormat="1">
      <c r="A339" s="3203"/>
      <c r="C339" s="3204"/>
      <c r="E339" s="3203"/>
    </row>
    <row r="340" spans="1:5" s="1998" customFormat="1">
      <c r="A340" s="3203"/>
      <c r="C340" s="3204"/>
      <c r="E340" s="3203"/>
    </row>
    <row r="341" spans="1:5" s="1998" customFormat="1">
      <c r="A341" s="3203"/>
      <c r="C341" s="3204"/>
      <c r="E341" s="3203"/>
    </row>
    <row r="342" spans="1:5" s="1998" customFormat="1">
      <c r="A342" s="3203"/>
      <c r="C342" s="3204"/>
      <c r="E342" s="3203"/>
    </row>
    <row r="343" spans="1:5" s="1998" customFormat="1">
      <c r="A343" s="3203"/>
      <c r="C343" s="3204"/>
      <c r="E343" s="3203"/>
    </row>
    <row r="344" spans="1:5" s="1998" customFormat="1">
      <c r="A344" s="3203"/>
      <c r="C344" s="3204"/>
      <c r="E344" s="3203"/>
    </row>
    <row r="345" spans="1:5" s="1998" customFormat="1">
      <c r="A345" s="3203"/>
      <c r="C345" s="3204"/>
      <c r="E345" s="3203"/>
    </row>
    <row r="346" spans="1:5" s="1998" customFormat="1">
      <c r="A346" s="3203"/>
      <c r="C346" s="3204"/>
      <c r="E346" s="3203"/>
    </row>
    <row r="347" spans="1:5" s="1998" customFormat="1">
      <c r="A347" s="3203"/>
      <c r="C347" s="3204"/>
      <c r="E347" s="3203"/>
    </row>
    <row r="348" spans="1:5" s="1998" customFormat="1">
      <c r="A348" s="3203"/>
      <c r="C348" s="3204"/>
      <c r="E348" s="3203"/>
    </row>
    <row r="349" spans="1:5" s="1998" customFormat="1">
      <c r="A349" s="3203"/>
      <c r="C349" s="3204"/>
      <c r="E349" s="3203"/>
    </row>
    <row r="350" spans="1:5" s="1998" customFormat="1">
      <c r="A350" s="3203"/>
      <c r="C350" s="3204"/>
      <c r="E350" s="3203"/>
    </row>
    <row r="351" spans="1:5" s="1998" customFormat="1">
      <c r="A351" s="3203"/>
      <c r="C351" s="3204"/>
      <c r="E351" s="3203"/>
    </row>
    <row r="352" spans="1:5" s="1998" customFormat="1">
      <c r="A352" s="3203"/>
      <c r="C352" s="3204"/>
      <c r="E352" s="3203"/>
    </row>
    <row r="353" spans="1:5" s="1998" customFormat="1">
      <c r="A353" s="3203"/>
      <c r="C353" s="3204"/>
      <c r="E353" s="3203"/>
    </row>
    <row r="354" spans="1:5" s="1998" customFormat="1">
      <c r="A354" s="3203"/>
      <c r="C354" s="3204"/>
      <c r="E354" s="3203"/>
    </row>
    <row r="355" spans="1:5" s="1998" customFormat="1">
      <c r="A355" s="3203"/>
      <c r="C355" s="3204"/>
      <c r="E355" s="3203"/>
    </row>
    <row r="356" spans="1:5" s="1998" customFormat="1">
      <c r="A356" s="3203"/>
      <c r="C356" s="3204"/>
      <c r="E356" s="3203"/>
    </row>
    <row r="357" spans="1:5" s="1998" customFormat="1">
      <c r="A357" s="3203"/>
      <c r="C357" s="3204"/>
      <c r="E357" s="3203"/>
    </row>
    <row r="358" spans="1:5" s="1998" customFormat="1">
      <c r="A358" s="3203"/>
      <c r="C358" s="3204"/>
      <c r="E358" s="3203"/>
    </row>
    <row r="359" spans="1:5" s="1998" customFormat="1">
      <c r="A359" s="3203"/>
      <c r="C359" s="3204"/>
      <c r="E359" s="3203"/>
    </row>
    <row r="360" spans="1:5" s="1998" customFormat="1">
      <c r="A360" s="3203"/>
      <c r="C360" s="3204"/>
      <c r="E360" s="3203"/>
    </row>
    <row r="361" spans="1:5" s="1998" customFormat="1">
      <c r="A361" s="3203"/>
      <c r="C361" s="3204"/>
      <c r="E361" s="3203"/>
    </row>
    <row r="362" spans="1:5" s="1998" customFormat="1">
      <c r="A362" s="3203"/>
      <c r="C362" s="3204"/>
      <c r="E362" s="3203"/>
    </row>
    <row r="363" spans="1:5" s="1998" customFormat="1">
      <c r="A363" s="3203"/>
      <c r="C363" s="3204"/>
      <c r="E363" s="3203"/>
    </row>
    <row r="364" spans="1:5" s="1998" customFormat="1">
      <c r="A364" s="3203"/>
      <c r="C364" s="3204"/>
      <c r="E364" s="3203"/>
    </row>
    <row r="365" spans="1:5" s="1998" customFormat="1">
      <c r="A365" s="3203"/>
      <c r="C365" s="3204"/>
      <c r="E365" s="3203"/>
    </row>
    <row r="366" spans="1:5" s="1998" customFormat="1">
      <c r="A366" s="3203"/>
      <c r="C366" s="3204"/>
      <c r="E366" s="3203"/>
    </row>
    <row r="367" spans="1:5" s="1998" customFormat="1">
      <c r="A367" s="3203"/>
      <c r="C367" s="3204"/>
      <c r="E367" s="3203"/>
    </row>
    <row r="368" spans="1:5" s="1998" customFormat="1">
      <c r="A368" s="3203"/>
      <c r="C368" s="3204"/>
      <c r="E368" s="3203"/>
    </row>
    <row r="369" spans="1:5" s="1998" customFormat="1">
      <c r="A369" s="3203"/>
      <c r="C369" s="3204"/>
      <c r="E369" s="3203"/>
    </row>
    <row r="370" spans="1:5" s="1998" customFormat="1">
      <c r="A370" s="3203"/>
      <c r="C370" s="3204"/>
      <c r="E370" s="3203"/>
    </row>
    <row r="371" spans="1:5" s="1998" customFormat="1">
      <c r="A371" s="3203"/>
      <c r="C371" s="3204"/>
      <c r="E371" s="3203"/>
    </row>
    <row r="372" spans="1:5" s="1998" customFormat="1">
      <c r="A372" s="3203"/>
      <c r="C372" s="3204"/>
      <c r="E372" s="3203"/>
    </row>
    <row r="373" spans="1:5" s="1998" customFormat="1">
      <c r="A373" s="3203"/>
      <c r="C373" s="3204"/>
      <c r="E373" s="3203"/>
    </row>
    <row r="374" spans="1:5" s="1998" customFormat="1">
      <c r="A374" s="3203"/>
      <c r="C374" s="3204"/>
      <c r="E374" s="3203"/>
    </row>
    <row r="375" spans="1:5" s="1998" customFormat="1">
      <c r="A375" s="3203"/>
      <c r="C375" s="3204"/>
      <c r="E375" s="3203"/>
    </row>
    <row r="376" spans="1:5" s="1998" customFormat="1">
      <c r="A376" s="3203"/>
      <c r="C376" s="3204"/>
      <c r="E376" s="3203"/>
    </row>
    <row r="377" spans="1:5" s="1998" customFormat="1">
      <c r="A377" s="3203"/>
      <c r="C377" s="3204"/>
      <c r="E377" s="3203"/>
    </row>
    <row r="378" spans="1:5" s="1998" customFormat="1">
      <c r="A378" s="3203"/>
      <c r="C378" s="3204"/>
      <c r="E378" s="3203"/>
    </row>
    <row r="379" spans="1:5" s="1998" customFormat="1">
      <c r="A379" s="3203"/>
      <c r="C379" s="3204"/>
      <c r="E379" s="3203"/>
    </row>
    <row r="380" spans="1:5" s="1998" customFormat="1">
      <c r="A380" s="3203"/>
      <c r="C380" s="3204"/>
      <c r="E380" s="3203"/>
    </row>
    <row r="381" spans="1:5" s="1998" customFormat="1">
      <c r="A381" s="3203"/>
      <c r="C381" s="3204"/>
      <c r="E381" s="3203"/>
    </row>
    <row r="382" spans="1:5" s="1998" customFormat="1">
      <c r="A382" s="3203"/>
      <c r="C382" s="3204"/>
      <c r="E382" s="3203"/>
    </row>
    <row r="383" spans="1:5" s="1998" customFormat="1">
      <c r="A383" s="3203"/>
      <c r="C383" s="3204"/>
      <c r="E383" s="3203"/>
    </row>
    <row r="384" spans="1:5" s="1998" customFormat="1">
      <c r="A384" s="3203"/>
      <c r="C384" s="3204"/>
      <c r="E384" s="3203"/>
    </row>
    <row r="385" spans="1:5" s="1998" customFormat="1">
      <c r="A385" s="3203"/>
      <c r="C385" s="3204"/>
      <c r="E385" s="3203"/>
    </row>
    <row r="386" spans="1:5" s="1998" customFormat="1">
      <c r="A386" s="3203"/>
      <c r="C386" s="3204"/>
      <c r="E386" s="3203"/>
    </row>
    <row r="387" spans="1:5" s="1998" customFormat="1">
      <c r="A387" s="3203"/>
      <c r="C387" s="3204"/>
      <c r="E387" s="3203"/>
    </row>
    <row r="388" spans="1:5" s="1998" customFormat="1">
      <c r="A388" s="3203"/>
      <c r="C388" s="3204"/>
      <c r="E388" s="3203"/>
    </row>
    <row r="389" spans="1:5" s="1998" customFormat="1">
      <c r="A389" s="3203"/>
      <c r="C389" s="3204"/>
      <c r="E389" s="3203"/>
    </row>
    <row r="390" spans="1:5" s="1998" customFormat="1">
      <c r="A390" s="3203"/>
      <c r="C390" s="3204"/>
      <c r="E390" s="3203"/>
    </row>
    <row r="391" spans="1:5" s="1998" customFormat="1">
      <c r="A391" s="3203"/>
      <c r="C391" s="3204"/>
      <c r="E391" s="3203"/>
    </row>
    <row r="392" spans="1:5" s="1998" customFormat="1">
      <c r="A392" s="3203"/>
      <c r="C392" s="3204"/>
      <c r="E392" s="3203"/>
    </row>
    <row r="393" spans="1:5" s="1998" customFormat="1">
      <c r="A393" s="3203"/>
      <c r="C393" s="3204"/>
      <c r="E393" s="3203"/>
    </row>
    <row r="394" spans="1:5" s="1998" customFormat="1">
      <c r="A394" s="3203"/>
      <c r="C394" s="3204"/>
      <c r="E394" s="3203"/>
    </row>
    <row r="395" spans="1:5" s="1998" customFormat="1">
      <c r="A395" s="3203"/>
      <c r="C395" s="3204"/>
      <c r="E395" s="3203"/>
    </row>
    <row r="396" spans="1:5" s="1998" customFormat="1">
      <c r="A396" s="3203"/>
      <c r="C396" s="3204"/>
      <c r="E396" s="3203"/>
    </row>
    <row r="397" spans="1:5" s="1998" customFormat="1">
      <c r="A397" s="3203"/>
      <c r="C397" s="3204"/>
      <c r="E397" s="3203"/>
    </row>
    <row r="398" spans="1:5" s="1998" customFormat="1">
      <c r="A398" s="3203"/>
      <c r="C398" s="3204"/>
      <c r="E398" s="3203"/>
    </row>
    <row r="399" spans="1:5" s="1998" customFormat="1">
      <c r="A399" s="3203"/>
      <c r="C399" s="3204"/>
      <c r="E399" s="3203"/>
    </row>
    <row r="400" spans="1:5" s="1998" customFormat="1">
      <c r="A400" s="3203"/>
      <c r="C400" s="3204"/>
      <c r="E400" s="3203"/>
    </row>
    <row r="401" spans="1:5" s="1998" customFormat="1">
      <c r="A401" s="3203"/>
      <c r="C401" s="3204"/>
      <c r="E401" s="3203"/>
    </row>
    <row r="402" spans="1:5" s="1998" customFormat="1">
      <c r="A402" s="3203"/>
      <c r="C402" s="3204"/>
      <c r="E402" s="3203"/>
    </row>
    <row r="403" spans="1:5" s="1998" customFormat="1">
      <c r="A403" s="3203"/>
      <c r="C403" s="3204"/>
      <c r="E403" s="3203"/>
    </row>
    <row r="404" spans="1:5" s="1998" customFormat="1">
      <c r="A404" s="3203"/>
      <c r="C404" s="3204"/>
      <c r="E404" s="3203"/>
    </row>
    <row r="405" spans="1:5" s="1998" customFormat="1">
      <c r="A405" s="3203"/>
      <c r="C405" s="3204"/>
      <c r="E405" s="3203"/>
    </row>
    <row r="406" spans="1:5" s="1998" customFormat="1">
      <c r="A406" s="3203"/>
      <c r="C406" s="3204"/>
      <c r="E406" s="3203"/>
    </row>
    <row r="407" spans="1:5" s="1998" customFormat="1">
      <c r="A407" s="3203"/>
      <c r="C407" s="3204"/>
      <c r="E407" s="3203"/>
    </row>
    <row r="408" spans="1:5" s="1998" customFormat="1">
      <c r="A408" s="3203"/>
      <c r="C408" s="3204"/>
      <c r="E408" s="3203"/>
    </row>
    <row r="409" spans="1:5" s="1998" customFormat="1">
      <c r="A409" s="3203"/>
      <c r="C409" s="3204"/>
      <c r="E409" s="3203"/>
    </row>
    <row r="410" spans="1:5" s="1998" customFormat="1">
      <c r="A410" s="3203"/>
      <c r="C410" s="3204"/>
      <c r="E410" s="3203"/>
    </row>
    <row r="411" spans="1:5" s="1998" customFormat="1">
      <c r="A411" s="3203"/>
      <c r="C411" s="3204"/>
      <c r="E411" s="3203"/>
    </row>
    <row r="412" spans="1:5" s="1998" customFormat="1">
      <c r="A412" s="3203"/>
      <c r="C412" s="3204"/>
      <c r="E412" s="3203"/>
    </row>
    <row r="413" spans="1:5" s="1998" customFormat="1">
      <c r="A413" s="3203"/>
      <c r="C413" s="3204"/>
      <c r="E413" s="3203"/>
    </row>
    <row r="414" spans="1:5" s="1998" customFormat="1">
      <c r="A414" s="3203"/>
      <c r="C414" s="3204"/>
      <c r="E414" s="3203"/>
    </row>
    <row r="415" spans="1:5" s="1998" customFormat="1">
      <c r="A415" s="3203"/>
      <c r="C415" s="3204"/>
      <c r="E415" s="3203"/>
    </row>
    <row r="416" spans="1:5" s="1998" customFormat="1">
      <c r="A416" s="3203"/>
      <c r="C416" s="3204"/>
      <c r="E416" s="3203"/>
    </row>
    <row r="417" spans="1:5" s="1998" customFormat="1">
      <c r="A417" s="3203"/>
      <c r="C417" s="3204"/>
      <c r="E417" s="3203"/>
    </row>
    <row r="418" spans="1:5" s="1998" customFormat="1">
      <c r="A418" s="3203"/>
      <c r="C418" s="3204"/>
      <c r="E418" s="3203"/>
    </row>
    <row r="419" spans="1:5" s="1998" customFormat="1">
      <c r="A419" s="3203"/>
      <c r="C419" s="3204"/>
      <c r="E419" s="3203"/>
    </row>
    <row r="420" spans="1:5" s="1998" customFormat="1">
      <c r="A420" s="3203"/>
      <c r="C420" s="3204"/>
      <c r="E420" s="3203"/>
    </row>
    <row r="421" spans="1:5" s="1998" customFormat="1">
      <c r="A421" s="3203"/>
      <c r="C421" s="3204"/>
      <c r="E421" s="3203"/>
    </row>
    <row r="422" spans="1:5" s="1998" customFormat="1">
      <c r="A422" s="3203"/>
      <c r="C422" s="3204"/>
      <c r="E422" s="3203"/>
    </row>
    <row r="423" spans="1:5" s="1998" customFormat="1">
      <c r="A423" s="3203"/>
      <c r="C423" s="3204"/>
      <c r="E423" s="3203"/>
    </row>
    <row r="424" spans="1:5" s="1998" customFormat="1">
      <c r="A424" s="3203"/>
      <c r="C424" s="3204"/>
      <c r="E424" s="3203"/>
    </row>
    <row r="425" spans="1:5" s="1998" customFormat="1">
      <c r="A425" s="3203"/>
      <c r="C425" s="3204"/>
      <c r="E425" s="3203"/>
    </row>
    <row r="426" spans="1:5" s="1998" customFormat="1">
      <c r="A426" s="3203"/>
      <c r="C426" s="3204"/>
      <c r="E426" s="3203"/>
    </row>
    <row r="427" spans="1:5" s="1998" customFormat="1">
      <c r="A427" s="3203"/>
      <c r="C427" s="3204"/>
      <c r="E427" s="3203"/>
    </row>
    <row r="428" spans="1:5" s="1998" customFormat="1">
      <c r="A428" s="3203"/>
      <c r="C428" s="3204"/>
      <c r="E428" s="3203"/>
    </row>
    <row r="429" spans="1:5" s="1998" customFormat="1">
      <c r="A429" s="3203"/>
      <c r="C429" s="3204"/>
      <c r="E429" s="3203"/>
    </row>
    <row r="430" spans="1:5" s="1998" customFormat="1">
      <c r="A430" s="3203"/>
      <c r="C430" s="3204"/>
      <c r="E430" s="3203"/>
    </row>
    <row r="431" spans="1:5" s="1998" customFormat="1">
      <c r="A431" s="3203"/>
      <c r="C431" s="3204"/>
      <c r="E431" s="3203"/>
    </row>
    <row r="432" spans="1:5" s="1998" customFormat="1">
      <c r="A432" s="3203"/>
      <c r="C432" s="3204"/>
      <c r="E432" s="3203"/>
    </row>
    <row r="433" spans="1:5" s="1998" customFormat="1">
      <c r="A433" s="3203"/>
      <c r="C433" s="3204"/>
      <c r="E433" s="3203"/>
    </row>
    <row r="434" spans="1:5" s="1998" customFormat="1">
      <c r="A434" s="3203"/>
      <c r="C434" s="3204"/>
      <c r="E434" s="3203"/>
    </row>
    <row r="435" spans="1:5" s="1998" customFormat="1">
      <c r="A435" s="3203"/>
      <c r="C435" s="3204"/>
      <c r="E435" s="3203"/>
    </row>
    <row r="436" spans="1:5" s="1998" customFormat="1">
      <c r="A436" s="3203"/>
      <c r="C436" s="3204"/>
      <c r="E436" s="3203"/>
    </row>
    <row r="437" spans="1:5" s="1998" customFormat="1">
      <c r="A437" s="3203"/>
      <c r="C437" s="3204"/>
      <c r="E437" s="3203"/>
    </row>
    <row r="438" spans="1:5" s="1998" customFormat="1">
      <c r="A438" s="3203"/>
      <c r="C438" s="3204"/>
      <c r="E438" s="3203"/>
    </row>
    <row r="439" spans="1:5" s="1998" customFormat="1">
      <c r="A439" s="3203"/>
      <c r="C439" s="3204"/>
      <c r="E439" s="3203"/>
    </row>
    <row r="440" spans="1:5" s="1998" customFormat="1">
      <c r="A440" s="3203"/>
      <c r="C440" s="3204"/>
      <c r="E440" s="3203"/>
    </row>
    <row r="441" spans="1:5" s="1998" customFormat="1">
      <c r="A441" s="3203"/>
      <c r="C441" s="3204"/>
      <c r="E441" s="3203"/>
    </row>
    <row r="442" spans="1:5" s="1998" customFormat="1">
      <c r="A442" s="3203"/>
      <c r="C442" s="3204"/>
      <c r="E442" s="3203"/>
    </row>
    <row r="443" spans="1:5" s="1998" customFormat="1">
      <c r="A443" s="3203"/>
      <c r="C443" s="3204"/>
      <c r="E443" s="3203"/>
    </row>
    <row r="444" spans="1:5" s="1998" customFormat="1">
      <c r="A444" s="3203"/>
      <c r="C444" s="3204"/>
      <c r="E444" s="3203"/>
    </row>
    <row r="445" spans="1:5" s="1998" customFormat="1">
      <c r="A445" s="3203"/>
      <c r="C445" s="3204"/>
      <c r="E445" s="3203"/>
    </row>
    <row r="446" spans="1:5" s="1998" customFormat="1">
      <c r="A446" s="3203"/>
      <c r="C446" s="3204"/>
      <c r="E446" s="3203"/>
    </row>
    <row r="447" spans="1:5" s="1998" customFormat="1">
      <c r="A447" s="3203"/>
      <c r="C447" s="3204"/>
      <c r="E447" s="3203"/>
    </row>
    <row r="448" spans="1:5" s="1998" customFormat="1">
      <c r="A448" s="3203"/>
      <c r="C448" s="3204"/>
      <c r="E448" s="3203"/>
    </row>
    <row r="449" spans="1:5" s="1998" customFormat="1">
      <c r="A449" s="3203"/>
      <c r="C449" s="3204"/>
      <c r="E449" s="3203"/>
    </row>
    <row r="450" spans="1:5" s="1998" customFormat="1">
      <c r="A450" s="3203"/>
      <c r="C450" s="3204"/>
      <c r="E450" s="3203"/>
    </row>
    <row r="451" spans="1:5" s="1998" customFormat="1">
      <c r="A451" s="3203"/>
      <c r="C451" s="3204"/>
      <c r="E451" s="3203"/>
    </row>
    <row r="452" spans="1:5" s="1998" customFormat="1">
      <c r="A452" s="3203"/>
      <c r="C452" s="3204"/>
      <c r="E452" s="3203"/>
    </row>
    <row r="453" spans="1:5" s="1998" customFormat="1">
      <c r="A453" s="3203"/>
      <c r="C453" s="3204"/>
      <c r="E453" s="3203"/>
    </row>
    <row r="454" spans="1:5" s="1998" customFormat="1">
      <c r="A454" s="3203"/>
      <c r="C454" s="3204"/>
      <c r="E454" s="3203"/>
    </row>
    <row r="455" spans="1:5" s="1998" customFormat="1">
      <c r="A455" s="3203"/>
      <c r="C455" s="3204"/>
      <c r="E455" s="3203"/>
    </row>
    <row r="456" spans="1:5" s="1998" customFormat="1">
      <c r="A456" s="3203"/>
      <c r="C456" s="3204"/>
      <c r="E456" s="3203"/>
    </row>
    <row r="457" spans="1:5" s="1998" customFormat="1">
      <c r="A457" s="3203"/>
      <c r="C457" s="3204"/>
      <c r="E457" s="3203"/>
    </row>
    <row r="458" spans="1:5" s="1998" customFormat="1">
      <c r="A458" s="3203"/>
      <c r="C458" s="3204"/>
      <c r="E458" s="3203"/>
    </row>
    <row r="459" spans="1:5" s="1998" customFormat="1">
      <c r="A459" s="3203"/>
      <c r="C459" s="3204"/>
      <c r="E459" s="3203"/>
    </row>
    <row r="460" spans="1:5" s="1998" customFormat="1">
      <c r="A460" s="3203"/>
      <c r="C460" s="3204"/>
      <c r="E460" s="3203"/>
    </row>
    <row r="461" spans="1:5" s="1998" customFormat="1">
      <c r="A461" s="3203"/>
      <c r="C461" s="3204"/>
      <c r="E461" s="3203"/>
    </row>
    <row r="462" spans="1:5" s="1998" customFormat="1">
      <c r="A462" s="3203"/>
      <c r="C462" s="3204"/>
      <c r="E462" s="3203"/>
    </row>
    <row r="463" spans="1:5" s="1998" customFormat="1">
      <c r="A463" s="3203"/>
      <c r="C463" s="3204"/>
      <c r="E463" s="3203"/>
    </row>
    <row r="464" spans="1:5" s="1998" customFormat="1">
      <c r="A464" s="3203"/>
      <c r="C464" s="3204"/>
      <c r="E464" s="3203"/>
    </row>
    <row r="465" spans="1:5" s="1998" customFormat="1">
      <c r="A465" s="3203"/>
      <c r="C465" s="3204"/>
      <c r="E465" s="3203"/>
    </row>
    <row r="466" spans="1:5" s="1998" customFormat="1">
      <c r="A466" s="3203"/>
      <c r="C466" s="3204"/>
      <c r="E466" s="3203"/>
    </row>
    <row r="467" spans="1:5" s="1998" customFormat="1">
      <c r="A467" s="3203"/>
      <c r="C467" s="3204"/>
      <c r="E467" s="3203"/>
    </row>
    <row r="468" spans="1:5" s="1998" customFormat="1">
      <c r="A468" s="3203"/>
      <c r="C468" s="3204"/>
      <c r="E468" s="3203"/>
    </row>
    <row r="469" spans="1:5" s="1998" customFormat="1">
      <c r="A469" s="3203"/>
      <c r="C469" s="3204"/>
      <c r="E469" s="3203"/>
    </row>
    <row r="470" spans="1:5" s="1998" customFormat="1">
      <c r="A470" s="3203"/>
      <c r="C470" s="3204"/>
      <c r="E470" s="3203"/>
    </row>
    <row r="471" spans="1:5" s="1998" customFormat="1">
      <c r="A471" s="3203"/>
      <c r="C471" s="3204"/>
      <c r="E471" s="3203"/>
    </row>
    <row r="472" spans="1:5" s="1998" customFormat="1">
      <c r="A472" s="3203"/>
      <c r="C472" s="3204"/>
      <c r="E472" s="3203"/>
    </row>
    <row r="473" spans="1:5" s="1998" customFormat="1">
      <c r="A473" s="3203"/>
      <c r="C473" s="3204"/>
      <c r="E473" s="3203"/>
    </row>
    <row r="474" spans="1:5" s="1998" customFormat="1">
      <c r="A474" s="3203"/>
      <c r="C474" s="3204"/>
      <c r="E474" s="3203"/>
    </row>
    <row r="475" spans="1:5" s="1998" customFormat="1">
      <c r="A475" s="3203"/>
      <c r="C475" s="3204"/>
      <c r="E475" s="3203"/>
    </row>
    <row r="476" spans="1:5" s="1998" customFormat="1">
      <c r="A476" s="3203"/>
      <c r="C476" s="3204"/>
      <c r="E476" s="3203"/>
    </row>
    <row r="477" spans="1:5" s="1998" customFormat="1">
      <c r="A477" s="3203"/>
      <c r="C477" s="3204"/>
      <c r="E477" s="3203"/>
    </row>
    <row r="478" spans="1:5" s="1998" customFormat="1">
      <c r="A478" s="3203"/>
      <c r="C478" s="3204"/>
      <c r="E478" s="3203"/>
    </row>
    <row r="479" spans="1:5" s="1998" customFormat="1">
      <c r="A479" s="3203"/>
      <c r="C479" s="3204"/>
      <c r="E479" s="3203"/>
    </row>
    <row r="480" spans="1:5" s="1998" customFormat="1">
      <c r="A480" s="3203"/>
      <c r="C480" s="3204"/>
      <c r="E480" s="3203"/>
    </row>
    <row r="481" spans="1:5" s="1998" customFormat="1">
      <c r="A481" s="3203"/>
      <c r="C481" s="3204"/>
      <c r="E481" s="3203"/>
    </row>
    <row r="482" spans="1:5" s="1998" customFormat="1">
      <c r="A482" s="3203"/>
      <c r="C482" s="3204"/>
      <c r="E482" s="3203"/>
    </row>
    <row r="483" spans="1:5" s="1998" customFormat="1">
      <c r="A483" s="3203"/>
      <c r="C483" s="3204"/>
      <c r="E483" s="3203"/>
    </row>
    <row r="484" spans="1:5" s="1998" customFormat="1">
      <c r="A484" s="3203"/>
      <c r="C484" s="3204"/>
      <c r="E484" s="3203"/>
    </row>
    <row r="485" spans="1:5" s="1998" customFormat="1">
      <c r="A485" s="3203"/>
      <c r="C485" s="3204"/>
      <c r="E485" s="3203"/>
    </row>
    <row r="486" spans="1:5" s="1998" customFormat="1">
      <c r="A486" s="3203"/>
      <c r="C486" s="3204"/>
      <c r="E486" s="3203"/>
    </row>
    <row r="487" spans="1:5" s="1998" customFormat="1">
      <c r="A487" s="3203"/>
      <c r="C487" s="3204"/>
      <c r="E487" s="3203"/>
    </row>
    <row r="488" spans="1:5" s="1998" customFormat="1">
      <c r="A488" s="3203"/>
      <c r="C488" s="3204"/>
      <c r="E488" s="3203"/>
    </row>
    <row r="489" spans="1:5" s="1998" customFormat="1">
      <c r="A489" s="3203"/>
      <c r="C489" s="3204"/>
      <c r="E489" s="3203"/>
    </row>
    <row r="490" spans="1:5" s="1998"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2" t="str">
        <f>项目基本情况!B1</f>
        <v>出让国有建设用地使用权抵押价格预评估</v>
      </c>
      <c r="C37" s="3322"/>
      <c r="D37" s="3322"/>
      <c r="E37" s="3322"/>
      <c r="F37" s="3322"/>
      <c r="G37" s="3322"/>
      <c r="H37" s="3322"/>
      <c r="I37" s="332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6"/>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5"/>
      <c r="M6" s="3195"/>
      <c r="N6" s="3195"/>
      <c r="O6" s="3195"/>
      <c r="P6" s="3195"/>
      <c r="Q6" s="3195"/>
      <c r="R6" s="3195"/>
      <c r="S6" s="3195"/>
      <c r="T6" s="3195"/>
      <c r="U6" s="3195"/>
      <c r="V6" s="3195"/>
      <c r="W6" s="3195"/>
      <c r="X6" s="3195"/>
      <c r="Y6" s="3195"/>
      <c r="Z6" s="3195"/>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5"/>
      <c r="M11" s="3195"/>
      <c r="N11" s="3195"/>
      <c r="O11" s="3195"/>
      <c r="P11" s="3195"/>
      <c r="Q11" s="3195"/>
      <c r="R11" s="3195"/>
      <c r="S11" s="3195"/>
      <c r="T11" s="3195"/>
      <c r="U11" s="3195"/>
      <c r="V11" s="3195"/>
      <c r="W11" s="3195"/>
      <c r="X11" s="3195"/>
      <c r="Y11" s="3195"/>
      <c r="Z11" s="3195"/>
    </row>
    <row r="12" spans="1:41" s="1968"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9" customFormat="1" ht="13.5" customHeight="1">
      <c r="A13" s="1562" t="s">
        <v>1839</v>
      </c>
      <c r="B13" s="443" t="s">
        <v>473</v>
      </c>
      <c r="C13" s="444">
        <f ca="1">IF(B1="",'数据-取费表'!M16,INDIRECT("'数据-取费表'!M"&amp;$K$1)+INDIRECT("'数据-取费表'!t"&amp;$K$1))</f>
        <v>286666</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8600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22933</v>
      </c>
      <c r="D16" s="445">
        <f ca="1">IF(B1="",'数据-汇总表'!E3,INDIRECT("'数据-取费表'!K"&amp;$K$1)+INDIRECT("'数据-取费表'!S"&amp;$K$1))</f>
        <v>1146665.0900000001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4300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322499</v>
      </c>
      <c r="D18" s="455"/>
      <c r="E18" s="456"/>
      <c r="F18" s="456"/>
      <c r="G18" s="1281" t="s">
        <v>2416</v>
      </c>
      <c r="H18" s="441"/>
      <c r="I18" s="441"/>
      <c r="J18" s="441"/>
      <c r="K18" s="442"/>
      <c r="L18" s="3198"/>
      <c r="M18" s="3198"/>
      <c r="N18" s="3198"/>
      <c r="O18" s="3198"/>
      <c r="P18" s="3198"/>
      <c r="Q18" s="3198"/>
      <c r="R18" s="3198"/>
      <c r="S18" s="3198"/>
      <c r="T18" s="3198"/>
      <c r="U18" s="3198"/>
      <c r="V18" s="3198"/>
      <c r="W18" s="3198"/>
      <c r="X18" s="3198"/>
      <c r="Y18" s="3198"/>
      <c r="Z18" s="3198"/>
    </row>
    <row r="19" spans="1:26" s="2002" customFormat="1" ht="13.5" customHeight="1">
      <c r="A19" s="1563" t="s">
        <v>1845</v>
      </c>
      <c r="B19" s="453" t="s">
        <v>487</v>
      </c>
      <c r="C19" s="454">
        <f ca="1">ROUND(C18*F19,0)</f>
        <v>6450</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2" customFormat="1" ht="13.5" customHeight="1">
      <c r="A20" s="1563" t="s">
        <v>1846</v>
      </c>
      <c r="B20" s="453" t="s">
        <v>498</v>
      </c>
      <c r="C20" s="2742">
        <f>F20</f>
        <v>0.02</v>
      </c>
      <c r="D20" s="463" t="s">
        <v>499</v>
      </c>
      <c r="E20" s="463"/>
      <c r="F20" s="480">
        <f>'数据-取费表'!B38</f>
        <v>0.02</v>
      </c>
      <c r="G20" s="1281"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4" customFormat="1" ht="13.5" customHeight="1">
      <c r="A21" s="1563" t="s">
        <v>1849</v>
      </c>
      <c r="B21" s="455" t="s">
        <v>488</v>
      </c>
      <c r="C21" s="464">
        <f ca="1">C22</f>
        <v>21696</v>
      </c>
      <c r="D21" s="461">
        <f ca="1">C23</f>
        <v>1.2999999999999999E-3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6" t="s">
        <v>2437</v>
      </c>
      <c r="M21" s="3207"/>
      <c r="N21" s="3207"/>
      <c r="O21" s="3207"/>
      <c r="P21" s="3207"/>
      <c r="Q21" s="3200"/>
      <c r="R21" s="3200"/>
      <c r="S21" s="3200"/>
      <c r="T21" s="3200"/>
      <c r="U21" s="3200"/>
      <c r="V21" s="3200"/>
      <c r="W21" s="3200"/>
      <c r="X21" s="3200"/>
      <c r="Y21" s="3200"/>
      <c r="Z21" s="3200"/>
    </row>
    <row r="22" spans="1:26" s="2003" customFormat="1" ht="13.5" customHeight="1">
      <c r="A22" s="1562" t="s">
        <v>1839</v>
      </c>
      <c r="B22" s="1282" t="s">
        <v>2419</v>
      </c>
      <c r="C22" s="481">
        <f ca="1">ROUND(IF('数据-取费表'!B22&lt;=1,(C18+C19)*F21*'数据-取费表'!B20/2,(C18+C19)*(POWER((1+F21),'数据-取费表'!B20/2)-1)),0)</f>
        <v>21696</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3" customFormat="1" ht="13.5" customHeight="1">
      <c r="A23" s="1562" t="s">
        <v>1840</v>
      </c>
      <c r="B23" s="1282" t="s">
        <v>502</v>
      </c>
      <c r="C23" s="482">
        <f ca="1">ROUND(IF('数据-取费表'!B22&lt;=1,F20*F21*'数据-取费表'!B20/2,F20*(POWER((1+F21),'数据-取费表'!B20/2)-1)),4)</f>
        <v>1.2999999999999999E-3</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3" customFormat="1" ht="13.5" customHeight="1">
      <c r="A24" s="1563" t="s">
        <v>1850</v>
      </c>
      <c r="B24" s="2744" t="s">
        <v>2811</v>
      </c>
      <c r="C24" s="472">
        <f ca="1">C25</f>
        <v>49342</v>
      </c>
      <c r="D24" s="483">
        <f ca="1">C26</f>
        <v>3.0000000000000001E-3</v>
      </c>
      <c r="E24" s="463" t="s">
        <v>501</v>
      </c>
      <c r="F24" s="473">
        <f ca="1">IF(B1="",'数据-取费表'!Q16,INDIRECT("'数据-取费表'!q"&amp;$K$1))</f>
        <v>0.15</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3" customFormat="1" ht="13.5" customHeight="1">
      <c r="A25" s="1562" t="s">
        <v>1839</v>
      </c>
      <c r="B25" s="1282" t="s">
        <v>2420</v>
      </c>
      <c r="C25" s="484">
        <f ca="1">ROUND((C18+C19)*F24,0)</f>
        <v>49342</v>
      </c>
      <c r="D25" s="466"/>
      <c r="E25" s="467"/>
      <c r="F25" s="474"/>
      <c r="G25" s="1280" t="s">
        <v>2417</v>
      </c>
      <c r="H25" s="451"/>
      <c r="I25" s="451"/>
      <c r="J25" s="451"/>
      <c r="K25" s="452"/>
      <c r="L25" s="3199"/>
      <c r="M25" s="3199"/>
      <c r="N25" s="3199"/>
      <c r="O25" s="3199"/>
      <c r="P25" s="3199"/>
      <c r="Q25" s="3199"/>
      <c r="R25" s="3199"/>
      <c r="S25" s="3199"/>
      <c r="T25" s="3199"/>
      <c r="U25" s="3199"/>
      <c r="V25" s="3199"/>
      <c r="W25" s="3199"/>
      <c r="X25" s="3199"/>
      <c r="Y25" s="3199"/>
      <c r="Z25" s="3199"/>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3" customFormat="1" ht="13.5" customHeight="1">
      <c r="A27" s="1566" t="s">
        <v>1858</v>
      </c>
      <c r="B27" s="453" t="s">
        <v>505</v>
      </c>
      <c r="C27" s="2743">
        <f>ROUND(F27/(1+'数据-取费表'!C42),4)</f>
        <v>5.2400000000000002E-2</v>
      </c>
      <c r="D27" s="456" t="s">
        <v>2809</v>
      </c>
      <c r="E27" s="456"/>
      <c r="F27" s="460">
        <f>'数据-取费表'!B41</f>
        <v>5.5000000000000007E-2</v>
      </c>
      <c r="G27" s="1875" t="s">
        <v>2279</v>
      </c>
      <c r="H27" s="441"/>
      <c r="I27" s="441"/>
      <c r="J27" s="441"/>
      <c r="K27" s="442"/>
      <c r="L27" s="3199"/>
      <c r="M27" s="3199"/>
      <c r="N27" s="3199"/>
      <c r="O27" s="3199"/>
      <c r="P27" s="3199"/>
      <c r="Q27" s="3199"/>
      <c r="R27" s="3199"/>
      <c r="S27" s="3199"/>
      <c r="T27" s="3199"/>
      <c r="U27" s="3199"/>
      <c r="V27" s="3199"/>
      <c r="W27" s="3199"/>
      <c r="X27" s="3199"/>
      <c r="Y27" s="3199"/>
      <c r="Z27" s="3199"/>
    </row>
    <row r="28" spans="1:26" s="2004" customFormat="1" ht="13.5" customHeight="1">
      <c r="A28" s="1566" t="s">
        <v>1859</v>
      </c>
      <c r="B28" s="470" t="s">
        <v>506</v>
      </c>
      <c r="C28" s="464">
        <f ca="1">ROUND((C18+C19+C21+C24)/(1-C20-D21-D24-C27),0)</f>
        <v>433215</v>
      </c>
      <c r="D28" s="471"/>
      <c r="E28" s="463"/>
      <c r="F28" s="465"/>
      <c r="G28" s="1281" t="s">
        <v>2418</v>
      </c>
      <c r="H28" s="441"/>
      <c r="I28" s="441"/>
      <c r="J28" s="441"/>
      <c r="K28" s="442"/>
      <c r="L28" s="3200"/>
      <c r="M28" s="3200"/>
      <c r="N28" s="3200"/>
      <c r="O28" s="3200"/>
      <c r="P28" s="3200"/>
      <c r="Q28" s="3200"/>
      <c r="R28" s="3200"/>
      <c r="S28" s="3200"/>
      <c r="T28" s="3200"/>
      <c r="U28" s="3200"/>
      <c r="V28" s="3200"/>
      <c r="W28" s="3200"/>
      <c r="X28" s="3200"/>
      <c r="Y28" s="3200"/>
      <c r="Z28" s="3200"/>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4" customFormat="1" ht="13.5" customHeight="1">
      <c r="A30" s="437">
        <v>2</v>
      </c>
      <c r="B30" s="470" t="s">
        <v>508</v>
      </c>
      <c r="C30" s="491">
        <f ca="1">ROUND(C28*C29,0)</f>
        <v>0</v>
      </c>
      <c r="D30" s="487"/>
      <c r="E30" s="492"/>
      <c r="F30" s="493"/>
      <c r="G30" s="1283"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9"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6"/>
      <c r="M32" s="3196"/>
      <c r="N32" s="3196"/>
      <c r="O32" s="3196"/>
      <c r="P32" s="3196"/>
      <c r="Q32" s="3196"/>
      <c r="R32" s="3196"/>
      <c r="S32" s="3196"/>
      <c r="T32" s="3196"/>
      <c r="U32" s="3196"/>
      <c r="V32" s="3196"/>
      <c r="W32" s="3196"/>
      <c r="X32" s="3196"/>
      <c r="Y32" s="3196"/>
      <c r="Z32" s="3196"/>
    </row>
    <row r="33" spans="1:5" s="1998" customFormat="1">
      <c r="A33" s="3203"/>
      <c r="C33" s="3204"/>
      <c r="E33" s="3203"/>
    </row>
    <row r="34" spans="1:5" s="1998" customFormat="1" ht="12.75" customHeight="1">
      <c r="A34" s="3203"/>
      <c r="C34" s="3204"/>
      <c r="E34" s="3203"/>
    </row>
    <row r="35" spans="1:5" s="1998" customFormat="1">
      <c r="A35" s="3203"/>
      <c r="C35" s="3204"/>
      <c r="E35" s="3203"/>
    </row>
    <row r="36" spans="1:5" s="1998" customFormat="1">
      <c r="A36" s="3203"/>
      <c r="C36" s="3204"/>
      <c r="E36" s="3203"/>
    </row>
    <row r="37" spans="1:5" s="1998" customFormat="1">
      <c r="A37" s="3203"/>
      <c r="C37" s="3204"/>
      <c r="E37" s="3203"/>
    </row>
    <row r="38" spans="1:5" s="1998" customFormat="1">
      <c r="A38" s="3203"/>
      <c r="C38" s="3204"/>
      <c r="E38" s="3203"/>
    </row>
    <row r="39" spans="1:5" s="1998" customFormat="1">
      <c r="A39" s="3203"/>
      <c r="C39" s="3204"/>
      <c r="E39" s="3203"/>
    </row>
    <row r="40" spans="1:5" s="1998" customFormat="1">
      <c r="A40" s="3203"/>
      <c r="C40" s="3204"/>
      <c r="E40" s="3203"/>
    </row>
    <row r="41" spans="1:5" s="1998" customFormat="1">
      <c r="A41" s="3203"/>
      <c r="C41" s="3204"/>
      <c r="E41" s="3203"/>
    </row>
    <row r="42" spans="1:5" s="1998" customFormat="1">
      <c r="A42" s="3203"/>
      <c r="C42" s="3204"/>
      <c r="E42" s="3203"/>
    </row>
    <row r="43" spans="1:5" s="1998" customFormat="1">
      <c r="A43" s="3203"/>
      <c r="C43" s="3204"/>
      <c r="E43" s="3203"/>
    </row>
    <row r="44" spans="1:5" s="1998" customFormat="1">
      <c r="A44" s="3203"/>
      <c r="C44" s="3204"/>
      <c r="E44" s="3203"/>
    </row>
    <row r="45" spans="1:5" s="1998" customFormat="1">
      <c r="A45" s="3203"/>
      <c r="C45" s="3204"/>
      <c r="E45" s="3203"/>
    </row>
    <row r="46" spans="1:5" s="1998" customFormat="1">
      <c r="A46" s="3203"/>
      <c r="C46" s="3204"/>
      <c r="E46" s="3203"/>
    </row>
    <row r="47" spans="1:5" s="1998" customFormat="1">
      <c r="A47" s="3203"/>
      <c r="C47" s="3204"/>
      <c r="E47" s="3203"/>
    </row>
    <row r="48" spans="1:5" s="1998" customFormat="1">
      <c r="A48" s="3203"/>
      <c r="C48" s="3204"/>
      <c r="E48" s="3203"/>
    </row>
    <row r="49" spans="1:5" s="1998" customFormat="1">
      <c r="A49" s="3203"/>
      <c r="C49" s="3204"/>
      <c r="E49" s="3203"/>
    </row>
    <row r="50" spans="1:5" s="1998" customFormat="1">
      <c r="A50" s="3203"/>
      <c r="C50" s="3204"/>
      <c r="E50" s="3203"/>
    </row>
    <row r="51" spans="1:5" s="1998" customFormat="1">
      <c r="A51" s="3203"/>
      <c r="C51" s="3204"/>
      <c r="E51" s="3203"/>
    </row>
    <row r="52" spans="1:5" s="1998" customFormat="1">
      <c r="A52" s="3203"/>
      <c r="C52" s="3204"/>
      <c r="E52" s="3203"/>
    </row>
    <row r="53" spans="1:5" s="1998" customFormat="1">
      <c r="A53" s="3203"/>
      <c r="C53" s="3204"/>
      <c r="E53" s="3203"/>
    </row>
    <row r="54" spans="1:5" s="1998" customFormat="1">
      <c r="A54" s="3203"/>
      <c r="C54" s="3204"/>
      <c r="E54" s="3203"/>
    </row>
    <row r="55" spans="1:5" s="1998" customFormat="1">
      <c r="A55" s="3203"/>
      <c r="C55" s="3204"/>
      <c r="E55" s="3203"/>
    </row>
    <row r="56" spans="1:5" s="1998" customFormat="1">
      <c r="A56" s="3203"/>
      <c r="C56" s="3204"/>
      <c r="E56" s="3203"/>
    </row>
    <row r="57" spans="1:5" s="1998" customFormat="1">
      <c r="A57" s="3203"/>
      <c r="C57" s="3204"/>
      <c r="E57" s="3203"/>
    </row>
    <row r="58" spans="1:5" s="1998" customFormat="1">
      <c r="A58" s="3203"/>
      <c r="C58" s="3204"/>
      <c r="E58" s="3203"/>
    </row>
    <row r="59" spans="1:5" s="1998" customFormat="1">
      <c r="A59" s="3203"/>
      <c r="C59" s="3204"/>
      <c r="E59" s="3203"/>
    </row>
    <row r="60" spans="1:5" s="1998" customFormat="1">
      <c r="A60" s="3203"/>
      <c r="C60" s="3204"/>
      <c r="E60" s="3203"/>
    </row>
    <row r="61" spans="1:5" s="1998" customFormat="1">
      <c r="A61" s="3203"/>
      <c r="C61" s="3204"/>
      <c r="E61" s="3203"/>
    </row>
    <row r="62" spans="1:5" s="1998" customFormat="1">
      <c r="A62" s="3203"/>
      <c r="C62" s="3204"/>
      <c r="E62" s="3203"/>
    </row>
    <row r="63" spans="1:5" s="1998" customFormat="1">
      <c r="A63" s="3203"/>
      <c r="C63" s="3204"/>
      <c r="E63" s="3203"/>
    </row>
    <row r="64" spans="1:5" s="1998" customFormat="1">
      <c r="A64" s="3203"/>
      <c r="C64" s="3204"/>
      <c r="E64" s="3203"/>
    </row>
    <row r="65" spans="1:5" s="1998" customFormat="1">
      <c r="A65" s="3203"/>
      <c r="C65" s="3204"/>
      <c r="E65" s="3203"/>
    </row>
    <row r="66" spans="1:5" s="1998" customFormat="1">
      <c r="A66" s="3203"/>
      <c r="C66" s="3204"/>
      <c r="E66" s="3203"/>
    </row>
    <row r="67" spans="1:5" s="1998" customFormat="1">
      <c r="A67" s="3203"/>
      <c r="C67" s="3204"/>
      <c r="E67" s="3203"/>
    </row>
    <row r="68" spans="1:5" s="1998" customFormat="1">
      <c r="A68" s="3203"/>
      <c r="C68" s="3204"/>
      <c r="E68" s="3203"/>
    </row>
    <row r="69" spans="1:5" s="1998" customFormat="1">
      <c r="A69" s="3203"/>
      <c r="C69" s="3204"/>
      <c r="E69" s="3203"/>
    </row>
    <row r="70" spans="1:5" s="1998" customFormat="1">
      <c r="A70" s="3203"/>
      <c r="C70" s="3204"/>
      <c r="E70" s="3203"/>
    </row>
    <row r="71" spans="1:5" s="1998" customFormat="1">
      <c r="A71" s="3203"/>
      <c r="C71" s="3204"/>
      <c r="E71" s="3203"/>
    </row>
    <row r="72" spans="1:5" s="1998" customFormat="1">
      <c r="A72" s="3203"/>
      <c r="C72" s="3204"/>
      <c r="E72" s="3203"/>
    </row>
    <row r="73" spans="1:5" s="1998" customFormat="1">
      <c r="A73" s="3203"/>
      <c r="C73" s="3204"/>
      <c r="E73" s="3203"/>
    </row>
    <row r="74" spans="1:5" s="1998" customFormat="1">
      <c r="A74" s="3203"/>
      <c r="C74" s="3204"/>
      <c r="E74" s="3203"/>
    </row>
    <row r="75" spans="1:5" s="1998" customFormat="1">
      <c r="A75" s="3203"/>
      <c r="C75" s="3204"/>
      <c r="E75" s="3203"/>
    </row>
    <row r="76" spans="1:5" s="1998" customFormat="1">
      <c r="A76" s="3203"/>
      <c r="C76" s="3204"/>
      <c r="E76" s="3203"/>
    </row>
    <row r="77" spans="1:5" s="1998" customFormat="1">
      <c r="A77" s="3203"/>
      <c r="C77" s="3204"/>
      <c r="E77" s="3203"/>
    </row>
    <row r="78" spans="1:5" s="1998" customFormat="1">
      <c r="A78" s="3203"/>
      <c r="C78" s="3204"/>
      <c r="E78" s="3203"/>
    </row>
    <row r="79" spans="1:5" s="1998" customFormat="1">
      <c r="A79" s="3203"/>
      <c r="C79" s="3204"/>
      <c r="E79" s="3203"/>
    </row>
    <row r="80" spans="1:5" s="1998" customFormat="1">
      <c r="A80" s="3203"/>
      <c r="C80" s="3204"/>
      <c r="E80" s="3203"/>
    </row>
    <row r="81" spans="1:5" s="1998" customFormat="1">
      <c r="A81" s="3203"/>
      <c r="C81" s="3204"/>
      <c r="E81" s="3203"/>
    </row>
    <row r="82" spans="1:5" s="1998" customFormat="1">
      <c r="A82" s="3203"/>
      <c r="C82" s="3204"/>
      <c r="E82" s="3203"/>
    </row>
    <row r="83" spans="1:5" s="1998" customFormat="1">
      <c r="A83" s="3203"/>
      <c r="C83" s="3204"/>
      <c r="E83" s="3203"/>
    </row>
    <row r="84" spans="1:5" s="1998" customFormat="1">
      <c r="A84" s="3203"/>
      <c r="C84" s="3204"/>
      <c r="E84" s="3203"/>
    </row>
    <row r="85" spans="1:5" s="1998" customFormat="1">
      <c r="A85" s="3203"/>
      <c r="C85" s="3204"/>
      <c r="E85" s="3203"/>
    </row>
    <row r="86" spans="1:5" s="1998" customFormat="1">
      <c r="A86" s="3203"/>
      <c r="C86" s="3204"/>
      <c r="E86" s="3203"/>
    </row>
    <row r="87" spans="1:5" s="1998" customFormat="1">
      <c r="A87" s="3203"/>
      <c r="C87" s="3204"/>
      <c r="E87" s="3203"/>
    </row>
    <row r="88" spans="1:5" s="1998" customFormat="1">
      <c r="A88" s="3203"/>
      <c r="C88" s="3204"/>
      <c r="E88" s="3203"/>
    </row>
    <row r="89" spans="1:5" s="1998" customFormat="1">
      <c r="A89" s="3203"/>
      <c r="C89" s="3204"/>
      <c r="E89" s="3203"/>
    </row>
    <row r="90" spans="1:5" s="1998" customFormat="1">
      <c r="A90" s="3203"/>
      <c r="C90" s="3204"/>
      <c r="E90" s="3203"/>
    </row>
    <row r="91" spans="1:5" s="1998" customFormat="1">
      <c r="A91" s="3203"/>
      <c r="C91" s="3204"/>
      <c r="E91" s="3203"/>
    </row>
    <row r="92" spans="1:5" s="1998" customFormat="1">
      <c r="A92" s="3203"/>
      <c r="C92" s="3204"/>
      <c r="E92" s="3203"/>
    </row>
    <row r="93" spans="1:5" s="1998" customFormat="1">
      <c r="A93" s="3203"/>
      <c r="C93" s="3204"/>
      <c r="E93" s="3203"/>
    </row>
    <row r="94" spans="1:5" s="1998" customFormat="1">
      <c r="A94" s="3203"/>
      <c r="C94" s="3204"/>
      <c r="E94" s="3203"/>
    </row>
    <row r="95" spans="1:5" s="1998" customFormat="1">
      <c r="A95" s="3203"/>
      <c r="C95" s="3204"/>
      <c r="E95" s="3203"/>
    </row>
    <row r="96" spans="1:5" s="1998" customFormat="1">
      <c r="A96" s="3203"/>
      <c r="C96" s="3204"/>
      <c r="E96" s="3203"/>
    </row>
    <row r="97" spans="1:5" s="1998" customFormat="1">
      <c r="A97" s="3203"/>
      <c r="C97" s="3204"/>
      <c r="E97" s="3203"/>
    </row>
    <row r="98" spans="1:5" s="1998" customFormat="1">
      <c r="A98" s="3203"/>
      <c r="C98" s="3204"/>
      <c r="E98" s="3203"/>
    </row>
    <row r="99" spans="1:5" s="1998" customFormat="1">
      <c r="A99" s="3203"/>
      <c r="C99" s="3204"/>
      <c r="E99" s="3203"/>
    </row>
    <row r="100" spans="1:5" s="1998" customFormat="1">
      <c r="A100" s="3203"/>
      <c r="C100" s="3204"/>
      <c r="E100" s="3203"/>
    </row>
    <row r="101" spans="1:5" s="1998" customFormat="1">
      <c r="A101" s="3203"/>
      <c r="C101" s="3204"/>
      <c r="E101" s="3203"/>
    </row>
    <row r="102" spans="1:5" s="1998" customFormat="1">
      <c r="A102" s="3203"/>
      <c r="C102" s="3204"/>
      <c r="E102" s="3203"/>
    </row>
    <row r="103" spans="1:5" s="1998" customFormat="1">
      <c r="A103" s="3203"/>
      <c r="C103" s="3204"/>
      <c r="E103" s="3203"/>
    </row>
    <row r="104" spans="1:5" s="1998" customFormat="1">
      <c r="A104" s="3203"/>
      <c r="C104" s="3204"/>
      <c r="E104" s="3203"/>
    </row>
    <row r="105" spans="1:5" s="1998" customFormat="1">
      <c r="A105" s="3203"/>
      <c r="C105" s="3204"/>
      <c r="E105" s="3203"/>
    </row>
    <row r="106" spans="1:5" s="1998" customFormat="1">
      <c r="A106" s="3203"/>
      <c r="C106" s="3204"/>
      <c r="E106" s="3203"/>
    </row>
    <row r="107" spans="1:5" s="1998" customFormat="1">
      <c r="A107" s="3203"/>
      <c r="C107" s="3204"/>
      <c r="E107" s="3203"/>
    </row>
    <row r="108" spans="1:5" s="1998" customFormat="1">
      <c r="A108" s="3203"/>
      <c r="C108" s="3204"/>
      <c r="E108" s="3203"/>
    </row>
    <row r="109" spans="1:5" s="1998" customFormat="1">
      <c r="A109" s="3203"/>
      <c r="C109" s="3204"/>
      <c r="E109" s="3203"/>
    </row>
    <row r="110" spans="1:5" s="1998" customFormat="1">
      <c r="A110" s="3203"/>
      <c r="C110" s="3204"/>
      <c r="E110" s="3203"/>
    </row>
    <row r="111" spans="1:5" s="1998" customFormat="1">
      <c r="A111" s="3203"/>
      <c r="C111" s="3204"/>
      <c r="E111" s="3203"/>
    </row>
    <row r="112" spans="1:5" s="1998" customFormat="1">
      <c r="A112" s="3203"/>
      <c r="C112" s="3204"/>
      <c r="E112" s="3203"/>
    </row>
    <row r="113" spans="1:5" s="1998" customFormat="1">
      <c r="A113" s="3203"/>
      <c r="C113" s="3204"/>
      <c r="E113" s="3203"/>
    </row>
    <row r="114" spans="1:5" s="1998" customFormat="1">
      <c r="A114" s="3203"/>
      <c r="C114" s="3204"/>
      <c r="E114" s="3203"/>
    </row>
    <row r="115" spans="1:5" s="1998" customFormat="1">
      <c r="A115" s="3203"/>
      <c r="C115" s="3204"/>
      <c r="E115" s="3203"/>
    </row>
    <row r="116" spans="1:5" s="1998" customFormat="1">
      <c r="A116" s="3203"/>
      <c r="C116" s="3204"/>
      <c r="E116" s="3203"/>
    </row>
    <row r="117" spans="1:5" s="1998" customFormat="1">
      <c r="A117" s="3203"/>
      <c r="C117" s="3204"/>
      <c r="E117" s="3203"/>
    </row>
    <row r="118" spans="1:5" s="1998" customFormat="1">
      <c r="A118" s="3203"/>
      <c r="C118" s="3204"/>
      <c r="E118" s="3203"/>
    </row>
    <row r="119" spans="1:5" s="1998" customFormat="1">
      <c r="A119" s="3203"/>
      <c r="C119" s="3204"/>
      <c r="E119" s="3203"/>
    </row>
    <row r="120" spans="1:5" s="1998" customFormat="1">
      <c r="A120" s="3203"/>
      <c r="C120" s="3204"/>
      <c r="E120" s="3203"/>
    </row>
    <row r="121" spans="1:5" s="1998" customFormat="1">
      <c r="A121" s="3203"/>
      <c r="C121" s="3204"/>
      <c r="E121" s="3203"/>
    </row>
    <row r="122" spans="1:5" s="1998" customFormat="1">
      <c r="A122" s="3203"/>
      <c r="C122" s="3204"/>
      <c r="E122" s="3203"/>
    </row>
    <row r="123" spans="1:5" s="1998" customFormat="1">
      <c r="A123" s="3203"/>
      <c r="C123" s="3204"/>
      <c r="E123" s="3203"/>
    </row>
    <row r="124" spans="1:5" s="1998" customFormat="1">
      <c r="A124" s="3203"/>
      <c r="C124" s="3204"/>
      <c r="E124" s="3203"/>
    </row>
    <row r="125" spans="1:5" s="1998" customFormat="1">
      <c r="A125" s="3203"/>
      <c r="C125" s="3204"/>
      <c r="E125" s="3203"/>
    </row>
    <row r="126" spans="1:5" s="1998" customFormat="1">
      <c r="A126" s="3203"/>
      <c r="C126" s="3204"/>
      <c r="E126" s="3203"/>
    </row>
    <row r="127" spans="1:5" s="1998" customFormat="1">
      <c r="A127" s="3203"/>
      <c r="C127" s="3204"/>
      <c r="E127" s="3203"/>
    </row>
    <row r="128" spans="1:5" s="1998" customFormat="1">
      <c r="A128" s="3203"/>
      <c r="C128" s="3204"/>
      <c r="E128" s="3203"/>
    </row>
    <row r="129" spans="1:5" s="1998" customFormat="1">
      <c r="A129" s="3203"/>
      <c r="C129" s="3204"/>
      <c r="E129" s="3203"/>
    </row>
    <row r="130" spans="1:5" s="1998" customFormat="1">
      <c r="A130" s="3203"/>
      <c r="C130" s="3204"/>
      <c r="E130" s="3203"/>
    </row>
    <row r="131" spans="1:5" s="1998" customFormat="1">
      <c r="A131" s="3203"/>
      <c r="C131" s="3204"/>
      <c r="E131" s="3203"/>
    </row>
    <row r="132" spans="1:5" s="1998" customFormat="1">
      <c r="A132" s="3203"/>
      <c r="C132" s="3204"/>
      <c r="E132" s="3203"/>
    </row>
    <row r="133" spans="1:5" s="1998" customFormat="1">
      <c r="A133" s="3203"/>
      <c r="C133" s="3204"/>
      <c r="E133" s="3203"/>
    </row>
    <row r="134" spans="1:5" s="1998" customFormat="1">
      <c r="A134" s="3203"/>
      <c r="C134" s="3204"/>
      <c r="E134" s="3203"/>
    </row>
    <row r="135" spans="1:5" s="1998" customFormat="1">
      <c r="A135" s="3203"/>
      <c r="C135" s="3204"/>
      <c r="E135" s="3203"/>
    </row>
    <row r="136" spans="1:5" s="1998" customFormat="1">
      <c r="A136" s="3203"/>
      <c r="C136" s="3204"/>
      <c r="E136" s="3203"/>
    </row>
    <row r="137" spans="1:5" s="1998" customFormat="1">
      <c r="A137" s="3203"/>
      <c r="C137" s="3204"/>
      <c r="E137" s="3203"/>
    </row>
    <row r="138" spans="1:5" s="1998" customFormat="1">
      <c r="A138" s="3203"/>
      <c r="C138" s="3204"/>
      <c r="E138" s="3203"/>
    </row>
    <row r="139" spans="1:5" s="1998" customFormat="1">
      <c r="A139" s="3203"/>
      <c r="C139" s="3204"/>
      <c r="E139" s="3203"/>
    </row>
    <row r="140" spans="1:5" s="1998" customFormat="1">
      <c r="A140" s="3203"/>
      <c r="C140" s="3204"/>
      <c r="E140" s="3203"/>
    </row>
    <row r="141" spans="1:5" s="1998" customFormat="1">
      <c r="A141" s="3203"/>
      <c r="C141" s="3204"/>
      <c r="E141" s="3203"/>
    </row>
    <row r="142" spans="1:5" s="1998" customFormat="1">
      <c r="A142" s="3203"/>
      <c r="C142" s="3204"/>
      <c r="E142" s="3203"/>
    </row>
    <row r="143" spans="1:5" s="1998" customFormat="1">
      <c r="A143" s="3203"/>
      <c r="C143" s="3204"/>
      <c r="E143" s="3203"/>
    </row>
    <row r="144" spans="1:5" s="1998" customFormat="1">
      <c r="A144" s="3203"/>
      <c r="C144" s="3204"/>
      <c r="E144" s="3203"/>
    </row>
    <row r="145" spans="1:5" s="1998" customFormat="1">
      <c r="A145" s="3203"/>
      <c r="C145" s="3204"/>
      <c r="E145" s="3203"/>
    </row>
    <row r="146" spans="1:5" s="1998" customFormat="1">
      <c r="A146" s="3203"/>
      <c r="C146" s="3204"/>
      <c r="E146" s="3203"/>
    </row>
    <row r="147" spans="1:5" s="1998" customFormat="1">
      <c r="A147" s="3203"/>
      <c r="C147" s="3204"/>
      <c r="E147" s="3203"/>
    </row>
    <row r="148" spans="1:5" s="1998" customFormat="1">
      <c r="A148" s="3203"/>
      <c r="C148" s="3204"/>
      <c r="E148" s="3203"/>
    </row>
    <row r="149" spans="1:5" s="1998" customFormat="1">
      <c r="A149" s="3203"/>
      <c r="C149" s="3204"/>
      <c r="E149" s="3203"/>
    </row>
    <row r="150" spans="1:5" s="1998" customFormat="1">
      <c r="A150" s="3203"/>
      <c r="C150" s="3204"/>
      <c r="E150" s="3203"/>
    </row>
    <row r="151" spans="1:5" s="1998" customFormat="1">
      <c r="A151" s="3203"/>
      <c r="C151" s="3204"/>
      <c r="E151" s="3203"/>
    </row>
    <row r="152" spans="1:5" s="1998" customFormat="1">
      <c r="A152" s="3203"/>
      <c r="C152" s="3204"/>
      <c r="E152" s="3203"/>
    </row>
    <row r="153" spans="1:5" s="1998" customFormat="1">
      <c r="A153" s="3203"/>
      <c r="C153" s="3204"/>
      <c r="E153" s="3203"/>
    </row>
    <row r="154" spans="1:5" s="1998" customFormat="1">
      <c r="A154" s="3203"/>
      <c r="C154" s="3204"/>
      <c r="E154" s="3203"/>
    </row>
    <row r="155" spans="1:5" s="1998" customFormat="1">
      <c r="A155" s="3203"/>
      <c r="C155" s="3204"/>
      <c r="E155" s="3203"/>
    </row>
    <row r="156" spans="1:5" s="1998" customFormat="1">
      <c r="A156" s="3203"/>
      <c r="C156" s="3204"/>
      <c r="E156" s="3203"/>
    </row>
    <row r="157" spans="1:5" s="1998" customFormat="1">
      <c r="A157" s="3203"/>
      <c r="C157" s="3204"/>
      <c r="E157" s="3203"/>
    </row>
    <row r="158" spans="1:5" s="1998" customFormat="1">
      <c r="A158" s="3203"/>
      <c r="C158" s="3204"/>
      <c r="E158" s="3203"/>
    </row>
    <row r="159" spans="1:5" s="1998" customFormat="1">
      <c r="A159" s="3203"/>
      <c r="C159" s="3204"/>
      <c r="E159" s="3203"/>
    </row>
    <row r="160" spans="1:5" s="1998" customFormat="1">
      <c r="A160" s="3203"/>
      <c r="C160" s="3204"/>
      <c r="E160" s="3203"/>
    </row>
    <row r="161" spans="1:5" s="1998" customFormat="1">
      <c r="A161" s="3203"/>
      <c r="C161" s="3204"/>
      <c r="E161" s="3203"/>
    </row>
    <row r="162" spans="1:5" s="1998" customFormat="1">
      <c r="A162" s="3203"/>
      <c r="C162" s="3204"/>
      <c r="E162" s="3203"/>
    </row>
    <row r="163" spans="1:5" s="1998" customFormat="1">
      <c r="A163" s="3203"/>
      <c r="C163" s="3204"/>
      <c r="E163" s="3203"/>
    </row>
    <row r="164" spans="1:5" s="1998" customFormat="1">
      <c r="A164" s="3203"/>
      <c r="C164" s="3204"/>
      <c r="E164" s="3203"/>
    </row>
    <row r="165" spans="1:5" s="1998" customFormat="1">
      <c r="A165" s="3203"/>
      <c r="C165" s="3204"/>
      <c r="E165" s="3203"/>
    </row>
    <row r="166" spans="1:5" s="1998" customFormat="1">
      <c r="A166" s="3203"/>
      <c r="C166" s="3204"/>
      <c r="E166" s="3203"/>
    </row>
    <row r="167" spans="1:5" s="1998" customFormat="1">
      <c r="A167" s="3203"/>
      <c r="C167" s="3204"/>
      <c r="E167" s="3203"/>
    </row>
    <row r="168" spans="1:5" s="1998" customFormat="1">
      <c r="A168" s="3203"/>
      <c r="C168" s="3204"/>
      <c r="E168" s="3203"/>
    </row>
    <row r="169" spans="1:5" s="1998" customFormat="1">
      <c r="A169" s="3203"/>
      <c r="C169" s="3204"/>
      <c r="E169" s="3203"/>
    </row>
    <row r="170" spans="1:5" s="1998" customFormat="1">
      <c r="A170" s="3203"/>
      <c r="C170" s="3204"/>
      <c r="E170" s="3203"/>
    </row>
    <row r="171" spans="1:5" s="1998" customFormat="1">
      <c r="A171" s="3203"/>
      <c r="C171" s="3204"/>
      <c r="E171" s="3203"/>
    </row>
    <row r="172" spans="1:5" s="1998" customFormat="1">
      <c r="A172" s="3203"/>
      <c r="C172" s="3204"/>
      <c r="E172" s="3203"/>
    </row>
    <row r="173" spans="1:5" s="1998" customFormat="1">
      <c r="A173" s="3203"/>
      <c r="C173" s="3204"/>
      <c r="E173" s="3203"/>
    </row>
    <row r="174" spans="1:5" s="1998" customFormat="1">
      <c r="A174" s="3203"/>
      <c r="C174" s="3204"/>
      <c r="E174" s="3203"/>
    </row>
    <row r="175" spans="1:5" s="1998" customFormat="1">
      <c r="A175" s="3203"/>
      <c r="C175" s="3204"/>
      <c r="E175" s="3203"/>
    </row>
    <row r="176" spans="1:5" s="1998" customFormat="1">
      <c r="A176" s="3203"/>
      <c r="C176" s="3204"/>
      <c r="E176" s="3203"/>
    </row>
    <row r="177" spans="1:5" s="1998" customFormat="1">
      <c r="A177" s="3203"/>
      <c r="C177" s="3204"/>
      <c r="E177" s="3203"/>
    </row>
    <row r="178" spans="1:5" s="1998" customFormat="1">
      <c r="A178" s="3203"/>
      <c r="C178" s="3204"/>
      <c r="E178" s="3203"/>
    </row>
    <row r="179" spans="1:5" s="1998" customFormat="1">
      <c r="A179" s="3203"/>
      <c r="C179" s="3204"/>
      <c r="E179" s="3203"/>
    </row>
    <row r="180" spans="1:5" s="1998" customFormat="1">
      <c r="A180" s="3203"/>
      <c r="C180" s="3204"/>
      <c r="E180" s="3203"/>
    </row>
    <row r="181" spans="1:5" s="1998" customFormat="1">
      <c r="A181" s="3203"/>
      <c r="C181" s="3204"/>
      <c r="E181" s="3203"/>
    </row>
    <row r="182" spans="1:5" s="1998" customFormat="1">
      <c r="A182" s="3203"/>
      <c r="C182" s="3204"/>
      <c r="E182" s="3203"/>
    </row>
    <row r="183" spans="1:5" s="1998" customFormat="1">
      <c r="A183" s="3203"/>
      <c r="C183" s="3204"/>
      <c r="E183" s="3203"/>
    </row>
    <row r="184" spans="1:5" s="1998" customFormat="1">
      <c r="A184" s="3203"/>
      <c r="C184" s="3204"/>
      <c r="E184" s="3203"/>
    </row>
    <row r="185" spans="1:5" s="1998" customFormat="1">
      <c r="A185" s="3203"/>
      <c r="C185" s="3204"/>
      <c r="E185" s="3203"/>
    </row>
    <row r="186" spans="1:5" s="1998" customFormat="1">
      <c r="A186" s="3203"/>
      <c r="C186" s="3204"/>
      <c r="E186" s="3203"/>
    </row>
    <row r="187" spans="1:5" s="1998" customFormat="1">
      <c r="A187" s="3203"/>
      <c r="C187" s="3204"/>
      <c r="E187" s="3203"/>
    </row>
    <row r="188" spans="1:5" s="1998" customFormat="1">
      <c r="A188" s="3203"/>
      <c r="C188" s="3204"/>
      <c r="E188" s="3203"/>
    </row>
    <row r="189" spans="1:5" s="1998" customFormat="1">
      <c r="A189" s="3203"/>
      <c r="C189" s="3204"/>
      <c r="E189" s="3203"/>
    </row>
    <row r="190" spans="1:5" s="1998" customFormat="1">
      <c r="A190" s="3203"/>
      <c r="C190" s="3204"/>
      <c r="E190" s="3203"/>
    </row>
    <row r="191" spans="1:5" s="1998" customFormat="1">
      <c r="A191" s="3203"/>
      <c r="C191" s="3204"/>
      <c r="E191" s="3203"/>
    </row>
    <row r="192" spans="1:5" s="1998" customFormat="1">
      <c r="A192" s="3203"/>
      <c r="C192" s="3204"/>
      <c r="E192" s="3203"/>
    </row>
    <row r="193" spans="1:5" s="1998" customFormat="1">
      <c r="A193" s="3203"/>
      <c r="C193" s="3204"/>
      <c r="E193" s="3203"/>
    </row>
    <row r="194" spans="1:5" s="1998" customFormat="1">
      <c r="A194" s="3203"/>
      <c r="C194" s="3204"/>
      <c r="E194" s="3203"/>
    </row>
    <row r="195" spans="1:5" s="1998" customFormat="1">
      <c r="A195" s="3203"/>
      <c r="C195" s="3204"/>
      <c r="E195" s="3203"/>
    </row>
    <row r="196" spans="1:5" s="1998" customFormat="1">
      <c r="A196" s="3203"/>
      <c r="C196" s="3204"/>
      <c r="E196" s="3203"/>
    </row>
    <row r="197" spans="1:5" s="1998" customFormat="1">
      <c r="A197" s="3203"/>
      <c r="C197" s="3204"/>
      <c r="E197" s="3203"/>
    </row>
    <row r="198" spans="1:5" s="1998" customFormat="1">
      <c r="A198" s="3203"/>
      <c r="C198" s="3204"/>
      <c r="E198" s="3203"/>
    </row>
    <row r="199" spans="1:5" s="1998" customFormat="1">
      <c r="A199" s="3203"/>
      <c r="C199" s="3204"/>
      <c r="E199" s="3203"/>
    </row>
    <row r="200" spans="1:5" s="1998" customFormat="1">
      <c r="A200" s="3203"/>
      <c r="C200" s="3204"/>
      <c r="E200" s="3203"/>
    </row>
    <row r="201" spans="1:5" s="1998" customFormat="1">
      <c r="A201" s="3203"/>
      <c r="C201" s="3204"/>
      <c r="E201" s="3203"/>
    </row>
    <row r="202" spans="1:5" s="1998" customFormat="1">
      <c r="A202" s="3203"/>
      <c r="C202" s="3204"/>
      <c r="E202" s="3203"/>
    </row>
    <row r="203" spans="1:5" s="1998" customFormat="1">
      <c r="A203" s="3203"/>
      <c r="C203" s="3204"/>
      <c r="E203" s="3203"/>
    </row>
    <row r="204" spans="1:5" s="1998" customFormat="1">
      <c r="A204" s="3203"/>
      <c r="C204" s="3204"/>
      <c r="E204" s="3203"/>
    </row>
    <row r="205" spans="1:5" s="1998" customFormat="1">
      <c r="A205" s="3203"/>
      <c r="C205" s="3204"/>
      <c r="E205" s="3203"/>
    </row>
    <row r="206" spans="1:5" s="1998" customFormat="1">
      <c r="A206" s="3203"/>
      <c r="C206" s="3204"/>
      <c r="E206" s="3203"/>
    </row>
    <row r="207" spans="1:5" s="1998" customFormat="1">
      <c r="A207" s="3203"/>
      <c r="C207" s="3204"/>
      <c r="E207" s="3203"/>
    </row>
    <row r="208" spans="1:5" s="1998" customFormat="1">
      <c r="A208" s="3203"/>
      <c r="C208" s="3204"/>
      <c r="E208" s="3203"/>
    </row>
    <row r="209" spans="1:5" s="1998" customFormat="1">
      <c r="A209" s="3203"/>
      <c r="C209" s="3204"/>
      <c r="E209" s="3203"/>
    </row>
    <row r="210" spans="1:5" s="1998" customFormat="1">
      <c r="A210" s="3203"/>
      <c r="C210" s="3204"/>
      <c r="E210" s="3203"/>
    </row>
    <row r="211" spans="1:5" s="1998" customFormat="1">
      <c r="A211" s="3203"/>
      <c r="C211" s="3204"/>
      <c r="E211" s="3203"/>
    </row>
    <row r="212" spans="1:5" s="1998" customFormat="1">
      <c r="A212" s="3203"/>
      <c r="C212" s="3204"/>
      <c r="E212" s="3203"/>
    </row>
    <row r="213" spans="1:5" s="1998" customFormat="1">
      <c r="A213" s="3203"/>
      <c r="C213" s="3204"/>
      <c r="E213" s="3203"/>
    </row>
    <row r="214" spans="1:5" s="1998" customFormat="1">
      <c r="A214" s="3203"/>
      <c r="C214" s="3204"/>
      <c r="E214" s="3203"/>
    </row>
    <row r="215" spans="1:5" s="1998" customFormat="1">
      <c r="A215" s="3203"/>
      <c r="C215" s="3204"/>
      <c r="E215" s="3203"/>
    </row>
    <row r="216" spans="1:5" s="1998" customFormat="1">
      <c r="A216" s="3203"/>
      <c r="C216" s="3204"/>
      <c r="E216" s="3203"/>
    </row>
    <row r="217" spans="1:5" s="1998" customFormat="1">
      <c r="A217" s="3203"/>
      <c r="C217" s="3204"/>
      <c r="E217" s="3203"/>
    </row>
    <row r="218" spans="1:5" s="1998" customFormat="1">
      <c r="A218" s="3203"/>
      <c r="C218" s="3204"/>
      <c r="E218" s="3203"/>
    </row>
    <row r="219" spans="1:5" s="1998" customFormat="1">
      <c r="A219" s="3203"/>
      <c r="C219" s="3204"/>
      <c r="E219" s="3203"/>
    </row>
    <row r="220" spans="1:5" s="1998" customFormat="1">
      <c r="A220" s="3203"/>
      <c r="C220" s="3204"/>
      <c r="E220" s="3203"/>
    </row>
    <row r="221" spans="1:5" s="1998" customFormat="1">
      <c r="A221" s="3203"/>
      <c r="C221" s="3204"/>
      <c r="E221" s="3203"/>
    </row>
    <row r="222" spans="1:5" s="1998" customFormat="1">
      <c r="A222" s="3203"/>
      <c r="C222" s="3204"/>
      <c r="E222" s="3203"/>
    </row>
    <row r="223" spans="1:5" s="1998" customFormat="1">
      <c r="A223" s="3203"/>
      <c r="C223" s="3204"/>
      <c r="E223" s="3203"/>
    </row>
    <row r="224" spans="1:5" s="1998" customFormat="1">
      <c r="A224" s="3203"/>
      <c r="C224" s="3204"/>
      <c r="E224" s="3203"/>
    </row>
    <row r="225" spans="1:5" s="1998"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461</v>
      </c>
      <c r="B2" s="502" t="e">
        <f>F63</f>
        <v>#DIV/0!</v>
      </c>
      <c r="C2" s="3220"/>
      <c r="D2" s="3220"/>
      <c r="E2" s="3220"/>
      <c r="F2" s="3221"/>
      <c r="G2" s="3220"/>
      <c r="H2" s="3220"/>
      <c r="I2" s="3220"/>
      <c r="J2" s="3220"/>
      <c r="K2" s="3222"/>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c r="A3" s="1332" t="s">
        <v>1676</v>
      </c>
      <c r="B3" s="504" t="e">
        <f>ROUND(B2*10000/'数据-汇总表'!E3,0)</f>
        <v>#DIV/0!</v>
      </c>
      <c r="C3" s="3219"/>
      <c r="D3" s="3219"/>
      <c r="E3" s="3219"/>
      <c r="F3" s="3219"/>
      <c r="G3" s="3220"/>
      <c r="H3" s="3220"/>
      <c r="I3" s="3220"/>
      <c r="J3" s="3220"/>
      <c r="K3" s="3222"/>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19"/>
      <c r="D4" s="3219"/>
      <c r="E4" s="3219"/>
      <c r="F4" s="3219"/>
      <c r="G4" s="3220"/>
      <c r="H4" s="3220"/>
      <c r="I4" s="3220"/>
      <c r="J4" s="3220"/>
      <c r="K4" s="3222"/>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19"/>
      <c r="E5" s="3219"/>
      <c r="F5" s="3219"/>
      <c r="G5" s="3220"/>
      <c r="H5" s="3220"/>
      <c r="I5" s="3220"/>
      <c r="J5" s="3220"/>
      <c r="K5" s="3222"/>
      <c r="L5" s="2014"/>
      <c r="M5" s="2015"/>
      <c r="N5" s="2015"/>
      <c r="O5" s="2015"/>
      <c r="P5" s="2015"/>
      <c r="Q5" s="2015"/>
      <c r="R5" s="2015"/>
      <c r="S5" s="2015"/>
      <c r="T5" s="2015"/>
      <c r="U5" s="2015"/>
      <c r="V5" s="2015"/>
      <c r="W5" s="2015"/>
      <c r="X5" s="2015"/>
      <c r="Y5" s="2015"/>
      <c r="Z5" s="2015"/>
      <c r="AA5" s="2015"/>
      <c r="AB5" s="3211"/>
      <c r="AC5" s="1945"/>
    </row>
    <row r="6" spans="1:29" ht="15">
      <c r="A6" s="506" t="s">
        <v>515</v>
      </c>
      <c r="B6" s="507"/>
      <c r="C6" s="3504" t="s">
        <v>516</v>
      </c>
      <c r="D6" s="3505"/>
      <c r="E6" s="3538" t="s">
        <v>517</v>
      </c>
      <c r="F6" s="3539"/>
      <c r="G6" s="3504" t="s">
        <v>518</v>
      </c>
      <c r="H6" s="3505"/>
      <c r="I6" s="3504" t="s">
        <v>519</v>
      </c>
      <c r="J6" s="3505"/>
      <c r="K6" s="508" t="s">
        <v>520</v>
      </c>
      <c r="L6" s="2016"/>
      <c r="M6" s="2017"/>
      <c r="N6" s="2017"/>
      <c r="O6" s="2017"/>
      <c r="P6" s="3506" t="s">
        <v>521</v>
      </c>
      <c r="Q6" s="3507"/>
      <c r="R6" s="3512" t="s">
        <v>517</v>
      </c>
      <c r="S6" s="3513"/>
      <c r="T6" s="3512" t="s">
        <v>518</v>
      </c>
      <c r="U6" s="3513"/>
      <c r="V6" s="3499" t="s">
        <v>519</v>
      </c>
      <c r="W6" s="3499"/>
      <c r="X6" s="1502"/>
      <c r="Y6" s="3512" t="s">
        <v>521</v>
      </c>
      <c r="Z6" s="3513"/>
      <c r="AA6" s="3501" t="s">
        <v>517</v>
      </c>
      <c r="AB6" s="3502" t="s">
        <v>518</v>
      </c>
      <c r="AC6" s="3501" t="s">
        <v>519</v>
      </c>
    </row>
    <row r="7" spans="1:29" ht="15">
      <c r="A7" s="509"/>
      <c r="B7" s="510"/>
      <c r="C7" s="3520" t="s">
        <v>2897</v>
      </c>
      <c r="D7" s="3521"/>
      <c r="E7" s="3540" t="s">
        <v>2898</v>
      </c>
      <c r="F7" s="3541"/>
      <c r="G7" s="3520" t="s">
        <v>2899</v>
      </c>
      <c r="H7" s="3521"/>
      <c r="I7" s="3520" t="s">
        <v>2900</v>
      </c>
      <c r="J7" s="3521"/>
      <c r="K7" s="508"/>
      <c r="L7" s="2016"/>
      <c r="M7" s="2017"/>
      <c r="N7" s="2017"/>
      <c r="O7" s="2017"/>
      <c r="P7" s="3508"/>
      <c r="Q7" s="3509"/>
      <c r="R7" s="3514"/>
      <c r="S7" s="3515"/>
      <c r="T7" s="3514"/>
      <c r="U7" s="3515"/>
      <c r="V7" s="3499"/>
      <c r="W7" s="3499"/>
      <c r="X7" s="1502"/>
      <c r="Y7" s="3514"/>
      <c r="Z7" s="3515"/>
      <c r="AA7" s="3502"/>
      <c r="AB7" s="3502"/>
      <c r="AC7" s="3502"/>
    </row>
    <row r="8" spans="1:29" ht="15.75" thickBot="1">
      <c r="A8" s="511"/>
      <c r="B8" s="512"/>
      <c r="C8" s="3518" t="s">
        <v>2901</v>
      </c>
      <c r="D8" s="3519"/>
      <c r="E8" s="3536" t="s">
        <v>2901</v>
      </c>
      <c r="F8" s="3537"/>
      <c r="G8" s="3518" t="s">
        <v>2901</v>
      </c>
      <c r="H8" s="3519"/>
      <c r="I8" s="3518" t="s">
        <v>2901</v>
      </c>
      <c r="J8" s="3519"/>
      <c r="K8" s="508" t="s">
        <v>522</v>
      </c>
      <c r="L8" s="2016"/>
      <c r="M8" s="2017"/>
      <c r="N8" s="2017"/>
      <c r="O8" s="2017"/>
      <c r="P8" s="3510"/>
      <c r="Q8" s="3511"/>
      <c r="R8" s="3514"/>
      <c r="S8" s="3515"/>
      <c r="T8" s="3516"/>
      <c r="U8" s="3517"/>
      <c r="V8" s="3499"/>
      <c r="W8" s="3499"/>
      <c r="X8" s="1502"/>
      <c r="Y8" s="3516"/>
      <c r="Z8" s="3517"/>
      <c r="AA8" s="3503"/>
      <c r="AB8" s="3503"/>
      <c r="AC8" s="3503"/>
    </row>
    <row r="9" spans="1:29" s="1203" customFormat="1" ht="15.75" thickBot="1">
      <c r="A9" s="2629"/>
      <c r="B9" s="2636" t="s">
        <v>523</v>
      </c>
      <c r="C9" s="513">
        <f>'数据-取费表'!B2</f>
        <v>44499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29" t="s">
        <v>524</v>
      </c>
      <c r="Q9" s="3531"/>
      <c r="R9" s="1503" t="s">
        <v>8</v>
      </c>
      <c r="S9" s="1504">
        <f t="shared" ref="S9:S17" si="0">F9</f>
        <v>0</v>
      </c>
      <c r="T9" s="1503" t="s">
        <v>8</v>
      </c>
      <c r="U9" s="1504">
        <f t="shared" ref="U9:U17" si="1">H9</f>
        <v>0</v>
      </c>
      <c r="V9" s="1503" t="s">
        <v>8</v>
      </c>
      <c r="W9" s="1504">
        <f t="shared" ref="W9:W17" si="2">J9</f>
        <v>0</v>
      </c>
      <c r="X9" s="1505"/>
      <c r="Y9" s="3529" t="s">
        <v>524</v>
      </c>
      <c r="Z9" s="3530"/>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29" t="s">
        <v>527</v>
      </c>
      <c r="Q10" s="3530"/>
      <c r="R10" s="1503" t="s">
        <v>8</v>
      </c>
      <c r="S10" s="1504">
        <f t="shared" si="0"/>
        <v>0</v>
      </c>
      <c r="T10" s="1503" t="s">
        <v>8</v>
      </c>
      <c r="U10" s="1504">
        <f t="shared" si="1"/>
        <v>0</v>
      </c>
      <c r="V10" s="1503" t="s">
        <v>8</v>
      </c>
      <c r="W10" s="1504">
        <f t="shared" si="2"/>
        <v>0</v>
      </c>
      <c r="X10" s="1505"/>
      <c r="Y10" s="3529" t="s">
        <v>527</v>
      </c>
      <c r="Z10" s="3530"/>
      <c r="AA10" s="1506" t="e">
        <f t="shared" ref="AA10:AA42" si="3">D10/F10</f>
        <v>#DIV/0!</v>
      </c>
      <c r="AB10" s="1506" t="e">
        <f t="shared" ref="AB10:AB42" si="4">D10/H10</f>
        <v>#DIV/0!</v>
      </c>
      <c r="AC10" s="1506"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8" t="s">
        <v>529</v>
      </c>
      <c r="Q11" s="1134" t="str">
        <f t="shared" ref="Q11:Q17" si="6">B11</f>
        <v>用途</v>
      </c>
      <c r="R11" s="1503" t="s">
        <v>8</v>
      </c>
      <c r="S11" s="1504">
        <f t="shared" si="0"/>
        <v>100</v>
      </c>
      <c r="T11" s="1503" t="s">
        <v>8</v>
      </c>
      <c r="U11" s="1504">
        <f t="shared" si="1"/>
        <v>100</v>
      </c>
      <c r="V11" s="1503" t="s">
        <v>8</v>
      </c>
      <c r="W11" s="1504">
        <f t="shared" si="2"/>
        <v>100</v>
      </c>
      <c r="X11" s="1505"/>
      <c r="Y11" s="3444" t="s">
        <v>530</v>
      </c>
      <c r="Z11" s="1133" t="str">
        <f t="shared" ref="Z11:Z17" si="7">Q11</f>
        <v>用途</v>
      </c>
      <c r="AA11" s="1506">
        <f t="shared" si="3"/>
        <v>1</v>
      </c>
      <c r="AB11" s="1506">
        <f t="shared" si="4"/>
        <v>1</v>
      </c>
      <c r="AC11" s="1506">
        <f t="shared" si="5"/>
        <v>1</v>
      </c>
    </row>
    <row r="12" spans="1:29" s="1292" customFormat="1" ht="27">
      <c r="A12" s="2632"/>
      <c r="B12" s="2637" t="s">
        <v>2737</v>
      </c>
      <c r="C12" s="522"/>
      <c r="D12" s="253">
        <v>100</v>
      </c>
      <c r="E12" s="522"/>
      <c r="F12" s="253">
        <f>ROUND(100/'数据-取费表'!G16,0)</f>
        <v>124</v>
      </c>
      <c r="G12" s="522"/>
      <c r="H12" s="253">
        <f>ROUND(100/'数据-取费表'!G16,0)</f>
        <v>124</v>
      </c>
      <c r="I12" s="522"/>
      <c r="J12" s="253">
        <f>ROUND(100/'数据-取费表'!G16,0)</f>
        <v>124</v>
      </c>
      <c r="K12" s="525"/>
      <c r="L12" s="2021"/>
      <c r="M12" s="2060"/>
      <c r="N12" s="2060"/>
      <c r="O12" s="2022"/>
      <c r="P12" s="3498"/>
      <c r="Q12" s="1134" t="str">
        <f t="shared" si="6"/>
        <v>土地使用年限（年）</v>
      </c>
      <c r="R12" s="1503" t="s">
        <v>8</v>
      </c>
      <c r="S12" s="1504">
        <f t="shared" si="0"/>
        <v>124</v>
      </c>
      <c r="T12" s="1503" t="s">
        <v>8</v>
      </c>
      <c r="U12" s="1504">
        <f t="shared" si="1"/>
        <v>124</v>
      </c>
      <c r="V12" s="1503" t="s">
        <v>8</v>
      </c>
      <c r="W12" s="1504">
        <f t="shared" si="2"/>
        <v>124</v>
      </c>
      <c r="X12" s="1505"/>
      <c r="Y12" s="3444"/>
      <c r="Z12" s="1133" t="str">
        <f t="shared" si="7"/>
        <v>土地使用年限（年）</v>
      </c>
      <c r="AA12" s="1506">
        <f t="shared" si="3"/>
        <v>0.80645161290322576</v>
      </c>
      <c r="AB12" s="1506">
        <f t="shared" si="4"/>
        <v>0.80645161290322576</v>
      </c>
      <c r="AC12" s="1506">
        <f t="shared" si="5"/>
        <v>0.80645161290322576</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8"/>
      <c r="Q13" s="1134" t="str">
        <f t="shared" si="6"/>
        <v>容积率</v>
      </c>
      <c r="R13" s="1503" t="s">
        <v>8</v>
      </c>
      <c r="S13" s="1504" t="e">
        <f t="shared" si="0"/>
        <v>#N/A</v>
      </c>
      <c r="T13" s="1503" t="s">
        <v>8</v>
      </c>
      <c r="U13" s="1504" t="e">
        <f t="shared" si="1"/>
        <v>#N/A</v>
      </c>
      <c r="V13" s="1503" t="s">
        <v>8</v>
      </c>
      <c r="W13" s="1504" t="e">
        <f t="shared" si="2"/>
        <v>#N/A</v>
      </c>
      <c r="X13" s="1505"/>
      <c r="Y13" s="3444"/>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8"/>
      <c r="Q14" s="1134">
        <f t="shared" si="6"/>
        <v>111</v>
      </c>
      <c r="R14" s="1503" t="s">
        <v>8</v>
      </c>
      <c r="S14" s="1504">
        <f t="shared" si="0"/>
        <v>100</v>
      </c>
      <c r="T14" s="1503" t="s">
        <v>8</v>
      </c>
      <c r="U14" s="1504">
        <f t="shared" si="1"/>
        <v>100</v>
      </c>
      <c r="V14" s="1503" t="s">
        <v>8</v>
      </c>
      <c r="W14" s="1504">
        <f t="shared" si="2"/>
        <v>100</v>
      </c>
      <c r="X14" s="1505"/>
      <c r="Y14" s="3444"/>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8"/>
      <c r="Q15" s="1134">
        <f t="shared" si="6"/>
        <v>111</v>
      </c>
      <c r="R15" s="1503" t="s">
        <v>8</v>
      </c>
      <c r="S15" s="1504">
        <f t="shared" si="0"/>
        <v>100</v>
      </c>
      <c r="T15" s="1503" t="s">
        <v>8</v>
      </c>
      <c r="U15" s="1504">
        <f t="shared" si="1"/>
        <v>100</v>
      </c>
      <c r="V15" s="1503" t="s">
        <v>8</v>
      </c>
      <c r="W15" s="1504">
        <f t="shared" si="2"/>
        <v>100</v>
      </c>
      <c r="X15" s="1505"/>
      <c r="Y15" s="3444"/>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8"/>
      <c r="Q16" s="1134">
        <f t="shared" si="6"/>
        <v>111</v>
      </c>
      <c r="R16" s="1503" t="s">
        <v>8</v>
      </c>
      <c r="S16" s="1504">
        <f t="shared" si="0"/>
        <v>100</v>
      </c>
      <c r="T16" s="1503" t="s">
        <v>8</v>
      </c>
      <c r="U16" s="1504">
        <f t="shared" si="1"/>
        <v>100</v>
      </c>
      <c r="V16" s="1503" t="s">
        <v>8</v>
      </c>
      <c r="W16" s="1504">
        <f t="shared" si="2"/>
        <v>100</v>
      </c>
      <c r="X16" s="1505"/>
      <c r="Y16" s="3444"/>
      <c r="Z16" s="1133">
        <f t="shared" si="7"/>
        <v>111</v>
      </c>
      <c r="AA16" s="1506">
        <f t="shared" si="3"/>
        <v>1</v>
      </c>
      <c r="AB16" s="1506">
        <f t="shared" si="4"/>
        <v>1</v>
      </c>
      <c r="AC16" s="1506">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32" t="s">
        <v>534</v>
      </c>
      <c r="Q17" s="1507" t="str">
        <f t="shared" si="6"/>
        <v>产业集聚程度</v>
      </c>
      <c r="R17" s="1508" t="s">
        <v>8</v>
      </c>
      <c r="S17" s="1509">
        <f t="shared" si="0"/>
        <v>100</v>
      </c>
      <c r="T17" s="1508" t="s">
        <v>8</v>
      </c>
      <c r="U17" s="1509">
        <f t="shared" si="1"/>
        <v>100</v>
      </c>
      <c r="V17" s="1508" t="s">
        <v>8</v>
      </c>
      <c r="W17" s="1509">
        <f t="shared" si="2"/>
        <v>100</v>
      </c>
      <c r="X17" s="1502"/>
      <c r="Y17" s="3532"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33"/>
      <c r="Q18" s="1507"/>
      <c r="R18" s="1508"/>
      <c r="S18" s="1509"/>
      <c r="T18" s="1508"/>
      <c r="U18" s="1509"/>
      <c r="V18" s="1508"/>
      <c r="W18" s="1509"/>
      <c r="X18" s="1502"/>
      <c r="Y18" s="3533"/>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33"/>
      <c r="Q19" s="1507" t="str">
        <f>B19</f>
        <v>交通便捷度</v>
      </c>
      <c r="R19" s="1508" t="s">
        <v>8</v>
      </c>
      <c r="S19" s="1509">
        <f>F19</f>
        <v>100</v>
      </c>
      <c r="T19" s="1508" t="s">
        <v>8</v>
      </c>
      <c r="U19" s="1509">
        <f>H19</f>
        <v>100</v>
      </c>
      <c r="V19" s="1508" t="s">
        <v>8</v>
      </c>
      <c r="W19" s="1509">
        <f>J19</f>
        <v>100</v>
      </c>
      <c r="X19" s="1502"/>
      <c r="Y19" s="353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33"/>
      <c r="Q20" s="1507"/>
      <c r="R20" s="1508"/>
      <c r="S20" s="1509"/>
      <c r="T20" s="1508"/>
      <c r="U20" s="1509"/>
      <c r="V20" s="1508"/>
      <c r="W20" s="1509"/>
      <c r="X20" s="1502"/>
      <c r="Y20" s="353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33"/>
      <c r="Q21" s="1507" t="str">
        <f t="shared" ref="Q21:Q35" si="8">B21</f>
        <v>区域土地利用方向</v>
      </c>
      <c r="R21" s="1508" t="s">
        <v>8</v>
      </c>
      <c r="S21" s="1509">
        <f>F21</f>
        <v>100</v>
      </c>
      <c r="T21" s="1508" t="s">
        <v>8</v>
      </c>
      <c r="U21" s="1509">
        <f>H21</f>
        <v>100</v>
      </c>
      <c r="V21" s="1508" t="s">
        <v>8</v>
      </c>
      <c r="W21" s="1509">
        <f>J21</f>
        <v>100</v>
      </c>
      <c r="X21" s="1502"/>
      <c r="Y21" s="353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33"/>
      <c r="Q22" s="1507"/>
      <c r="R22" s="1508"/>
      <c r="S22" s="1509"/>
      <c r="T22" s="1508"/>
      <c r="U22" s="1509"/>
      <c r="V22" s="1508"/>
      <c r="W22" s="1509"/>
      <c r="X22" s="1502"/>
      <c r="Y22" s="3533"/>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33"/>
      <c r="Q23" s="1507" t="str">
        <f t="shared" si="8"/>
        <v>环境状况</v>
      </c>
      <c r="R23" s="1508" t="s">
        <v>8</v>
      </c>
      <c r="S23" s="1509">
        <f>F23</f>
        <v>100</v>
      </c>
      <c r="T23" s="1508" t="s">
        <v>8</v>
      </c>
      <c r="U23" s="1509">
        <f>H23</f>
        <v>100</v>
      </c>
      <c r="V23" s="1508" t="s">
        <v>8</v>
      </c>
      <c r="W23" s="1509">
        <f>J23</f>
        <v>100</v>
      </c>
      <c r="X23" s="1502"/>
      <c r="Y23" s="3533"/>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33"/>
      <c r="Q24" s="1507"/>
      <c r="R24" s="1508"/>
      <c r="S24" s="1509"/>
      <c r="T24" s="1508"/>
      <c r="U24" s="1509"/>
      <c r="V24" s="1508"/>
      <c r="W24" s="1509"/>
      <c r="X24" s="1502"/>
      <c r="Y24" s="3533"/>
      <c r="Z24" s="1510"/>
      <c r="AA24" s="1511">
        <v>1</v>
      </c>
      <c r="AB24" s="1511">
        <v>1</v>
      </c>
      <c r="AC24" s="1511">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33"/>
      <c r="Q25" s="1134" t="str">
        <f t="shared" si="8"/>
        <v>公共配套设施</v>
      </c>
      <c r="R25" s="1503" t="s">
        <v>8</v>
      </c>
      <c r="S25" s="1504">
        <f>F25</f>
        <v>100</v>
      </c>
      <c r="T25" s="1503" t="s">
        <v>8</v>
      </c>
      <c r="U25" s="1504">
        <f>H25</f>
        <v>100</v>
      </c>
      <c r="V25" s="1503" t="s">
        <v>8</v>
      </c>
      <c r="W25" s="1504">
        <f>J25</f>
        <v>100</v>
      </c>
      <c r="X25" s="1505"/>
      <c r="Y25" s="3533"/>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8"/>
      <c r="M26" s="2019"/>
      <c r="N26" s="2019"/>
      <c r="O26" s="2020"/>
      <c r="P26" s="3533"/>
      <c r="Q26" s="1134"/>
      <c r="R26" s="1503"/>
      <c r="S26" s="1504"/>
      <c r="T26" s="1503"/>
      <c r="U26" s="1504"/>
      <c r="V26" s="1503"/>
      <c r="W26" s="1504"/>
      <c r="X26" s="1505"/>
      <c r="Y26" s="3533"/>
      <c r="Z26" s="1133"/>
      <c r="AA26" s="1506">
        <v>1</v>
      </c>
      <c r="AB26" s="1506">
        <v>1</v>
      </c>
      <c r="AC26" s="1506">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33"/>
      <c r="Q27" s="2428" t="str">
        <f t="shared" ref="Q27" si="9">B27</f>
        <v>基础设施水平</v>
      </c>
      <c r="R27" s="1503" t="s">
        <v>8</v>
      </c>
      <c r="S27" s="1504">
        <f>F27</f>
        <v>100</v>
      </c>
      <c r="T27" s="1503" t="s">
        <v>8</v>
      </c>
      <c r="U27" s="1504">
        <f>H27</f>
        <v>100</v>
      </c>
      <c r="V27" s="1503" t="s">
        <v>8</v>
      </c>
      <c r="W27" s="1504">
        <f>J27</f>
        <v>100</v>
      </c>
      <c r="X27" s="1505"/>
      <c r="Y27" s="3533"/>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8"/>
      <c r="M28" s="2019"/>
      <c r="N28" s="2019"/>
      <c r="O28" s="2020"/>
      <c r="P28" s="3533"/>
      <c r="Q28" s="2428"/>
      <c r="R28" s="1503"/>
      <c r="S28" s="1504"/>
      <c r="T28" s="1503"/>
      <c r="U28" s="1504"/>
      <c r="V28" s="1503"/>
      <c r="W28" s="1504"/>
      <c r="X28" s="1505"/>
      <c r="Y28" s="3533"/>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3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33"/>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33"/>
      <c r="Q30" s="1507" t="str">
        <f t="shared" si="8"/>
        <v>毗邻道路的类型与等级</v>
      </c>
      <c r="R30" s="1508" t="s">
        <v>8</v>
      </c>
      <c r="S30" s="1509">
        <f t="shared" si="10"/>
        <v>100</v>
      </c>
      <c r="T30" s="1508" t="s">
        <v>8</v>
      </c>
      <c r="U30" s="1509">
        <f t="shared" si="11"/>
        <v>100</v>
      </c>
      <c r="V30" s="1508" t="s">
        <v>8</v>
      </c>
      <c r="W30" s="1509">
        <f t="shared" si="12"/>
        <v>100</v>
      </c>
      <c r="X30" s="1502"/>
      <c r="Y30" s="353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33"/>
      <c r="Q31" s="1507"/>
      <c r="R31" s="1508"/>
      <c r="S31" s="1509"/>
      <c r="T31" s="1508"/>
      <c r="U31" s="1509"/>
      <c r="V31" s="1508"/>
      <c r="W31" s="1509"/>
      <c r="X31" s="1502"/>
      <c r="Y31" s="3533"/>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33"/>
      <c r="Q32" s="1507" t="str">
        <f t="shared" si="8"/>
        <v>土地级别</v>
      </c>
      <c r="R32" s="1508" t="s">
        <v>8</v>
      </c>
      <c r="S32" s="1509">
        <f t="shared" si="10"/>
        <v>100</v>
      </c>
      <c r="T32" s="1508" t="s">
        <v>8</v>
      </c>
      <c r="U32" s="1509">
        <f t="shared" si="11"/>
        <v>100</v>
      </c>
      <c r="V32" s="1508" t="s">
        <v>8</v>
      </c>
      <c r="W32" s="1509">
        <f t="shared" si="12"/>
        <v>100</v>
      </c>
      <c r="X32" s="1502"/>
      <c r="Y32" s="3533"/>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33"/>
      <c r="Q33" s="1507">
        <f t="shared" si="8"/>
        <v>111</v>
      </c>
      <c r="R33" s="1508" t="s">
        <v>8</v>
      </c>
      <c r="S33" s="1509">
        <f t="shared" si="10"/>
        <v>100</v>
      </c>
      <c r="T33" s="1508" t="s">
        <v>8</v>
      </c>
      <c r="U33" s="1509">
        <f t="shared" si="11"/>
        <v>100</v>
      </c>
      <c r="V33" s="1508" t="s">
        <v>8</v>
      </c>
      <c r="W33" s="1509">
        <f t="shared" si="12"/>
        <v>100</v>
      </c>
      <c r="X33" s="1502"/>
      <c r="Y33" s="3533"/>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34" t="s">
        <v>544</v>
      </c>
      <c r="Q34" s="1507">
        <f t="shared" si="8"/>
        <v>111</v>
      </c>
      <c r="R34" s="1508" t="s">
        <v>8</v>
      </c>
      <c r="S34" s="1509">
        <f t="shared" si="10"/>
        <v>100</v>
      </c>
      <c r="T34" s="1508" t="s">
        <v>8</v>
      </c>
      <c r="U34" s="1509">
        <f t="shared" si="11"/>
        <v>100</v>
      </c>
      <c r="V34" s="1508" t="s">
        <v>8</v>
      </c>
      <c r="W34" s="1509">
        <f t="shared" si="12"/>
        <v>100</v>
      </c>
      <c r="X34" s="1502"/>
      <c r="Y34" s="3535"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35"/>
      <c r="Q35" s="1507">
        <f t="shared" si="8"/>
        <v>111</v>
      </c>
      <c r="R35" s="1512" t="s">
        <v>8</v>
      </c>
      <c r="S35" s="1513">
        <f t="shared" si="10"/>
        <v>100</v>
      </c>
      <c r="T35" s="1512" t="s">
        <v>8</v>
      </c>
      <c r="U35" s="1513">
        <f t="shared" si="11"/>
        <v>100</v>
      </c>
      <c r="V35" s="1512" t="s">
        <v>8</v>
      </c>
      <c r="W35" s="1513">
        <f t="shared" si="12"/>
        <v>100</v>
      </c>
      <c r="X35" s="1514"/>
      <c r="Y35" s="3535"/>
      <c r="Z35" s="1515">
        <f t="shared" si="13"/>
        <v>111</v>
      </c>
      <c r="AA35" s="1511">
        <f t="shared" si="3"/>
        <v>1</v>
      </c>
      <c r="AB35" s="1511">
        <f t="shared" si="4"/>
        <v>1</v>
      </c>
      <c r="AC35" s="1511">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35"/>
      <c r="Q36" s="1507" t="str">
        <f>B36</f>
        <v>宗地面积</v>
      </c>
      <c r="R36" s="1508" t="s">
        <v>8</v>
      </c>
      <c r="S36" s="1509" t="e">
        <f t="shared" si="10"/>
        <v>#N/A</v>
      </c>
      <c r="T36" s="1508" t="s">
        <v>8</v>
      </c>
      <c r="U36" s="1509" t="e">
        <f t="shared" si="11"/>
        <v>#N/A</v>
      </c>
      <c r="V36" s="1508" t="s">
        <v>8</v>
      </c>
      <c r="W36" s="1509" t="e">
        <f t="shared" si="12"/>
        <v>#N/A</v>
      </c>
      <c r="X36" s="1502"/>
      <c r="Y36" s="3535"/>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35"/>
      <c r="Q37" s="1507" t="str">
        <f t="shared" ref="Q37:Q42" si="14">B37</f>
        <v>宗地形状</v>
      </c>
      <c r="R37" s="1508" t="s">
        <v>8</v>
      </c>
      <c r="S37" s="1509">
        <f t="shared" si="10"/>
        <v>100</v>
      </c>
      <c r="T37" s="1508" t="s">
        <v>8</v>
      </c>
      <c r="U37" s="1509">
        <f t="shared" si="11"/>
        <v>100</v>
      </c>
      <c r="V37" s="1508" t="s">
        <v>8</v>
      </c>
      <c r="W37" s="1509">
        <f t="shared" si="12"/>
        <v>100</v>
      </c>
      <c r="X37" s="1502"/>
      <c r="Y37" s="3535"/>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35"/>
      <c r="Q38" s="1507" t="str">
        <f t="shared" si="14"/>
        <v>宗地开发程度</v>
      </c>
      <c r="R38" s="1503" t="s">
        <v>8</v>
      </c>
      <c r="S38" s="1504">
        <f t="shared" si="10"/>
        <v>100</v>
      </c>
      <c r="T38" s="1503" t="s">
        <v>8</v>
      </c>
      <c r="U38" s="1504">
        <f t="shared" si="11"/>
        <v>100</v>
      </c>
      <c r="V38" s="1503" t="s">
        <v>8</v>
      </c>
      <c r="W38" s="1504">
        <f t="shared" si="12"/>
        <v>100</v>
      </c>
      <c r="X38" s="1505"/>
      <c r="Y38" s="3535"/>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5" t="s">
        <v>595</v>
      </c>
      <c r="Q39" s="1507" t="str">
        <f t="shared" si="14"/>
        <v>工程地质条件</v>
      </c>
      <c r="R39" s="1508" t="s">
        <v>8</v>
      </c>
      <c r="S39" s="1509">
        <f t="shared" si="10"/>
        <v>100</v>
      </c>
      <c r="T39" s="1508" t="s">
        <v>8</v>
      </c>
      <c r="U39" s="1509">
        <f t="shared" si="11"/>
        <v>100</v>
      </c>
      <c r="V39" s="1508" t="s">
        <v>8</v>
      </c>
      <c r="W39" s="1509">
        <f t="shared" si="12"/>
        <v>100</v>
      </c>
      <c r="X39" s="1502"/>
      <c r="Y39" s="3535"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35"/>
      <c r="Q40" s="1507">
        <f t="shared" si="14"/>
        <v>111</v>
      </c>
      <c r="R40" s="1508" t="s">
        <v>8</v>
      </c>
      <c r="S40" s="1509">
        <f t="shared" si="10"/>
        <v>100</v>
      </c>
      <c r="T40" s="1508" t="s">
        <v>8</v>
      </c>
      <c r="U40" s="1509">
        <f t="shared" si="11"/>
        <v>100</v>
      </c>
      <c r="V40" s="1508" t="s">
        <v>8</v>
      </c>
      <c r="W40" s="1509">
        <f t="shared" si="12"/>
        <v>100</v>
      </c>
      <c r="X40" s="1502"/>
      <c r="Y40" s="3535"/>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35"/>
      <c r="Q41" s="1507">
        <f t="shared" si="14"/>
        <v>111</v>
      </c>
      <c r="R41" s="1508" t="s">
        <v>8</v>
      </c>
      <c r="S41" s="1509">
        <f t="shared" si="10"/>
        <v>100</v>
      </c>
      <c r="T41" s="1508" t="s">
        <v>8</v>
      </c>
      <c r="U41" s="1509">
        <f t="shared" si="11"/>
        <v>100</v>
      </c>
      <c r="V41" s="1508" t="s">
        <v>8</v>
      </c>
      <c r="W41" s="1509">
        <f t="shared" si="12"/>
        <v>100</v>
      </c>
      <c r="X41" s="1502"/>
      <c r="Y41" s="3535"/>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35"/>
      <c r="Q42" s="1507">
        <f t="shared" si="14"/>
        <v>111</v>
      </c>
      <c r="R42" s="1512" t="s">
        <v>8</v>
      </c>
      <c r="S42" s="1513">
        <f t="shared" si="10"/>
        <v>100</v>
      </c>
      <c r="T42" s="1512" t="s">
        <v>8</v>
      </c>
      <c r="U42" s="1513">
        <f t="shared" si="11"/>
        <v>100</v>
      </c>
      <c r="V42" s="1512" t="s">
        <v>8</v>
      </c>
      <c r="W42" s="1513">
        <f t="shared" si="12"/>
        <v>100</v>
      </c>
      <c r="X42" s="1514"/>
      <c r="Y42" s="3535"/>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98" t="str">
        <f>A43</f>
        <v>成交单价</v>
      </c>
      <c r="Q43" s="3498"/>
      <c r="R43" s="3499">
        <f>E43</f>
        <v>0</v>
      </c>
      <c r="S43" s="3499"/>
      <c r="T43" s="3499">
        <f>G43</f>
        <v>0</v>
      </c>
      <c r="U43" s="3499"/>
      <c r="V43" s="3499">
        <f>I43</f>
        <v>0</v>
      </c>
      <c r="W43" s="3499"/>
      <c r="X43" s="1497"/>
      <c r="Y43" s="1516"/>
      <c r="Z43" s="1497"/>
      <c r="AA43" s="1497"/>
      <c r="AB43" s="1497"/>
      <c r="AC43" s="1497"/>
    </row>
    <row r="44" spans="1:29" ht="15.75" thickBot="1">
      <c r="A44" s="609" t="s">
        <v>2673</v>
      </c>
      <c r="B44" s="610"/>
      <c r="C44" s="611" t="e">
        <f>R45</f>
        <v>#DIV/0!</v>
      </c>
      <c r="D44" s="3012" t="s">
        <v>2971</v>
      </c>
      <c r="E44" s="611" t="e">
        <f>R44</f>
        <v>#DIV/0!</v>
      </c>
      <c r="F44" s="3013"/>
      <c r="G44" s="612" t="e">
        <f>T44</f>
        <v>#DIV/0!</v>
      </c>
      <c r="H44" s="3013"/>
      <c r="I44" s="611" t="e">
        <f>V44</f>
        <v>#DIV/0!</v>
      </c>
      <c r="J44" s="3013"/>
      <c r="K44" s="3014">
        <f>F44+H44+J44</f>
        <v>0</v>
      </c>
      <c r="L44" s="2027"/>
      <c r="M44" s="2017"/>
      <c r="N44" s="2017"/>
      <c r="O44" s="2028"/>
      <c r="P44" s="3498" t="str">
        <f>A44</f>
        <v>比较价格（元/平方米）</v>
      </c>
      <c r="Q44" s="3498"/>
      <c r="R44" s="3500" t="e">
        <f>ROUND(PRODUCT(R43,AA9:AA42),0)</f>
        <v>#DIV/0!</v>
      </c>
      <c r="S44" s="3500"/>
      <c r="T44" s="3500" t="e">
        <f>ROUND(PRODUCT(T43,AB9:AB42),0)</f>
        <v>#DIV/0!</v>
      </c>
      <c r="U44" s="3500"/>
      <c r="V44" s="3500" t="e">
        <f>ROUND(PRODUCT(V43,AC9:AC42),0)</f>
        <v>#DIV/0!</v>
      </c>
      <c r="W44" s="3500"/>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95" t="str">
        <f>A45</f>
        <v>估价对象XX用房的比较价格（楼面单价，元/平方米）</v>
      </c>
      <c r="Q45" s="3496"/>
      <c r="R45" s="3547" t="e">
        <f>ROUND(IF(D44="简单平均",AVERAGE(R44:W44),R44*F44+T44*H44+V44*J44),0)</f>
        <v>#DIV/0!</v>
      </c>
      <c r="S45" s="3547"/>
      <c r="T45" s="3547"/>
      <c r="U45" s="3547"/>
      <c r="V45" s="3547"/>
      <c r="W45" s="3547"/>
      <c r="X45" s="1497"/>
      <c r="Y45" s="1497"/>
      <c r="Z45" s="1497"/>
      <c r="AA45" s="1497"/>
      <c r="AB45" s="1497"/>
      <c r="AC45" s="1497"/>
    </row>
    <row r="46" spans="1:29">
      <c r="A46" s="3212"/>
      <c r="B46" s="3212"/>
      <c r="C46" s="3212"/>
      <c r="D46" s="3212"/>
      <c r="E46" s="3212"/>
      <c r="F46" s="3212"/>
      <c r="G46" s="3214"/>
      <c r="H46" s="3212"/>
      <c r="I46" s="3212"/>
      <c r="J46" s="3212"/>
      <c r="K46" s="3215"/>
      <c r="L46" s="2032"/>
      <c r="M46" s="2017"/>
      <c r="N46" s="2017"/>
      <c r="O46" s="2028"/>
      <c r="P46" s="2028"/>
      <c r="Q46" s="2028"/>
      <c r="R46" s="2028"/>
      <c r="S46" s="2028"/>
      <c r="T46" s="2028"/>
      <c r="U46" s="2028"/>
      <c r="V46" s="2028"/>
      <c r="W46" s="2028"/>
      <c r="X46" s="2028"/>
      <c r="Y46" s="2028"/>
      <c r="Z46" s="2028"/>
      <c r="AA46" s="2028"/>
      <c r="AB46" s="2028"/>
      <c r="AC46" s="2028"/>
    </row>
    <row r="47" spans="1:29">
      <c r="A47" s="3212"/>
      <c r="B47" s="3212"/>
      <c r="C47" s="3212"/>
      <c r="D47" s="3212"/>
      <c r="E47" s="3212"/>
      <c r="F47" s="3212"/>
      <c r="G47" s="3212"/>
      <c r="H47" s="3212"/>
      <c r="I47" s="3212"/>
      <c r="J47" s="3212"/>
      <c r="K47" s="3215"/>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3"/>
      <c r="B51" s="3224"/>
      <c r="C51" s="2033"/>
      <c r="D51" s="2029"/>
      <c r="E51" s="2029"/>
      <c r="F51" s="2029"/>
      <c r="G51" s="2029"/>
      <c r="H51" s="2029"/>
      <c r="I51" s="2029"/>
      <c r="J51" s="2029"/>
      <c r="K51" s="3216"/>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42" t="s">
        <v>2272</v>
      </c>
      <c r="H52" s="3543"/>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1146665.0900000001</v>
      </c>
      <c r="F53" s="1865" t="e">
        <f t="shared" ref="F53:F62" si="15">ROUND(B53*E53/10000,0)</f>
        <v>#DIV/0!</v>
      </c>
      <c r="G53" s="3544"/>
      <c r="H53" s="3545"/>
      <c r="I53" s="1868">
        <v>1</v>
      </c>
      <c r="J53" s="1495">
        <v>1</v>
      </c>
      <c r="K53" s="3217"/>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46" t="s">
        <v>2273</v>
      </c>
      <c r="H54" s="1869">
        <f>项目基本情况!B43</f>
        <v>0</v>
      </c>
      <c r="I54" s="1868">
        <f>SUMIF(修正!$A$45:$A$56,H54,修正!B45:B56)</f>
        <v>0</v>
      </c>
      <c r="J54" s="1496"/>
      <c r="K54" s="3217"/>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46"/>
      <c r="H55" s="1870">
        <f>项目基本情况!B43</f>
        <v>0</v>
      </c>
      <c r="I55" s="1868">
        <f>SUMIF(修正!$A$45:$A$56,H55,修正!C45:C56)</f>
        <v>0</v>
      </c>
      <c r="J55" s="1496"/>
      <c r="K55" s="3217"/>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46"/>
      <c r="H56" s="1870">
        <f>项目基本情况!B43</f>
        <v>0</v>
      </c>
      <c r="I56" s="1868">
        <f>SUMIF(修正!$A$45:$A$56,H56,修正!D45:D56)</f>
        <v>0</v>
      </c>
      <c r="J56" s="1496"/>
      <c r="K56" s="3217"/>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46"/>
      <c r="H57" s="1870">
        <f>项目基本情况!B43</f>
        <v>0</v>
      </c>
      <c r="I57" s="1868">
        <f>SUMIF(修正!$A$45:$A$56,H57,修正!E45:E56)</f>
        <v>0</v>
      </c>
      <c r="J57" s="1496"/>
      <c r="K57" s="3217"/>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7"/>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7"/>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7"/>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7"/>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7"/>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266666.3</v>
      </c>
      <c r="F63" s="636" t="e">
        <f>IF(B43="楼面地价",SUM(F53:F62),ROUND(C45*E63/10000,0))</f>
        <v>#DIV/0!</v>
      </c>
      <c r="G63" s="2038"/>
      <c r="H63" s="2038"/>
      <c r="I63" s="2038"/>
      <c r="J63" s="2038"/>
      <c r="K63" s="3225"/>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7" t="str">
        <f>YEAR(C9)&amp;"-"&amp;MONTH(C9)&amp;"-1"</f>
        <v>2021-10-1</v>
      </c>
      <c r="D65" s="2516">
        <f>EDATE(C65,-3)</f>
        <v>44378</v>
      </c>
      <c r="E65" s="2516">
        <f t="shared" ref="E65:N65" si="18">EDATE(D65,-3)</f>
        <v>44287</v>
      </c>
      <c r="F65" s="2516">
        <f t="shared" si="18"/>
        <v>44197</v>
      </c>
      <c r="G65" s="2516">
        <f t="shared" si="18"/>
        <v>44105</v>
      </c>
      <c r="H65" s="2516">
        <f t="shared" si="18"/>
        <v>44013</v>
      </c>
      <c r="I65" s="2516">
        <f t="shared" si="18"/>
        <v>43922</v>
      </c>
      <c r="J65" s="2516">
        <f t="shared" si="18"/>
        <v>43831</v>
      </c>
      <c r="K65" s="2516">
        <f t="shared" si="18"/>
        <v>43739</v>
      </c>
      <c r="L65" s="2516">
        <f t="shared" si="18"/>
        <v>43647</v>
      </c>
      <c r="M65" s="2516">
        <f t="shared" si="18"/>
        <v>43556</v>
      </c>
      <c r="N65" s="2516">
        <f t="shared" si="18"/>
        <v>43466</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1" t="s">
        <v>2514</v>
      </c>
      <c r="B67" s="638"/>
      <c r="C67" s="2513" t="str">
        <f>YEAR(C65)&amp;"-"&amp;ROUNDUP(MONTH(C65)/3,0)</f>
        <v>2021-4</v>
      </c>
      <c r="D67" s="2518" t="str">
        <f t="shared" ref="D67:N67" si="19">YEAR(D65)&amp;"-"&amp;ROUNDUP(MONTH(D65)/3,0)</f>
        <v>2021-3</v>
      </c>
      <c r="E67" s="2518" t="str">
        <f t="shared" si="19"/>
        <v>2021-2</v>
      </c>
      <c r="F67" s="2518" t="str">
        <f t="shared" si="19"/>
        <v>2021-1</v>
      </c>
      <c r="G67" s="2518" t="str">
        <f t="shared" si="19"/>
        <v>2020-4</v>
      </c>
      <c r="H67" s="2518" t="str">
        <f t="shared" si="19"/>
        <v>2020-3</v>
      </c>
      <c r="I67" s="2518" t="str">
        <f t="shared" si="19"/>
        <v>2020-2</v>
      </c>
      <c r="J67" s="2518" t="str">
        <f t="shared" si="19"/>
        <v>2020-1</v>
      </c>
      <c r="K67" s="2518" t="str">
        <f t="shared" si="19"/>
        <v>2019-4</v>
      </c>
      <c r="L67" s="2518" t="str">
        <f t="shared" si="19"/>
        <v>2019-3</v>
      </c>
      <c r="M67" s="2518" t="str">
        <f t="shared" si="19"/>
        <v>2019-2</v>
      </c>
      <c r="N67" s="2518" t="str">
        <f t="shared" si="19"/>
        <v>2019-1</v>
      </c>
      <c r="O67" s="2041"/>
      <c r="P67" s="2042"/>
      <c r="Q67" s="2043"/>
      <c r="R67" s="2043"/>
      <c r="S67" s="2043"/>
      <c r="T67" s="2043"/>
      <c r="U67" s="2043"/>
      <c r="V67" s="2043"/>
      <c r="W67" s="2043"/>
      <c r="X67" s="2043"/>
      <c r="Y67" s="2043"/>
      <c r="Z67" s="2043"/>
      <c r="AA67" s="2043"/>
      <c r="AB67" s="2043"/>
      <c r="AC67" s="2043"/>
    </row>
    <row r="68" spans="1:29" s="1203" customFormat="1" ht="27.75" customHeight="1">
      <c r="A68" s="2515" t="s">
        <v>2629</v>
      </c>
      <c r="B68" s="473" t="str">
        <f>"北京市平均增长率"&amp;TEXT(基准地价!P24,"0.00%")</f>
        <v>北京市平均增长率1.22%</v>
      </c>
      <c r="C68" s="883">
        <v>100</v>
      </c>
      <c r="D68" s="722"/>
      <c r="E68" s="722"/>
      <c r="F68" s="722"/>
      <c r="G68" s="722"/>
      <c r="H68" s="722"/>
      <c r="I68" s="722"/>
      <c r="J68" s="722"/>
      <c r="K68" s="722"/>
      <c r="L68" s="722"/>
      <c r="M68" s="2511"/>
      <c r="N68" s="2512"/>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09"/>
      <c r="D69" s="2510"/>
      <c r="E69" s="2510"/>
      <c r="F69" s="2510"/>
      <c r="G69" s="2510"/>
      <c r="H69" s="2510"/>
      <c r="I69" s="2510"/>
      <c r="J69" s="2510"/>
      <c r="K69" s="2510"/>
      <c r="L69" s="2510"/>
      <c r="M69" s="2510"/>
      <c r="N69" s="2510"/>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6"/>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6"/>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7"/>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8"/>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7"/>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8"/>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7"/>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29"/>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8"/>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29"/>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29"/>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29"/>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29"/>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7"/>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6"/>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6"/>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29"/>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29"/>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7"/>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7"/>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7"/>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8"/>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7"/>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8"/>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29"/>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8"/>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7"/>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8"/>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7"/>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29"/>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7"/>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7"/>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8"/>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7"/>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8"/>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29"/>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29"/>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3" t="s">
        <v>2741</v>
      </c>
      <c r="S1" s="2653" t="s">
        <v>2742</v>
      </c>
      <c r="T1" s="2653" t="s">
        <v>2763</v>
      </c>
      <c r="U1" s="2653" t="s">
        <v>2764</v>
      </c>
      <c r="V1" s="2653"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0"/>
      <c r="L2" s="1800" t="s">
        <v>2228</v>
      </c>
      <c r="M2" s="1801">
        <f>SUMPRODUCT((区片价!B10:B28=I2)*(区片价!C3:F3=E2)*(区片价!C10:F28))</f>
        <v>0</v>
      </c>
      <c r="N2" s="1802">
        <f>SUMPRODUCT((因素修正幅度!B10:B28=I2)*(因素修正幅度!C3:F3=E2)*(因素修正幅度!C10:F28))</f>
        <v>0</v>
      </c>
      <c r="O2" s="3230"/>
      <c r="P2" s="2071"/>
      <c r="Q2" s="2071"/>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0"/>
      <c r="L3" s="1800" t="s">
        <v>2229</v>
      </c>
      <c r="M3" s="1801">
        <f>SUMPRODUCT((区片价!B29:B48=I2)*(区片价!C3:F3=E2)*(区片价!C29:F48))</f>
        <v>0</v>
      </c>
      <c r="N3" s="1802">
        <f>SUMPRODUCT((因素修正幅度!B29:B48=I2)*(因素修正幅度!C3:F3=E2)*(因素修正幅度!C29:F48))</f>
        <v>0</v>
      </c>
      <c r="O3" s="3230"/>
      <c r="P3" s="2071"/>
      <c r="Q3" s="2071"/>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1"/>
      <c r="L4" s="1800" t="s">
        <v>2230</v>
      </c>
      <c r="M4" s="1801">
        <f>SUMPRODUCT((区片价!B49:B75=I2)*(区片价!C3:F3=E2)*(区片价!C49:F75))</f>
        <v>0</v>
      </c>
      <c r="N4" s="1802">
        <f>SUMPRODUCT((因素修正幅度!B49:B75=I2)*(因素修正幅度!C3:F3=E2)*(因素修正幅度!C49:F75))</f>
        <v>0</v>
      </c>
      <c r="O4" s="3231"/>
      <c r="P4" s="2071"/>
      <c r="Q4" s="2071"/>
      <c r="R4" s="2654">
        <v>3</v>
      </c>
      <c r="S4" s="2654">
        <f>ROUND(IF(G3&gt;1,IF(R4&lt;7,SUMPRODUCT((B93:B98=R4)*(C92:N92=G2)*(C93:N98)),SUMIF(C92:N92,G2,C100:N100)),IF(R4&lt;7,SUMPRODUCT((B102:B107=R4)*(C92:N92=G2)*(C102:N107)),SUMIF(C92:N92,G2,C109:N109))),4)</f>
        <v>0</v>
      </c>
      <c r="T4" s="2654" t="e">
        <f t="shared" si="0"/>
        <v>#DIV/0!</v>
      </c>
      <c r="U4" s="2643"/>
      <c r="V4" s="2654"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1" t="e">
        <f>ROUND(C6+C16,0)</f>
        <v>#DIV/0!</v>
      </c>
      <c r="E5" s="2791"/>
      <c r="F5" s="1365"/>
      <c r="G5" s="1366"/>
      <c r="H5" s="1366"/>
      <c r="I5" s="1366"/>
      <c r="J5" s="1367"/>
      <c r="K5" s="3232"/>
      <c r="L5" s="1800" t="s">
        <v>2231</v>
      </c>
      <c r="M5" s="1801">
        <f>SUMPRODUCT((区片价!B76:B109=I2)*(区片价!C3:F3=E2)*(区片价!C76:F109))</f>
        <v>0</v>
      </c>
      <c r="N5" s="1802">
        <f>SUMPRODUCT((因素修正幅度!B76:B109=I2)*(因素修正幅度!C3:F3=E2)*(因素修正幅度!C76:F109))</f>
        <v>0</v>
      </c>
      <c r="O5" s="3232"/>
      <c r="P5" s="3235"/>
      <c r="Q5" s="2071"/>
      <c r="R5" s="2654">
        <v>4</v>
      </c>
      <c r="S5" s="2654">
        <f>ROUND(IF(G3&gt;1,IF(R5&lt;7,SUMPRODUCT((B93:B98=R5)*(C92:N92=G2)*(C93:N98)),SUMIF(C92:N92,G2,C100:N100)),IF(R5&lt;7,SUMPRODUCT((B102:B107=R5)*(C92:N92=G2)*(C102:N107)),SUMIF(C92:N92,G2,C109:N109))),4)</f>
        <v>0</v>
      </c>
      <c r="T5" s="2654" t="e">
        <f t="shared" si="0"/>
        <v>#DIV/0!</v>
      </c>
      <c r="U5" s="2643"/>
      <c r="V5" s="2654"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3"/>
      <c r="L6" s="1800" t="s">
        <v>2232</v>
      </c>
      <c r="M6" s="1801">
        <f>SUMPRODUCT((区片价!B110:B157=I2)*(区片价!C3:F3=E2)*(区片价!C110:F157))</f>
        <v>0</v>
      </c>
      <c r="N6" s="1802">
        <f>SUMPRODUCT((因素修正幅度!B110:B157=I2)*(因素修正幅度!C3:F3=E2)*(因素修正幅度!C110:F157))</f>
        <v>0</v>
      </c>
      <c r="O6" s="3233"/>
      <c r="P6" s="3236"/>
      <c r="Q6" s="2071"/>
      <c r="R6" s="2654">
        <v>5</v>
      </c>
      <c r="S6" s="2654">
        <f>ROUND(IF(G3&gt;1,IF(R6&lt;7,SUMPRODUCT((B93:B98=R6)*(C92:N92=G2)*(C93:N98)),SUMIF(C92:N92,G2,C100:N100)),IF(R6&lt;7,SUMPRODUCT((B102:B107=R6)*(C92:N92=G2)*(C102:N107)),SUMIF(C92:N92,G2,C109:N109))),4)</f>
        <v>0</v>
      </c>
      <c r="T6" s="2654" t="e">
        <f t="shared" si="0"/>
        <v>#DIV/0!</v>
      </c>
      <c r="U6" s="2643"/>
      <c r="V6" s="2654" t="e">
        <f t="shared" si="1"/>
        <v>#DIV/0!</v>
      </c>
      <c r="W6" s="2071"/>
      <c r="X6" s="2071"/>
      <c r="Y6" s="2071"/>
      <c r="Z6" s="2071"/>
      <c r="AA6" s="2071"/>
      <c r="AB6" s="2071"/>
      <c r="AC6" s="2073"/>
      <c r="AD6" s="1368"/>
      <c r="AE6" s="1368"/>
      <c r="AF6" s="1368"/>
      <c r="AG6" s="1368"/>
      <c r="AH6" s="1368"/>
      <c r="AI6" s="1368"/>
      <c r="AJ6" s="1369"/>
    </row>
    <row r="7" spans="1:39" ht="24">
      <c r="A7" s="3562" t="str">
        <f>IF(E2="商业",IF(C8="不临58条商业街","",2),"")</f>
        <v/>
      </c>
      <c r="B7" s="1376" t="s">
        <v>923</v>
      </c>
      <c r="C7" s="1030" t="e">
        <f>IF(C8="不临58条商业街",1,ROUND(1+(1.6*E8+1.2*E9+0.8*E10+0.4*E11)*C9,4))</f>
        <v>#DIV/0!</v>
      </c>
      <c r="D7" s="1377" t="s">
        <v>924</v>
      </c>
      <c r="E7" s="1031"/>
      <c r="F7" s="1378"/>
      <c r="G7" s="1379"/>
      <c r="H7" s="1379"/>
      <c r="I7" s="1379"/>
      <c r="J7" s="1380"/>
      <c r="K7" s="3233"/>
      <c r="L7" s="1800" t="s">
        <v>2233</v>
      </c>
      <c r="M7" s="1801">
        <f>SUMPRODUCT((区片价!B158:B205=I2)*(区片价!C3:F3=E2)*(区片价!C158:F205))</f>
        <v>0</v>
      </c>
      <c r="N7" s="1802">
        <f>SUMPRODUCT((因素修正幅度!B158:B205=I2)*(因素修正幅度!C3:F3=E2)*(因素修正幅度!C158:F205))</f>
        <v>0</v>
      </c>
      <c r="O7" s="3233"/>
      <c r="P7" s="3236"/>
      <c r="Q7" s="2071"/>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2744</v>
      </c>
      <c r="X7" s="2644">
        <f>G2</f>
        <v>0</v>
      </c>
      <c r="Y7" s="2644" t="s">
        <v>2745</v>
      </c>
      <c r="Z7" s="2645">
        <f>G3</f>
        <v>4</v>
      </c>
      <c r="AA7" s="2074"/>
      <c r="AB7" s="2074"/>
      <c r="AC7" s="2075"/>
      <c r="AD7" s="2646"/>
      <c r="AE7" s="2646"/>
      <c r="AF7" s="2646"/>
      <c r="AG7" s="2646"/>
      <c r="AH7" s="2646"/>
      <c r="AI7" s="2646"/>
      <c r="AJ7" s="2647"/>
    </row>
    <row r="8" spans="1:39" ht="15">
      <c r="A8" s="3563"/>
      <c r="B8" s="1363" t="s">
        <v>925</v>
      </c>
      <c r="C8" s="1469"/>
      <c r="D8" s="1032" t="s">
        <v>926</v>
      </c>
      <c r="E8" s="1033" t="e">
        <f>ROUND(C11/E7,4)</f>
        <v>#DIV/0!</v>
      </c>
      <c r="F8" s="1381" t="s">
        <v>927</v>
      </c>
      <c r="G8" s="1382"/>
      <c r="H8" s="1382"/>
      <c r="I8" s="1382"/>
      <c r="J8" s="1383"/>
      <c r="K8" s="3233"/>
      <c r="L8" s="1800" t="s">
        <v>2234</v>
      </c>
      <c r="M8" s="1801">
        <f>SUMPRODUCT((区片价!B206:B244=I2)*(区片价!C3:F3=E2)*(区片价!C206:F244))</f>
        <v>0</v>
      </c>
      <c r="N8" s="1802">
        <f>SUMPRODUCT((因素修正幅度!B206:B244=I2)*(因素修正幅度!C3:F3=E2)*(因素修正幅度!C206:F244))</f>
        <v>0</v>
      </c>
      <c r="O8" s="3233"/>
      <c r="P8" s="2071"/>
      <c r="Q8" s="2071"/>
      <c r="R8" s="2654">
        <v>7</v>
      </c>
      <c r="S8" s="2643"/>
      <c r="T8" s="2654" t="e">
        <f t="shared" si="0"/>
        <v>#DIV/0!</v>
      </c>
      <c r="U8" s="2643"/>
      <c r="V8" s="2654" t="e">
        <f t="shared" si="1"/>
        <v>#DIV/0!</v>
      </c>
      <c r="W8" s="3549" t="s">
        <v>2762</v>
      </c>
      <c r="X8" s="3550"/>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63"/>
      <c r="B9" s="1363" t="s">
        <v>928</v>
      </c>
      <c r="C9" s="1034">
        <f>SUMIF(修正!C59:C119,C8,修正!E59:E119)</f>
        <v>0</v>
      </c>
      <c r="D9" s="1035" t="s">
        <v>929</v>
      </c>
      <c r="E9" s="1035" t="e">
        <f>ROUND(C11/E7,4)</f>
        <v>#DIV/0!</v>
      </c>
      <c r="F9" s="1381" t="s">
        <v>930</v>
      </c>
      <c r="G9" s="1382"/>
      <c r="H9" s="1382"/>
      <c r="I9" s="1382"/>
      <c r="J9" s="1383"/>
      <c r="K9" s="3233"/>
      <c r="L9" s="1800" t="s">
        <v>2235</v>
      </c>
      <c r="M9" s="1801">
        <f>SUMPRODUCT((区片价!B245:B289=I2)*(区片价!C3:F3=E2)*(区片价!C245:F289))</f>
        <v>0</v>
      </c>
      <c r="N9" s="1802">
        <f>SUMPRODUCT((因素修正幅度!B245:B289=I2)*(因素修正幅度!C3:F3=E2)*(因素修正幅度!C245:F289))</f>
        <v>0</v>
      </c>
      <c r="O9" s="3233"/>
      <c r="P9" s="2071"/>
      <c r="Q9" s="2071"/>
      <c r="R9" s="2654">
        <v>8</v>
      </c>
      <c r="S9" s="2643"/>
      <c r="T9" s="2654" t="e">
        <f t="shared" si="0"/>
        <v>#DIV/0!</v>
      </c>
      <c r="U9" s="2643"/>
      <c r="V9" s="2654" t="e">
        <f t="shared" si="1"/>
        <v>#DIV/0!</v>
      </c>
      <c r="W9" s="3548" t="s">
        <v>2758</v>
      </c>
      <c r="X9" s="2648" t="s">
        <v>2759</v>
      </c>
      <c r="Y9" s="2784"/>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63"/>
      <c r="B10" s="1363" t="s">
        <v>931</v>
      </c>
      <c r="C10" s="1035">
        <f>SUMIF(修正!C59:C119,C8,修正!F59:F119)</f>
        <v>0</v>
      </c>
      <c r="D10" s="1035" t="s">
        <v>932</v>
      </c>
      <c r="E10" s="1035" t="e">
        <f>ROUND(C11/E7,4)</f>
        <v>#DIV/0!</v>
      </c>
      <c r="F10" s="1381" t="s">
        <v>933</v>
      </c>
      <c r="G10" s="1382"/>
      <c r="H10" s="1382"/>
      <c r="I10" s="1382"/>
      <c r="J10" s="1383"/>
      <c r="K10" s="3233"/>
      <c r="L10" s="1800" t="s">
        <v>2236</v>
      </c>
      <c r="M10" s="1801">
        <f>SUMPRODUCT((区片价!B290:B316=I2)*(区片价!C3:F3=E2)*(区片价!C290:F316))</f>
        <v>0</v>
      </c>
      <c r="N10" s="1802">
        <f>SUMPRODUCT((因素修正幅度!B290:B316=I2)*(因素修正幅度!C3:F3=E2)*(因素修正幅度!C290:F316))</f>
        <v>0</v>
      </c>
      <c r="O10" s="3233"/>
      <c r="P10" s="2071"/>
      <c r="Q10" s="2071"/>
      <c r="R10" s="2654">
        <v>9</v>
      </c>
      <c r="S10" s="2643"/>
      <c r="T10" s="2654" t="e">
        <f t="shared" si="0"/>
        <v>#DIV/0!</v>
      </c>
      <c r="U10" s="2643"/>
      <c r="V10" s="2654" t="e">
        <f t="shared" si="1"/>
        <v>#DIV/0!</v>
      </c>
      <c r="W10" s="35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63"/>
      <c r="B11" s="1384" t="s">
        <v>934</v>
      </c>
      <c r="C11" s="1036">
        <f>C10/4</f>
        <v>0</v>
      </c>
      <c r="D11" s="1036" t="s">
        <v>935</v>
      </c>
      <c r="E11" s="1036" t="e">
        <f>ROUND(C11/E7,4)</f>
        <v>#DIV/0!</v>
      </c>
      <c r="F11" s="1385" t="s">
        <v>936</v>
      </c>
      <c r="G11" s="1386"/>
      <c r="H11" s="1386"/>
      <c r="I11" s="1386"/>
      <c r="J11" s="1387"/>
      <c r="K11" s="3233"/>
      <c r="L11" s="1800" t="s">
        <v>2237</v>
      </c>
      <c r="M11" s="1801">
        <f>SUMPRODUCT((区片价!B317:B337=I2)*(区片价!C3:F3=E2)*(区片价!C317:F337))</f>
        <v>0</v>
      </c>
      <c r="N11" s="1802">
        <f>SUMPRODUCT((因素修正幅度!B317:B337=I2)*(因素修正幅度!C3:F3=E2)*(因素修正幅度!C317:F337))</f>
        <v>0</v>
      </c>
      <c r="O11" s="3233"/>
      <c r="P11" s="2071"/>
      <c r="Q11" s="2071"/>
      <c r="R11" s="2654">
        <v>10</v>
      </c>
      <c r="S11" s="2643"/>
      <c r="T11" s="2654" t="e">
        <f t="shared" si="0"/>
        <v>#DIV/0!</v>
      </c>
      <c r="U11" s="2643"/>
      <c r="V11" s="2654" t="e">
        <f t="shared" si="1"/>
        <v>#DIV/0!</v>
      </c>
      <c r="W11" s="3548"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62" t="s">
        <v>1862</v>
      </c>
      <c r="B12" s="1388" t="s">
        <v>937</v>
      </c>
      <c r="C12" s="1030">
        <f>ROUND(C15*D15*E15*F15*G15*H15*I15*J15,4)</f>
        <v>1</v>
      </c>
      <c r="D12" s="1389" t="s">
        <v>938</v>
      </c>
      <c r="E12" s="1390"/>
      <c r="F12" s="1390"/>
      <c r="G12" s="1391"/>
      <c r="H12" s="1391"/>
      <c r="I12" s="1391"/>
      <c r="J12" s="1392"/>
      <c r="K12" s="3233"/>
      <c r="L12" s="1803" t="s">
        <v>2238</v>
      </c>
      <c r="M12" s="1804">
        <f>SUMPRODUCT((区片价!B338:B344=I2)*(区片价!C3:F3=E2)*(区片价!C338:F344))</f>
        <v>0</v>
      </c>
      <c r="N12" s="1805">
        <f>SUMPRODUCT((因素修正幅度!B338:B344=I2)*(因素修正幅度!C3:F3=E2)*(因素修正幅度!C338:F344))</f>
        <v>0</v>
      </c>
      <c r="O12" s="3233"/>
      <c r="P12" s="2071"/>
      <c r="Q12" s="2071"/>
      <c r="R12" s="2654">
        <v>11</v>
      </c>
      <c r="S12" s="2643"/>
      <c r="T12" s="2654" t="e">
        <f t="shared" si="0"/>
        <v>#DIV/0!</v>
      </c>
      <c r="U12" s="2643"/>
      <c r="V12" s="2654" t="e">
        <f t="shared" si="1"/>
        <v>#DIV/0!</v>
      </c>
      <c r="W12" s="3548"/>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64"/>
      <c r="B13" s="1393" t="s">
        <v>1687</v>
      </c>
      <c r="C13" s="1394" t="s">
        <v>1688</v>
      </c>
      <c r="D13" s="1072" t="s">
        <v>1689</v>
      </c>
      <c r="E13" s="1072" t="s">
        <v>1690</v>
      </c>
      <c r="F13" s="1395" t="s">
        <v>939</v>
      </c>
      <c r="G13" s="1396" t="s">
        <v>1633</v>
      </c>
      <c r="H13" s="1397" t="s">
        <v>1633</v>
      </c>
      <c r="I13" s="1398" t="s">
        <v>1633</v>
      </c>
      <c r="J13" s="1399" t="s">
        <v>1633</v>
      </c>
      <c r="K13" s="2841"/>
      <c r="L13" s="2841"/>
      <c r="M13" s="2841"/>
      <c r="N13" s="2841"/>
      <c r="O13" s="2841"/>
      <c r="P13" s="2071"/>
      <c r="Q13" s="2071"/>
      <c r="R13" s="2654">
        <v>12</v>
      </c>
      <c r="S13" s="2643"/>
      <c r="T13" s="2654" t="e">
        <f t="shared" si="0"/>
        <v>#DIV/0!</v>
      </c>
      <c r="U13" s="2643"/>
      <c r="V13" s="2654" t="e">
        <f t="shared" si="1"/>
        <v>#DIV/0!</v>
      </c>
      <c r="W13" s="3548"/>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64"/>
      <c r="B14" s="1400"/>
      <c r="C14" s="1401"/>
      <c r="D14" s="1402"/>
      <c r="E14" s="1402"/>
      <c r="F14" s="1403"/>
      <c r="G14" s="1404" t="s">
        <v>940</v>
      </c>
      <c r="H14" s="1405"/>
      <c r="I14" s="1406"/>
      <c r="J14" s="1407"/>
      <c r="K14" s="3234"/>
      <c r="L14" s="3234"/>
      <c r="M14" s="3234"/>
      <c r="N14" s="3234"/>
      <c r="O14" s="3234"/>
      <c r="P14" s="2071"/>
      <c r="Q14" s="2071"/>
      <c r="R14" s="2654">
        <v>13</v>
      </c>
      <c r="S14" s="2643"/>
      <c r="T14" s="2654" t="e">
        <f t="shared" si="0"/>
        <v>#DIV/0!</v>
      </c>
      <c r="U14" s="2643"/>
      <c r="V14" s="2654" t="e">
        <f t="shared" si="1"/>
        <v>#DIV/0!</v>
      </c>
      <c r="W14" s="2071"/>
      <c r="X14" s="2071"/>
      <c r="Y14" s="2071"/>
      <c r="Z14" s="2071"/>
      <c r="AA14" s="2071"/>
      <c r="AB14" s="2071"/>
      <c r="AC14" s="2072"/>
    </row>
    <row r="15" spans="1:39" ht="13.5" customHeight="1" thickBot="1">
      <c r="A15" s="3565"/>
      <c r="B15" s="2846" t="s">
        <v>1691</v>
      </c>
      <c r="C15" s="1036">
        <f>IF(C14="有",1.1,1)</f>
        <v>1</v>
      </c>
      <c r="D15" s="1036">
        <f>IF(D14="有",1.1,1)</f>
        <v>1</v>
      </c>
      <c r="E15" s="1036">
        <f>IF(E14="有",1.1,1)</f>
        <v>1</v>
      </c>
      <c r="F15" s="1036">
        <f>IF(F14="500米范围内",1.2,IF(F14="500-1000米",1.1,1))</f>
        <v>1</v>
      </c>
      <c r="G15" s="2838">
        <v>1</v>
      </c>
      <c r="H15" s="2838">
        <v>1</v>
      </c>
      <c r="I15" s="2838">
        <v>1</v>
      </c>
      <c r="J15" s="2839">
        <v>1</v>
      </c>
      <c r="K15" s="2842"/>
      <c r="L15" s="2842"/>
      <c r="M15" s="2842"/>
      <c r="N15" s="2842"/>
      <c r="O15" s="2842"/>
      <c r="P15" s="2071"/>
      <c r="Q15" s="2071"/>
      <c r="R15" s="2654">
        <v>14</v>
      </c>
      <c r="S15" s="2643"/>
      <c r="T15" s="2654" t="e">
        <f t="shared" si="0"/>
        <v>#DIV/0!</v>
      </c>
      <c r="U15" s="2643"/>
      <c r="V15" s="2654" t="e">
        <f t="shared" si="1"/>
        <v>#DIV/0!</v>
      </c>
      <c r="W15" s="2071"/>
      <c r="X15" s="2071"/>
      <c r="Y15" s="2071"/>
      <c r="Z15" s="2071"/>
      <c r="AA15" s="2071"/>
      <c r="AB15" s="2071"/>
      <c r="AC15" s="2072"/>
    </row>
    <row r="16" spans="1:39" ht="24.6" customHeight="1">
      <c r="A16" s="3562" t="s">
        <v>1829</v>
      </c>
      <c r="B16" s="1376" t="s">
        <v>941</v>
      </c>
      <c r="C16" s="1039" t="e">
        <f>ROUND(IF(F17="与级别开发程度一致",0,(G17-E17)/C17),0)</f>
        <v>#DIV/0!</v>
      </c>
      <c r="D16" s="3556" t="s">
        <v>945</v>
      </c>
      <c r="E16" s="3557"/>
      <c r="F16" s="3556" t="s">
        <v>942</v>
      </c>
      <c r="G16" s="3557"/>
      <c r="H16" s="1408"/>
      <c r="I16" s="1408"/>
      <c r="J16" s="1408"/>
      <c r="K16" s="1408"/>
      <c r="L16" s="1408"/>
      <c r="M16" s="1408"/>
      <c r="N16" s="1408"/>
      <c r="O16" s="2851"/>
      <c r="P16" s="2071"/>
      <c r="Q16" s="2074"/>
      <c r="R16" s="2654">
        <v>15</v>
      </c>
      <c r="S16" s="2643"/>
      <c r="T16" s="2654" t="e">
        <f t="shared" si="0"/>
        <v>#DIV/0!</v>
      </c>
      <c r="U16" s="2643"/>
      <c r="V16" s="2654" t="e">
        <f t="shared" si="1"/>
        <v>#DIV/0!</v>
      </c>
      <c r="W16" s="2074"/>
      <c r="X16" s="2074"/>
      <c r="Y16" s="2074"/>
      <c r="Z16" s="2074"/>
      <c r="AA16" s="2074"/>
      <c r="AB16" s="2074"/>
      <c r="AC16" s="2075"/>
    </row>
    <row r="17" spans="1:40" ht="13.5" thickBot="1">
      <c r="A17" s="3566"/>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5">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7" t="s">
        <v>1820</v>
      </c>
      <c r="B18" s="2847" t="s">
        <v>946</v>
      </c>
      <c r="C18" s="2848">
        <f>SUMIF(修正!C18:C39,E3,修正!E18:E39)</f>
        <v>0</v>
      </c>
      <c r="D18" s="2849"/>
      <c r="E18" s="2850"/>
      <c r="F18" s="2833"/>
      <c r="G18" s="2832"/>
      <c r="H18" s="2832"/>
      <c r="I18" s="2832"/>
      <c r="J18" s="2840"/>
      <c r="K18" s="3232"/>
      <c r="L18" s="2832"/>
      <c r="M18" s="2832"/>
      <c r="N18" s="2832"/>
      <c r="O18" s="2832"/>
      <c r="P18" s="3237"/>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ROUND(IF(H19="按公示增长率计算",SUMPRODUCT((地价!A3:A36=YEAR(G19)&amp;"-"&amp;ROUNDUP(MONTH(G19)/3,0))*(地价!X2:AB2=E2)*(地价!X3:AB36)),IF(H19="地价指数",M20/M19,(1+I19)^O19)),4)</f>
        <v>0</v>
      </c>
      <c r="D19" s="1415" t="s">
        <v>948</v>
      </c>
      <c r="E19" s="1041">
        <v>41640</v>
      </c>
      <c r="F19" s="1415" t="s">
        <v>949</v>
      </c>
      <c r="G19" s="1042">
        <f>'数据-取费表'!B2</f>
        <v>44499</v>
      </c>
      <c r="H19" s="1416" t="s">
        <v>2955</v>
      </c>
      <c r="I19" s="2503" t="str">
        <f>IF(H19="季度增幅（自定义）",SUMIF(N21:N24,E2,O21:O24),"")</f>
        <v/>
      </c>
      <c r="J19" s="1412"/>
      <c r="K19" s="3232"/>
      <c r="L19" s="2751" t="s">
        <v>2820</v>
      </c>
      <c r="M19" s="2752">
        <f>ROUND(SUMIF(地价!B2:F2,E2,地价!B36:F36),0)</f>
        <v>0</v>
      </c>
      <c r="N19" s="2505" t="s">
        <v>1667</v>
      </c>
      <c r="O19" s="2504">
        <f>ROUNDDOWN(DATEDIF(E19,G19,"M")/3,0)</f>
        <v>31</v>
      </c>
      <c r="P19" s="2075"/>
      <c r="Q19" s="2642"/>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7" t="s">
        <v>1827</v>
      </c>
      <c r="B20" s="2498" t="s">
        <v>962</v>
      </c>
      <c r="C20" s="2499" t="e">
        <f>ROUND(POWER(1+G20,J20-I20)*(POWER(1+G20,I20)-1)/(POWER(1+G20,J20)-1),4)</f>
        <v>#DIV/0!</v>
      </c>
      <c r="D20" s="2500" t="s">
        <v>963</v>
      </c>
      <c r="E20" s="2781">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2"/>
      <c r="L20" s="2753" t="s">
        <v>2821</v>
      </c>
      <c r="M20" s="2835">
        <f>ROUND(SUMPRODUCT((地价!A4:A36=YEAR(G19)&amp;"-"&amp;ROUNDUP(MONTH(G19)/3,0))*(地价!B2:F2=E2)*(地价!B4:F36)),0)</f>
        <v>0</v>
      </c>
      <c r="N20" s="2508" t="s">
        <v>2625</v>
      </c>
      <c r="O20" s="2506" t="s">
        <v>2624</v>
      </c>
      <c r="P20" s="2507" t="s">
        <v>2630</v>
      </c>
      <c r="Q20" s="2642"/>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2"/>
      <c r="L21" s="1422"/>
      <c r="M21" s="1422"/>
      <c r="N21" s="1419" t="s">
        <v>966</v>
      </c>
      <c r="O21" s="1482"/>
      <c r="P21" s="2495">
        <f>SUMPRODUCT((地价!A3:A36=YEAR(G19)&amp;"-"&amp;ROUNDUP(MONTH(G19)/3,0))*(地价!AD2:AH2=N21)*(地价!AD3:AH36))</f>
        <v>1.0500000000000001E-2</v>
      </c>
      <c r="Q21" s="2642"/>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8"/>
      <c r="L22" s="1422"/>
      <c r="M22" s="1422"/>
      <c r="N22" s="1419" t="s">
        <v>969</v>
      </c>
      <c r="O22" s="1482"/>
      <c r="P22" s="2495">
        <f>SUMPRODUCT((地价!A3:A36=YEAR(G19)&amp;"-"&amp;ROUNDUP(MONTH(G19)/3,0))*(地价!AD2:AH2=N22)*(地价!AD3:AH36))</f>
        <v>1.0500000000000001E-2</v>
      </c>
      <c r="Q22" s="2642"/>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9"/>
      <c r="L23" s="1350"/>
      <c r="M23" s="1350"/>
      <c r="N23" s="1419" t="s">
        <v>914</v>
      </c>
      <c r="O23" s="1482"/>
      <c r="P23" s="2495">
        <f>SUMPRODUCT((地价!A3:A36=YEAR(G19)&amp;"-"&amp;ROUNDUP(MONTH(G19)/3,0))*(地价!AD2:AH2=N23)*(地价!AD3:AH36))</f>
        <v>1.83E-2</v>
      </c>
      <c r="Q23" s="2642"/>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39"/>
      <c r="L24" s="1422"/>
      <c r="M24" s="1422"/>
      <c r="N24" s="1419" t="s">
        <v>972</v>
      </c>
      <c r="O24" s="2834"/>
      <c r="P24" s="2495">
        <f>SUMPRODUCT((地价!A3:A36=YEAR(G19)&amp;"-"&amp;ROUNDUP(MONTH(G19)/3,0))*(地价!AD2:AH2=N24)*(地价!AD3:AH36))</f>
        <v>1.2200000000000001E-2</v>
      </c>
      <c r="Q24" s="2642"/>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3"/>
      <c r="L25" s="2077"/>
      <c r="M25" s="2077"/>
      <c r="N25" s="2836" t="s">
        <v>2628</v>
      </c>
      <c r="O25" s="2837"/>
      <c r="P25" s="2303">
        <f>SUMPRODUCT((地价!A3:A36=YEAR(G19)&amp;"-"&amp;ROUNDUP(MONTH(G19)/3,0))*(地价!AD2:AH2=N25)*(地价!AD3:AH36))</f>
        <v>1.66E-2</v>
      </c>
      <c r="Q25" s="2642"/>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5" t="e">
        <f>IF(B21="容积率修正",E29+SUM(E33:E39),SUM(V2:V16)+SUM(E33:E39))</f>
        <v>#DIV/0!</v>
      </c>
      <c r="D26" s="1430"/>
      <c r="E26" s="1405"/>
      <c r="F26" s="1431"/>
      <c r="G26" s="1405"/>
      <c r="H26" s="1405"/>
      <c r="I26" s="1405"/>
      <c r="J26" s="1432"/>
      <c r="K26" s="3233"/>
      <c r="L26" s="1529" t="s">
        <v>889</v>
      </c>
      <c r="M26" s="1377" t="s">
        <v>974</v>
      </c>
      <c r="N26" s="1377" t="s">
        <v>975</v>
      </c>
      <c r="O26" s="1377" t="s">
        <v>893</v>
      </c>
      <c r="P26" s="1417" t="s">
        <v>976</v>
      </c>
      <c r="Q26" s="2642"/>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3"/>
      <c r="L27" s="1409" t="s">
        <v>978</v>
      </c>
      <c r="M27" s="1034">
        <v>0.25</v>
      </c>
      <c r="N27" s="1034">
        <v>0.2</v>
      </c>
      <c r="O27" s="1034">
        <v>0.15</v>
      </c>
      <c r="P27" s="1479">
        <v>0.1</v>
      </c>
      <c r="Q27" s="2077"/>
      <c r="R27" s="2642"/>
      <c r="S27" s="2642"/>
      <c r="T27" s="2642"/>
      <c r="U27" s="2642"/>
      <c r="V27" s="2642"/>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3"/>
      <c r="L28" s="1410" t="s">
        <v>964</v>
      </c>
      <c r="M28" s="1480">
        <f>ROUND($E$20*(1+M27),3)</f>
        <v>5.3999999999999999E-2</v>
      </c>
      <c r="N28" s="1480">
        <f>ROUND($E$20*(1+N27),3)</f>
        <v>5.1999999999999998E-2</v>
      </c>
      <c r="O28" s="1480">
        <f>ROUND($E$20*(1+O27),3)</f>
        <v>0.05</v>
      </c>
      <c r="P28" s="1481">
        <f>ROUND($E$20*(1+P27),3)</f>
        <v>4.8000000000000001E-2</v>
      </c>
      <c r="Q28" s="2077"/>
      <c r="R28" s="2642"/>
      <c r="S28" s="2642"/>
      <c r="T28" s="2642"/>
      <c r="U28" s="2642"/>
      <c r="V28" s="2642"/>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0"/>
      <c r="L29" s="3240"/>
      <c r="M29" s="3240"/>
      <c r="N29" s="3240"/>
      <c r="O29" s="3240"/>
      <c r="P29" s="2071"/>
      <c r="Q29" s="2077"/>
      <c r="R29" s="2077"/>
      <c r="S29" s="2077"/>
      <c r="T29" s="2077"/>
      <c r="U29" s="2077"/>
      <c r="V29" s="2077"/>
      <c r="W29" s="2642"/>
      <c r="X29" s="2642"/>
      <c r="Y29" s="2642"/>
      <c r="Z29" s="2642"/>
      <c r="AA29" s="2642"/>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3"/>
      <c r="L30" s="3233"/>
      <c r="M30" s="3233"/>
      <c r="N30" s="3233"/>
      <c r="O30" s="3233"/>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3"/>
      <c r="L31" s="3233"/>
      <c r="M31" s="3233"/>
      <c r="N31" s="3233"/>
      <c r="O31" s="3233"/>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1"/>
      <c r="L32" s="3241"/>
      <c r="M32" s="3241"/>
      <c r="N32" s="3241"/>
      <c r="O32" s="3241"/>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58"/>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58" t="s">
        <v>2994</v>
      </c>
      <c r="K33" s="2841"/>
      <c r="L33" s="2841"/>
      <c r="M33" s="2841"/>
      <c r="N33" s="2841"/>
      <c r="O33" s="2841"/>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59"/>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59"/>
      <c r="K34" s="2841"/>
      <c r="L34" s="2841"/>
      <c r="M34" s="2841"/>
      <c r="N34" s="2841"/>
      <c r="O34" s="2841"/>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59"/>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59"/>
      <c r="K35" s="2841"/>
      <c r="L35" s="2841"/>
      <c r="M35" s="2841"/>
      <c r="N35" s="2841"/>
      <c r="O35" s="2841"/>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60"/>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60"/>
      <c r="K36" s="2841"/>
      <c r="L36" s="2841"/>
      <c r="M36" s="2841"/>
      <c r="N36" s="2841"/>
      <c r="O36" s="2841"/>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1" t="s">
        <v>2949</v>
      </c>
      <c r="C41" s="828" t="e">
        <f>ROUND(POWER(1+E41,H41-G41)*(POWER(1+E41,G41)-1)/(POWER(1+E41,H41)-1),4)</f>
        <v>#DIV/0!</v>
      </c>
      <c r="D41" s="372" t="s">
        <v>2947</v>
      </c>
      <c r="E41" s="2830">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3"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2"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3"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2"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2"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2"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67" t="s">
        <v>1624</v>
      </c>
      <c r="B90" s="3567"/>
      <c r="C90" s="3567"/>
      <c r="D90" s="3567"/>
      <c r="E90" s="3567"/>
      <c r="F90" s="3567"/>
      <c r="G90" s="3567"/>
      <c r="H90" s="3567"/>
      <c r="I90" s="3567"/>
      <c r="J90" s="3567"/>
      <c r="K90" s="2306"/>
      <c r="L90" s="2306"/>
      <c r="M90" s="2306"/>
      <c r="N90" s="2306"/>
    </row>
    <row r="91" spans="1:40">
      <c r="A91" s="3568" t="s">
        <v>1434</v>
      </c>
      <c r="B91" s="3568" t="s">
        <v>1625</v>
      </c>
      <c r="C91" s="1123" t="s">
        <v>1626</v>
      </c>
      <c r="D91" s="1124"/>
      <c r="E91" s="1124"/>
      <c r="F91" s="1124"/>
      <c r="G91" s="1124"/>
      <c r="H91" s="1124"/>
      <c r="I91" s="1124"/>
      <c r="J91" s="1125"/>
      <c r="K91" s="1117"/>
      <c r="L91" s="1117"/>
      <c r="M91" s="1117"/>
      <c r="N91" s="1117"/>
    </row>
    <row r="92" spans="1:40">
      <c r="A92" s="3568"/>
      <c r="B92" s="356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51"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5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5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5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5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5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5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5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51"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52"/>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52"/>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52"/>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52"/>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52"/>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52"/>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52"/>
      <c r="B108" s="355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53"/>
      <c r="B109" s="3555"/>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61" t="s">
        <v>1630</v>
      </c>
      <c r="B110" s="3561"/>
      <c r="C110" s="3561"/>
      <c r="D110" s="3561"/>
      <c r="E110" s="3561"/>
      <c r="F110" s="3561"/>
      <c r="G110" s="3561"/>
      <c r="H110" s="3561"/>
      <c r="I110" s="3561"/>
      <c r="J110" s="3561"/>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3" t="s">
        <v>2952</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68" t="s">
        <v>998</v>
      </c>
      <c r="B18" s="1137" t="s">
        <v>1437</v>
      </c>
      <c r="C18" s="1114" t="s">
        <v>1438</v>
      </c>
      <c r="D18" s="1115"/>
      <c r="E18" s="1137">
        <v>1</v>
      </c>
      <c r="F18" s="1116" t="s">
        <v>1439</v>
      </c>
      <c r="G18" s="1117"/>
      <c r="H18" s="1088"/>
      <c r="I18" s="1088"/>
    </row>
    <row r="19" spans="1:9" s="1530" customFormat="1" ht="19.5" customHeight="1">
      <c r="A19" s="3568"/>
      <c r="B19" s="3568" t="s">
        <v>1440</v>
      </c>
      <c r="C19" s="1114" t="s">
        <v>1441</v>
      </c>
      <c r="D19" s="1115"/>
      <c r="E19" s="1137">
        <v>0.9</v>
      </c>
      <c r="F19" s="1116" t="s">
        <v>1442</v>
      </c>
      <c r="G19" s="1117"/>
      <c r="H19" s="1088"/>
      <c r="I19" s="1088"/>
    </row>
    <row r="20" spans="1:9" s="1530" customFormat="1" ht="19.5" customHeight="1">
      <c r="A20" s="3568"/>
      <c r="B20" s="3568"/>
      <c r="C20" s="1114" t="s">
        <v>1443</v>
      </c>
      <c r="D20" s="1115"/>
      <c r="E20" s="1137">
        <v>1.1000000000000001</v>
      </c>
      <c r="F20" s="1116" t="s">
        <v>1444</v>
      </c>
      <c r="G20" s="1117"/>
      <c r="H20" s="1088"/>
      <c r="I20" s="1088"/>
    </row>
    <row r="21" spans="1:9" s="1530" customFormat="1" ht="19.5" customHeight="1">
      <c r="A21" s="3568"/>
      <c r="B21" s="3568"/>
      <c r="C21" s="1114" t="s">
        <v>1445</v>
      </c>
      <c r="D21" s="1115"/>
      <c r="E21" s="1137">
        <v>0.8</v>
      </c>
      <c r="F21" s="1116" t="s">
        <v>1446</v>
      </c>
      <c r="G21" s="1117"/>
      <c r="H21" s="1088"/>
      <c r="I21" s="1088"/>
    </row>
    <row r="22" spans="1:9" s="1530" customFormat="1" ht="19.5" customHeight="1">
      <c r="A22" s="3568"/>
      <c r="B22" s="3568"/>
      <c r="C22" s="1114" t="s">
        <v>1447</v>
      </c>
      <c r="D22" s="1115"/>
      <c r="E22" s="1137">
        <v>0.5</v>
      </c>
      <c r="F22" s="1116"/>
      <c r="G22" s="1117"/>
      <c r="H22" s="1088"/>
      <c r="I22" s="1088"/>
    </row>
    <row r="23" spans="1:9" s="1530" customFormat="1" ht="19.5" customHeight="1">
      <c r="A23" s="3568" t="s">
        <v>1020</v>
      </c>
      <c r="B23" s="1137" t="s">
        <v>1437</v>
      </c>
      <c r="C23" s="1114" t="s">
        <v>1448</v>
      </c>
      <c r="D23" s="1115"/>
      <c r="E23" s="1137">
        <v>1</v>
      </c>
      <c r="F23" s="1116" t="s">
        <v>1449</v>
      </c>
      <c r="G23" s="1117"/>
      <c r="H23" s="1088"/>
      <c r="I23" s="1088"/>
    </row>
    <row r="24" spans="1:9" s="1530" customFormat="1" ht="19.5" customHeight="1">
      <c r="A24" s="3568"/>
      <c r="B24" s="3568" t="s">
        <v>1440</v>
      </c>
      <c r="C24" s="1114" t="s">
        <v>1450</v>
      </c>
      <c r="D24" s="1115"/>
      <c r="E24" s="1137">
        <v>0.5</v>
      </c>
      <c r="F24" s="1116"/>
      <c r="G24" s="1117"/>
      <c r="H24" s="1088"/>
      <c r="I24" s="1088"/>
    </row>
    <row r="25" spans="1:9" s="1530" customFormat="1" ht="19.5" customHeight="1">
      <c r="A25" s="3568"/>
      <c r="B25" s="3568"/>
      <c r="C25" s="1114" t="s">
        <v>1451</v>
      </c>
      <c r="D25" s="1115"/>
      <c r="E25" s="1137">
        <v>1.1000000000000001</v>
      </c>
      <c r="F25" s="1116"/>
      <c r="G25" s="1117"/>
      <c r="H25" s="1088"/>
      <c r="I25" s="1088"/>
    </row>
    <row r="26" spans="1:9" s="1530" customFormat="1" ht="19.5" customHeight="1">
      <c r="A26" s="3568"/>
      <c r="B26" s="3568"/>
      <c r="C26" s="1114" t="s">
        <v>1452</v>
      </c>
      <c r="D26" s="1115"/>
      <c r="E26" s="1137">
        <v>1.1000000000000001</v>
      </c>
      <c r="F26" s="1116"/>
      <c r="G26" s="1117"/>
      <c r="H26" s="1088"/>
      <c r="I26" s="1088"/>
    </row>
    <row r="27" spans="1:9" s="1530" customFormat="1" ht="19.5" customHeight="1">
      <c r="A27" s="3568"/>
      <c r="B27" s="3568"/>
      <c r="C27" s="1114" t="s">
        <v>1453</v>
      </c>
      <c r="D27" s="1115"/>
      <c r="E27" s="1137">
        <v>0.9</v>
      </c>
      <c r="F27" s="1116" t="s">
        <v>1454</v>
      </c>
      <c r="G27" s="1117"/>
      <c r="H27" s="1088"/>
      <c r="I27" s="1088"/>
    </row>
    <row r="28" spans="1:9" s="1530" customFormat="1" ht="19.5" customHeight="1">
      <c r="A28" s="3568"/>
      <c r="B28" s="3568"/>
      <c r="C28" s="1114" t="s">
        <v>1455</v>
      </c>
      <c r="D28" s="1115"/>
      <c r="E28" s="1137">
        <v>0.9</v>
      </c>
      <c r="F28" s="1116" t="s">
        <v>1456</v>
      </c>
      <c r="G28" s="1117"/>
      <c r="H28" s="1088"/>
      <c r="I28" s="1088"/>
    </row>
    <row r="29" spans="1:9" s="1530" customFormat="1" ht="19.5" customHeight="1">
      <c r="A29" s="3568"/>
      <c r="B29" s="3568"/>
      <c r="C29" s="1114" t="s">
        <v>1457</v>
      </c>
      <c r="D29" s="1115"/>
      <c r="E29" s="1137">
        <v>0.9</v>
      </c>
      <c r="F29" s="1116" t="s">
        <v>1458</v>
      </c>
      <c r="G29" s="1117"/>
      <c r="H29" s="1088"/>
      <c r="I29" s="1088"/>
    </row>
    <row r="30" spans="1:9" s="1530" customFormat="1" ht="19.5" customHeight="1">
      <c r="A30" s="3568"/>
      <c r="B30" s="3568"/>
      <c r="C30" s="1114" t="s">
        <v>1459</v>
      </c>
      <c r="D30" s="1115"/>
      <c r="E30" s="1137">
        <v>0.9</v>
      </c>
      <c r="F30" s="1116" t="s">
        <v>1460</v>
      </c>
      <c r="G30" s="1117"/>
      <c r="H30" s="1088"/>
      <c r="I30" s="1088"/>
    </row>
    <row r="31" spans="1:9" s="1530" customFormat="1" ht="19.5" customHeight="1">
      <c r="A31" s="3568"/>
      <c r="B31" s="3568"/>
      <c r="C31" s="1114" t="s">
        <v>1461</v>
      </c>
      <c r="D31" s="1115"/>
      <c r="E31" s="1137">
        <v>0.8</v>
      </c>
      <c r="F31" s="1116" t="s">
        <v>1462</v>
      </c>
      <c r="G31" s="1117"/>
      <c r="H31" s="1088"/>
      <c r="I31" s="1088"/>
    </row>
    <row r="32" spans="1:9" s="1530" customFormat="1" ht="19.5" customHeight="1">
      <c r="A32" s="3568"/>
      <c r="B32" s="3568"/>
      <c r="C32" s="1114" t="s">
        <v>1463</v>
      </c>
      <c r="D32" s="1115"/>
      <c r="E32" s="1137">
        <v>0.8</v>
      </c>
      <c r="F32" s="1116" t="s">
        <v>1464</v>
      </c>
      <c r="G32" s="1117"/>
      <c r="H32" s="1088"/>
      <c r="I32" s="1088"/>
    </row>
    <row r="33" spans="1:9" s="1530" customFormat="1" ht="19.5" customHeight="1">
      <c r="A33" s="3568" t="s">
        <v>1465</v>
      </c>
      <c r="B33" s="1137" t="s">
        <v>1437</v>
      </c>
      <c r="C33" s="1114" t="s">
        <v>1466</v>
      </c>
      <c r="D33" s="1115"/>
      <c r="E33" s="1137">
        <v>1</v>
      </c>
      <c r="F33" s="1116" t="s">
        <v>1467</v>
      </c>
      <c r="G33" s="1117"/>
      <c r="H33" s="1088"/>
      <c r="I33" s="1088"/>
    </row>
    <row r="34" spans="1:9" s="1530" customFormat="1" ht="19.5" customHeight="1">
      <c r="A34" s="3568"/>
      <c r="B34" s="1137" t="s">
        <v>1440</v>
      </c>
      <c r="C34" s="1114" t="s">
        <v>1468</v>
      </c>
      <c r="D34" s="1115"/>
      <c r="E34" s="1137">
        <v>1.5</v>
      </c>
      <c r="F34" s="1116" t="s">
        <v>1469</v>
      </c>
      <c r="G34" s="1117"/>
      <c r="H34" s="1088"/>
      <c r="I34" s="1088"/>
    </row>
    <row r="35" spans="1:9" s="1530" customFormat="1" ht="19.5" customHeight="1">
      <c r="A35" s="3568" t="s">
        <v>1423</v>
      </c>
      <c r="B35" s="1137" t="s">
        <v>1437</v>
      </c>
      <c r="C35" s="1114" t="s">
        <v>1470</v>
      </c>
      <c r="D35" s="1115"/>
      <c r="E35" s="1137">
        <v>1</v>
      </c>
      <c r="F35" s="1116" t="s">
        <v>1471</v>
      </c>
      <c r="G35" s="1117"/>
      <c r="H35" s="1088"/>
      <c r="I35" s="1088"/>
    </row>
    <row r="36" spans="1:9" s="1530" customFormat="1" ht="19.5" customHeight="1">
      <c r="A36" s="3568"/>
      <c r="B36" s="3568" t="s">
        <v>1440</v>
      </c>
      <c r="C36" s="1114" t="s">
        <v>1472</v>
      </c>
      <c r="D36" s="1115"/>
      <c r="E36" s="1137">
        <v>1</v>
      </c>
      <c r="F36" s="1116" t="s">
        <v>1473</v>
      </c>
      <c r="G36" s="1117"/>
      <c r="H36" s="1088"/>
      <c r="I36" s="1088"/>
    </row>
    <row r="37" spans="1:9" s="1530" customFormat="1" ht="19.5" customHeight="1">
      <c r="A37" s="3568"/>
      <c r="B37" s="3568"/>
      <c r="C37" s="1114" t="s">
        <v>1474</v>
      </c>
      <c r="D37" s="1115"/>
      <c r="E37" s="1137">
        <v>1.5</v>
      </c>
      <c r="F37" s="1116" t="s">
        <v>1475</v>
      </c>
      <c r="G37" s="1117"/>
      <c r="H37" s="1088"/>
      <c r="I37" s="1088"/>
    </row>
    <row r="38" spans="1:9" s="1530" customFormat="1" ht="19.5" customHeight="1">
      <c r="A38" s="3568"/>
      <c r="B38" s="3568"/>
      <c r="C38" s="1114" t="s">
        <v>1476</v>
      </c>
      <c r="D38" s="1115"/>
      <c r="E38" s="1137">
        <v>1</v>
      </c>
      <c r="F38" s="1116" t="s">
        <v>1477</v>
      </c>
      <c r="G38" s="1117"/>
      <c r="H38" s="1088"/>
      <c r="I38" s="1088"/>
    </row>
    <row r="39" spans="1:9" s="1530" customFormat="1" ht="19.5" customHeight="1">
      <c r="A39" s="3568"/>
      <c r="B39" s="356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8" t="s">
        <v>1492</v>
      </c>
      <c r="C61" s="1051" t="s">
        <v>1493</v>
      </c>
      <c r="D61" s="1051" t="s">
        <v>1494</v>
      </c>
      <c r="E61" s="1122">
        <v>0.5</v>
      </c>
      <c r="F61" s="1137">
        <v>80</v>
      </c>
      <c r="H61" s="1088">
        <f>SUMIF(C59:C119,基准地价!C8,E59:E119)</f>
        <v>0</v>
      </c>
    </row>
    <row r="62" spans="1:8" s="1088" customFormat="1" ht="24">
      <c r="A62" s="1137">
        <v>2</v>
      </c>
      <c r="B62" s="3568"/>
      <c r="C62" s="1051" t="s">
        <v>1495</v>
      </c>
      <c r="D62" s="1051" t="s">
        <v>1496</v>
      </c>
      <c r="E62" s="1122">
        <v>0.5</v>
      </c>
      <c r="F62" s="1137">
        <v>80</v>
      </c>
    </row>
    <row r="63" spans="1:8" s="1088" customFormat="1" ht="36">
      <c r="A63" s="1137">
        <v>3</v>
      </c>
      <c r="B63" s="3568"/>
      <c r="C63" s="1051" t="s">
        <v>1497</v>
      </c>
      <c r="D63" s="1051" t="s">
        <v>1498</v>
      </c>
      <c r="E63" s="1122">
        <v>0.5</v>
      </c>
      <c r="F63" s="1137">
        <v>80</v>
      </c>
    </row>
    <row r="64" spans="1:8" s="1088" customFormat="1" ht="36">
      <c r="A64" s="1137">
        <v>4</v>
      </c>
      <c r="B64" s="3568"/>
      <c r="C64" s="1051" t="s">
        <v>1499</v>
      </c>
      <c r="D64" s="1051" t="s">
        <v>1500</v>
      </c>
      <c r="E64" s="1122">
        <v>0.4</v>
      </c>
      <c r="F64" s="1137">
        <v>60</v>
      </c>
    </row>
    <row r="65" spans="1:6" s="1088" customFormat="1" ht="36">
      <c r="A65" s="1137">
        <v>5</v>
      </c>
      <c r="B65" s="3568"/>
      <c r="C65" s="1051" t="s">
        <v>1501</v>
      </c>
      <c r="D65" s="1051" t="s">
        <v>1502</v>
      </c>
      <c r="E65" s="1122">
        <v>0.2</v>
      </c>
      <c r="F65" s="1137">
        <v>30</v>
      </c>
    </row>
    <row r="66" spans="1:6" s="1088" customFormat="1" ht="36">
      <c r="A66" s="1137">
        <v>6</v>
      </c>
      <c r="B66" s="3568"/>
      <c r="C66" s="1051" t="s">
        <v>1503</v>
      </c>
      <c r="D66" s="1051" t="s">
        <v>1504</v>
      </c>
      <c r="E66" s="1122">
        <v>0.3</v>
      </c>
      <c r="F66" s="1137">
        <v>50</v>
      </c>
    </row>
    <row r="67" spans="1:6" s="1088" customFormat="1" ht="36">
      <c r="A67" s="1137">
        <v>7</v>
      </c>
      <c r="B67" s="3568"/>
      <c r="C67" s="1051" t="s">
        <v>1505</v>
      </c>
      <c r="D67" s="1051" t="s">
        <v>1506</v>
      </c>
      <c r="E67" s="1122">
        <v>0.2</v>
      </c>
      <c r="F67" s="1137">
        <v>30</v>
      </c>
    </row>
    <row r="68" spans="1:6" s="1088" customFormat="1" ht="36">
      <c r="A68" s="1137">
        <v>8</v>
      </c>
      <c r="B68" s="3568"/>
      <c r="C68" s="1051" t="s">
        <v>1507</v>
      </c>
      <c r="D68" s="1051" t="s">
        <v>1508</v>
      </c>
      <c r="E68" s="1122">
        <v>0.2</v>
      </c>
      <c r="F68" s="1137">
        <v>30</v>
      </c>
    </row>
    <row r="69" spans="1:6" s="1088" customFormat="1" ht="36">
      <c r="A69" s="1137">
        <v>9</v>
      </c>
      <c r="B69" s="3568"/>
      <c r="C69" s="1051" t="s">
        <v>1509</v>
      </c>
      <c r="D69" s="1051" t="s">
        <v>1510</v>
      </c>
      <c r="E69" s="1122">
        <v>0.2</v>
      </c>
      <c r="F69" s="1137">
        <v>30</v>
      </c>
    </row>
    <row r="70" spans="1:6" s="1088" customFormat="1" ht="48">
      <c r="A70" s="1137">
        <v>10</v>
      </c>
      <c r="B70" s="3568"/>
      <c r="C70" s="1051" t="s">
        <v>1511</v>
      </c>
      <c r="D70" s="1051" t="s">
        <v>1512</v>
      </c>
      <c r="E70" s="1122">
        <v>0.2</v>
      </c>
      <c r="F70" s="1137">
        <v>30</v>
      </c>
    </row>
    <row r="71" spans="1:6" s="1088" customFormat="1" ht="48">
      <c r="A71" s="1137">
        <v>11</v>
      </c>
      <c r="B71" s="3568"/>
      <c r="C71" s="1051" t="s">
        <v>1513</v>
      </c>
      <c r="D71" s="1051" t="s">
        <v>1514</v>
      </c>
      <c r="E71" s="1122">
        <v>0.2</v>
      </c>
      <c r="F71" s="1137">
        <v>30</v>
      </c>
    </row>
    <row r="72" spans="1:6" s="1088" customFormat="1" ht="36">
      <c r="A72" s="1137">
        <v>12</v>
      </c>
      <c r="B72" s="3568"/>
      <c r="C72" s="1051" t="s">
        <v>1515</v>
      </c>
      <c r="D72" s="1051" t="s">
        <v>1516</v>
      </c>
      <c r="E72" s="1122">
        <v>0.5</v>
      </c>
      <c r="F72" s="1137">
        <v>80</v>
      </c>
    </row>
    <row r="73" spans="1:6" s="1088" customFormat="1" ht="24">
      <c r="A73" s="1137">
        <v>13</v>
      </c>
      <c r="B73" s="3568"/>
      <c r="C73" s="1051" t="s">
        <v>1517</v>
      </c>
      <c r="D73" s="1051" t="s">
        <v>1518</v>
      </c>
      <c r="E73" s="1122">
        <v>0.4</v>
      </c>
      <c r="F73" s="1137">
        <v>60</v>
      </c>
    </row>
    <row r="74" spans="1:6" s="1088" customFormat="1" ht="24">
      <c r="A74" s="1137">
        <v>14</v>
      </c>
      <c r="B74" s="3568"/>
      <c r="C74" s="1051" t="s">
        <v>1519</v>
      </c>
      <c r="D74" s="1051" t="s">
        <v>1520</v>
      </c>
      <c r="E74" s="1122">
        <v>0.2</v>
      </c>
      <c r="F74" s="1137">
        <v>30</v>
      </c>
    </row>
    <row r="75" spans="1:6" s="1088" customFormat="1" ht="24">
      <c r="A75" s="1137">
        <v>15</v>
      </c>
      <c r="B75" s="3568"/>
      <c r="C75" s="1051" t="s">
        <v>1521</v>
      </c>
      <c r="D75" s="1051" t="s">
        <v>1522</v>
      </c>
      <c r="E75" s="1122">
        <v>0.2</v>
      </c>
      <c r="F75" s="1137">
        <v>30</v>
      </c>
    </row>
    <row r="76" spans="1:6" s="1088" customFormat="1" ht="24">
      <c r="A76" s="1137">
        <v>16</v>
      </c>
      <c r="B76" s="3568" t="s">
        <v>1523</v>
      </c>
      <c r="C76" s="1051" t="s">
        <v>1524</v>
      </c>
      <c r="D76" s="1051" t="s">
        <v>1525</v>
      </c>
      <c r="E76" s="1122">
        <v>0.5</v>
      </c>
      <c r="F76" s="1137">
        <v>80</v>
      </c>
    </row>
    <row r="77" spans="1:6" s="1088" customFormat="1" ht="24">
      <c r="A77" s="1137">
        <v>17</v>
      </c>
      <c r="B77" s="3568"/>
      <c r="C77" s="1051" t="s">
        <v>1526</v>
      </c>
      <c r="D77" s="1051" t="s">
        <v>1527</v>
      </c>
      <c r="E77" s="1122">
        <v>0.5</v>
      </c>
      <c r="F77" s="1137">
        <v>80</v>
      </c>
    </row>
    <row r="78" spans="1:6" s="1088" customFormat="1" ht="24">
      <c r="A78" s="1137">
        <v>18</v>
      </c>
      <c r="B78" s="3568"/>
      <c r="C78" s="1051" t="s">
        <v>1528</v>
      </c>
      <c r="D78" s="1051" t="s">
        <v>1529</v>
      </c>
      <c r="E78" s="1122">
        <v>0.2</v>
      </c>
      <c r="F78" s="1137">
        <v>30</v>
      </c>
    </row>
    <row r="79" spans="1:6" s="1088" customFormat="1" ht="24">
      <c r="A79" s="1137">
        <v>19</v>
      </c>
      <c r="B79" s="3568"/>
      <c r="C79" s="1051" t="s">
        <v>1530</v>
      </c>
      <c r="D79" s="1051" t="s">
        <v>1531</v>
      </c>
      <c r="E79" s="1122">
        <v>0.5</v>
      </c>
      <c r="F79" s="1137">
        <v>80</v>
      </c>
    </row>
    <row r="80" spans="1:6" s="1088" customFormat="1" ht="36">
      <c r="A80" s="1137">
        <v>20</v>
      </c>
      <c r="B80" s="3568"/>
      <c r="C80" s="1051" t="s">
        <v>1532</v>
      </c>
      <c r="D80" s="1051" t="s">
        <v>1533</v>
      </c>
      <c r="E80" s="1122">
        <v>0.2</v>
      </c>
      <c r="F80" s="1137">
        <v>30</v>
      </c>
    </row>
    <row r="81" spans="1:6" s="1088" customFormat="1" ht="36">
      <c r="A81" s="1137">
        <v>21</v>
      </c>
      <c r="B81" s="3568"/>
      <c r="C81" s="1051" t="s">
        <v>1534</v>
      </c>
      <c r="D81" s="1051" t="s">
        <v>1535</v>
      </c>
      <c r="E81" s="1122">
        <v>0.2</v>
      </c>
      <c r="F81" s="1137">
        <v>30</v>
      </c>
    </row>
    <row r="82" spans="1:6" s="1088" customFormat="1" ht="48">
      <c r="A82" s="1137">
        <v>22</v>
      </c>
      <c r="B82" s="3568"/>
      <c r="C82" s="1051" t="s">
        <v>1536</v>
      </c>
      <c r="D82" s="1051" t="s">
        <v>1537</v>
      </c>
      <c r="E82" s="1122">
        <v>0.2</v>
      </c>
      <c r="F82" s="1137">
        <v>30</v>
      </c>
    </row>
    <row r="83" spans="1:6" s="1088" customFormat="1" ht="48">
      <c r="A83" s="1137">
        <v>23</v>
      </c>
      <c r="B83" s="3568"/>
      <c r="C83" s="1051" t="s">
        <v>1538</v>
      </c>
      <c r="D83" s="1051" t="s">
        <v>1539</v>
      </c>
      <c r="E83" s="1122">
        <v>0.2</v>
      </c>
      <c r="F83" s="1137">
        <v>30</v>
      </c>
    </row>
    <row r="84" spans="1:6" s="1088" customFormat="1" ht="36">
      <c r="A84" s="1137">
        <v>24</v>
      </c>
      <c r="B84" s="3568"/>
      <c r="C84" s="1051" t="s">
        <v>1540</v>
      </c>
      <c r="D84" s="1051" t="s">
        <v>1541</v>
      </c>
      <c r="E84" s="1122">
        <v>0.2</v>
      </c>
      <c r="F84" s="1137">
        <v>30</v>
      </c>
    </row>
    <row r="85" spans="1:6" s="1088" customFormat="1" ht="36">
      <c r="A85" s="1137">
        <v>25</v>
      </c>
      <c r="B85" s="3568"/>
      <c r="C85" s="1051" t="s">
        <v>1542</v>
      </c>
      <c r="D85" s="1051" t="s">
        <v>1543</v>
      </c>
      <c r="E85" s="1122">
        <v>0.5</v>
      </c>
      <c r="F85" s="1137">
        <v>80</v>
      </c>
    </row>
    <row r="86" spans="1:6" s="1088" customFormat="1" ht="36">
      <c r="A86" s="1137">
        <v>26</v>
      </c>
      <c r="B86" s="3568"/>
      <c r="C86" s="1051" t="s">
        <v>1544</v>
      </c>
      <c r="D86" s="1051" t="s">
        <v>1545</v>
      </c>
      <c r="E86" s="1122">
        <v>0.2</v>
      </c>
      <c r="F86" s="1137">
        <v>30</v>
      </c>
    </row>
    <row r="87" spans="1:6" s="1088" customFormat="1" ht="36">
      <c r="A87" s="1137">
        <v>27</v>
      </c>
      <c r="B87" s="3568"/>
      <c r="C87" s="1051" t="s">
        <v>1546</v>
      </c>
      <c r="D87" s="1051" t="s">
        <v>1547</v>
      </c>
      <c r="E87" s="1122">
        <v>0.2</v>
      </c>
      <c r="F87" s="1137">
        <v>30</v>
      </c>
    </row>
    <row r="88" spans="1:6" s="1088" customFormat="1" ht="36">
      <c r="A88" s="1137">
        <v>28</v>
      </c>
      <c r="B88" s="3568"/>
      <c r="C88" s="1051" t="s">
        <v>1548</v>
      </c>
      <c r="D88" s="1051" t="s">
        <v>1549</v>
      </c>
      <c r="E88" s="1122">
        <v>0.2</v>
      </c>
      <c r="F88" s="1137">
        <v>30</v>
      </c>
    </row>
    <row r="89" spans="1:6" s="1088" customFormat="1" ht="24">
      <c r="A89" s="1137">
        <v>29</v>
      </c>
      <c r="B89" s="3568"/>
      <c r="C89" s="1051" t="s">
        <v>1550</v>
      </c>
      <c r="D89" s="1051" t="s">
        <v>1551</v>
      </c>
      <c r="E89" s="1122">
        <v>0.2</v>
      </c>
      <c r="F89" s="1137">
        <v>30</v>
      </c>
    </row>
    <row r="90" spans="1:6" s="1088" customFormat="1" ht="24">
      <c r="A90" s="1137">
        <v>30</v>
      </c>
      <c r="B90" s="3568"/>
      <c r="C90" s="1051" t="s">
        <v>1552</v>
      </c>
      <c r="D90" s="1051" t="s">
        <v>1553</v>
      </c>
      <c r="E90" s="1122">
        <v>0.2</v>
      </c>
      <c r="F90" s="1137">
        <v>30</v>
      </c>
    </row>
    <row r="91" spans="1:6" s="1088" customFormat="1" ht="36">
      <c r="A91" s="1137">
        <v>31</v>
      </c>
      <c r="B91" s="3568"/>
      <c r="C91" s="1051" t="s">
        <v>1554</v>
      </c>
      <c r="D91" s="1051" t="s">
        <v>1555</v>
      </c>
      <c r="E91" s="1122">
        <v>0.2</v>
      </c>
      <c r="F91" s="1137">
        <v>30</v>
      </c>
    </row>
    <row r="92" spans="1:6" s="1088" customFormat="1" ht="24">
      <c r="A92" s="1137">
        <v>32</v>
      </c>
      <c r="B92" s="3568" t="s">
        <v>1556</v>
      </c>
      <c r="C92" s="1137" t="s">
        <v>1557</v>
      </c>
      <c r="D92" s="1051" t="s">
        <v>1558</v>
      </c>
      <c r="E92" s="1122">
        <v>0.2</v>
      </c>
      <c r="F92" s="1137">
        <v>30</v>
      </c>
    </row>
    <row r="93" spans="1:6" s="1088" customFormat="1" ht="36">
      <c r="A93" s="1137">
        <v>33</v>
      </c>
      <c r="B93" s="3568"/>
      <c r="C93" s="1137" t="s">
        <v>1559</v>
      </c>
      <c r="D93" s="1051" t="s">
        <v>1560</v>
      </c>
      <c r="E93" s="1122">
        <v>0.2</v>
      </c>
      <c r="F93" s="1137">
        <v>30</v>
      </c>
    </row>
    <row r="94" spans="1:6" s="1088" customFormat="1" ht="48">
      <c r="A94" s="1137">
        <v>34</v>
      </c>
      <c r="B94" s="3568"/>
      <c r="C94" s="1137" t="s">
        <v>1561</v>
      </c>
      <c r="D94" s="1051" t="s">
        <v>1562</v>
      </c>
      <c r="E94" s="1122">
        <v>0.2</v>
      </c>
      <c r="F94" s="1137">
        <v>30</v>
      </c>
    </row>
    <row r="95" spans="1:6" s="1088" customFormat="1" ht="36">
      <c r="A95" s="1137">
        <v>35</v>
      </c>
      <c r="B95" s="3568"/>
      <c r="C95" s="1137" t="s">
        <v>1563</v>
      </c>
      <c r="D95" s="1051" t="s">
        <v>1564</v>
      </c>
      <c r="E95" s="1122">
        <v>0.2</v>
      </c>
      <c r="F95" s="1137">
        <v>30</v>
      </c>
    </row>
    <row r="96" spans="1:6" s="1088" customFormat="1" ht="48">
      <c r="A96" s="1137">
        <v>36</v>
      </c>
      <c r="B96" s="3568"/>
      <c r="C96" s="1051" t="s">
        <v>1565</v>
      </c>
      <c r="D96" s="1051" t="s">
        <v>1566</v>
      </c>
      <c r="E96" s="1122">
        <v>0.2</v>
      </c>
      <c r="F96" s="1137">
        <v>30</v>
      </c>
    </row>
    <row r="97" spans="1:6" s="1088" customFormat="1" ht="36">
      <c r="A97" s="1137">
        <v>37</v>
      </c>
      <c r="B97" s="3568"/>
      <c r="C97" s="1137" t="s">
        <v>1567</v>
      </c>
      <c r="D97" s="1051" t="s">
        <v>1568</v>
      </c>
      <c r="E97" s="1122">
        <v>0.2</v>
      </c>
      <c r="F97" s="1137">
        <v>30</v>
      </c>
    </row>
    <row r="98" spans="1:6" s="1088" customFormat="1" ht="36">
      <c r="A98" s="1137">
        <v>38</v>
      </c>
      <c r="B98" s="3568"/>
      <c r="C98" s="1137" t="s">
        <v>1569</v>
      </c>
      <c r="D98" s="1051" t="s">
        <v>1570</v>
      </c>
      <c r="E98" s="1122">
        <v>0.2</v>
      </c>
      <c r="F98" s="1137">
        <v>30</v>
      </c>
    </row>
    <row r="99" spans="1:6" s="1088" customFormat="1" ht="36">
      <c r="A99" s="1137">
        <v>39</v>
      </c>
      <c r="B99" s="3568" t="s">
        <v>1571</v>
      </c>
      <c r="C99" s="1137" t="s">
        <v>1572</v>
      </c>
      <c r="D99" s="1051" t="s">
        <v>1573</v>
      </c>
      <c r="E99" s="1122">
        <v>0.3</v>
      </c>
      <c r="F99" s="1137">
        <v>50</v>
      </c>
    </row>
    <row r="100" spans="1:6" s="1088" customFormat="1" ht="24">
      <c r="A100" s="1137">
        <v>40</v>
      </c>
      <c r="B100" s="3568"/>
      <c r="C100" s="1137" t="s">
        <v>1574</v>
      </c>
      <c r="D100" s="1051" t="s">
        <v>1575</v>
      </c>
      <c r="E100" s="1122">
        <v>0.2</v>
      </c>
      <c r="F100" s="1137">
        <v>30</v>
      </c>
    </row>
    <row r="101" spans="1:6" s="1088" customFormat="1" ht="36">
      <c r="A101" s="1137">
        <v>41</v>
      </c>
      <c r="B101" s="356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8" t="s">
        <v>1586</v>
      </c>
      <c r="C105" s="1137" t="s">
        <v>1587</v>
      </c>
      <c r="D105" s="1051" t="s">
        <v>1588</v>
      </c>
      <c r="E105" s="1122">
        <v>0.2</v>
      </c>
      <c r="F105" s="1137">
        <v>30</v>
      </c>
    </row>
    <row r="106" spans="1:6" s="1088" customFormat="1" ht="36">
      <c r="A106" s="1137">
        <v>46</v>
      </c>
      <c r="B106" s="3568"/>
      <c r="C106" s="1137" t="s">
        <v>1589</v>
      </c>
      <c r="D106" s="1051" t="s">
        <v>1590</v>
      </c>
      <c r="E106" s="1122">
        <v>0.2</v>
      </c>
      <c r="F106" s="1137">
        <v>30</v>
      </c>
    </row>
    <row r="107" spans="1:6" s="1088" customFormat="1" ht="36">
      <c r="A107" s="1137">
        <v>47</v>
      </c>
      <c r="B107" s="3568" t="s">
        <v>1591</v>
      </c>
      <c r="C107" s="1137" t="s">
        <v>1592</v>
      </c>
      <c r="D107" s="1051" t="s">
        <v>1593</v>
      </c>
      <c r="E107" s="1122">
        <v>0.3</v>
      </c>
      <c r="F107" s="1137">
        <v>50</v>
      </c>
    </row>
    <row r="108" spans="1:6" s="1088" customFormat="1" ht="36">
      <c r="A108" s="1137">
        <v>48</v>
      </c>
      <c r="B108" s="356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8" t="s">
        <v>1602</v>
      </c>
      <c r="C111" s="1137" t="s">
        <v>1603</v>
      </c>
      <c r="D111" s="1051" t="s">
        <v>1604</v>
      </c>
      <c r="E111" s="1122">
        <v>0.2</v>
      </c>
      <c r="F111" s="1137">
        <v>30</v>
      </c>
    </row>
    <row r="112" spans="1:6" s="1088" customFormat="1" ht="24">
      <c r="A112" s="1137">
        <v>52</v>
      </c>
      <c r="B112" s="3568"/>
      <c r="C112" s="1137" t="s">
        <v>1605</v>
      </c>
      <c r="D112" s="1051" t="s">
        <v>1606</v>
      </c>
      <c r="E112" s="1122">
        <v>0.2</v>
      </c>
      <c r="F112" s="1137">
        <v>30</v>
      </c>
    </row>
    <row r="113" spans="1:14" s="1088" customFormat="1" ht="24">
      <c r="A113" s="1137">
        <v>53</v>
      </c>
      <c r="B113" s="356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8" t="s">
        <v>1615</v>
      </c>
      <c r="C116" s="1137" t="s">
        <v>1616</v>
      </c>
      <c r="D116" s="1051" t="s">
        <v>1617</v>
      </c>
      <c r="E116" s="1122">
        <v>0.2</v>
      </c>
      <c r="F116" s="1137">
        <v>30</v>
      </c>
    </row>
    <row r="117" spans="1:14" ht="36">
      <c r="A117" s="1137">
        <v>57</v>
      </c>
      <c r="B117" s="356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7" t="s">
        <v>1624</v>
      </c>
      <c r="B121" s="3567"/>
      <c r="C121" s="3567"/>
      <c r="D121" s="3567"/>
      <c r="E121" s="3567"/>
      <c r="F121" s="3567"/>
      <c r="G121" s="3567"/>
      <c r="H121" s="3567"/>
      <c r="I121" s="3567"/>
      <c r="J121" s="356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69" t="s">
        <v>1030</v>
      </c>
      <c r="B1" s="3569"/>
      <c r="C1" s="3569"/>
      <c r="D1" s="3569"/>
      <c r="E1" s="3569"/>
      <c r="F1" s="356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0" t="s">
        <v>1043</v>
      </c>
      <c r="B2" s="3570"/>
      <c r="C2" s="3570"/>
      <c r="D2" s="3570"/>
      <c r="E2" s="3570"/>
      <c r="F2" s="357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73" t="s">
        <v>2068</v>
      </c>
      <c r="B1" s="3573"/>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81" t="s">
        <v>2556</v>
      </c>
      <c r="C1" s="3581"/>
      <c r="D1" s="3581"/>
      <c r="E1" s="3581"/>
      <c r="F1" s="3581"/>
      <c r="G1" s="3580" t="s">
        <v>2557</v>
      </c>
      <c r="H1" s="3580"/>
      <c r="I1" s="3580"/>
      <c r="J1" s="3580"/>
      <c r="K1" s="3580"/>
      <c r="L1" s="3580"/>
      <c r="N1" s="3580" t="s">
        <v>2558</v>
      </c>
      <c r="O1" s="3580"/>
      <c r="P1" s="3580"/>
      <c r="Q1" s="3580"/>
      <c r="S1" s="3580" t="s">
        <v>2559</v>
      </c>
      <c r="T1" s="3580"/>
      <c r="U1" s="3580"/>
      <c r="V1" s="3580"/>
      <c r="X1" s="3579" t="s">
        <v>2619</v>
      </c>
      <c r="Y1" s="3580"/>
      <c r="Z1" s="3580"/>
      <c r="AA1" s="3580"/>
      <c r="AB1" s="3580"/>
      <c r="AD1" s="3579" t="s">
        <v>2623</v>
      </c>
      <c r="AE1" s="3580"/>
      <c r="AF1" s="3580"/>
      <c r="AG1" s="3580"/>
      <c r="AH1" s="3580"/>
    </row>
    <row r="2" spans="1:34" s="2863" customFormat="1" ht="14.25" thickBot="1">
      <c r="B2" s="2864" t="s">
        <v>2560</v>
      </c>
      <c r="C2" s="2864" t="s">
        <v>2621</v>
      </c>
      <c r="D2" s="2865" t="s">
        <v>1635</v>
      </c>
      <c r="E2" s="2865" t="s">
        <v>1938</v>
      </c>
      <c r="F2" s="2864" t="s">
        <v>2622</v>
      </c>
      <c r="G2" s="2866"/>
      <c r="I2" s="2864" t="s">
        <v>2922</v>
      </c>
      <c r="J2" s="2865" t="s">
        <v>2924</v>
      </c>
      <c r="K2" s="2865" t="s">
        <v>2925</v>
      </c>
      <c r="L2" s="2864" t="s">
        <v>2926</v>
      </c>
      <c r="N2" s="2864" t="s">
        <v>2560</v>
      </c>
      <c r="O2" s="2865" t="s">
        <v>2923</v>
      </c>
      <c r="P2" s="2865" t="s">
        <v>1938</v>
      </c>
      <c r="Q2" s="2864" t="s">
        <v>2622</v>
      </c>
      <c r="S2" s="2864" t="s">
        <v>2560</v>
      </c>
      <c r="T2" s="2865" t="s">
        <v>2923</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2933</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Z3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3006</v>
      </c>
      <c r="B5" s="2887">
        <f t="shared" ref="B5" si="2">B6*(1+N5)</f>
        <v>504.87072809615569</v>
      </c>
      <c r="C5" s="2887">
        <f t="shared" ref="C5" si="3">C6*(1+O5)</f>
        <v>351.71182348101968</v>
      </c>
      <c r="D5" s="2887">
        <f t="shared" ref="D5" si="4">C5</f>
        <v>351.71182348101968</v>
      </c>
      <c r="E5" s="2887">
        <f t="shared" ref="E5" si="5">E6*(1+P5)</f>
        <v>728.75350858360832</v>
      </c>
      <c r="F5" s="2887">
        <f t="shared" ref="F5" si="6">F6*(1+Q5)</f>
        <v>334.04593931673656</v>
      </c>
      <c r="G5" s="2880">
        <v>2021</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2934</v>
      </c>
      <c r="X5" s="2894">
        <f>ROUND(IF(项目基本情况!B2="出让",SUMPRODUCT(PRODUCT(1+N5:N$36)),SUMPRODUCT(PRODUCT(1+N5:N$35))),4)</f>
        <v>1.6415999999999999</v>
      </c>
      <c r="Y5" s="2894">
        <f>ROUND(IF(项目基本情况!B2="出让",SUMPRODUCT(PRODUCT(1+O5:O$36)),SUMPRODUCT(PRODUCT(1+O5:O$35))),4)</f>
        <v>1.3644000000000001</v>
      </c>
      <c r="Z5" s="2894">
        <f t="shared" ref="Z5" si="11">Y5</f>
        <v>1.3644000000000001</v>
      </c>
      <c r="AA5" s="2894">
        <f>ROUND(IF(项目基本情况!B2="出让",SUMPRODUCT(PRODUCT(1+P5:P$36)),SUMPRODUCT(PRODUCT(1+P5:P$35))),4)</f>
        <v>1.7232000000000001</v>
      </c>
      <c r="AB5" s="2894">
        <f>ROUND(IF(项目基本情况!B2="出让",SUMPRODUCT(PRODUCT(1+Q5:Q$36)),SUMPRODUCT(PRODUCT(1+Q5:Q$35))),4)</f>
        <v>1.4529000000000001</v>
      </c>
      <c r="AD5" s="2895">
        <f>ROUND(AVERAGE(I5:I$36)/100,4)</f>
        <v>1.66E-2</v>
      </c>
      <c r="AE5" s="2895">
        <f>ROUND(AVERAGE(J5:J$36)/100,4)</f>
        <v>1.0500000000000001E-2</v>
      </c>
      <c r="AF5" s="2895">
        <f t="shared" ref="AF5" si="12">AE5</f>
        <v>1.0500000000000001E-2</v>
      </c>
      <c r="AG5" s="2895">
        <f>ROUND(AVERAGE(K5:K$36)/100,4)</f>
        <v>1.83E-2</v>
      </c>
      <c r="AH5" s="2895">
        <f>ROUND(AVERAGE(L5:L$36)/100,4)</f>
        <v>1.2200000000000001E-2</v>
      </c>
    </row>
    <row r="6" spans="1:34" s="2903" customFormat="1">
      <c r="A6" s="2896" t="s">
        <v>3005</v>
      </c>
      <c r="B6" s="2897">
        <f t="shared" ref="B6" si="13">B7*(1+N6)</f>
        <v>504.87072809615569</v>
      </c>
      <c r="C6" s="2897">
        <f t="shared" ref="C6" si="14">C7*(1+O6)</f>
        <v>351.71182348101968</v>
      </c>
      <c r="D6" s="2897">
        <f t="shared" ref="D6" si="15">C6</f>
        <v>351.71182348101968</v>
      </c>
      <c r="E6" s="2897">
        <f t="shared" ref="E6" si="16">E7*(1+P6)</f>
        <v>728.75350858360832</v>
      </c>
      <c r="F6" s="2897">
        <f t="shared" ref="F6" si="17">F7*(1+Q6)</f>
        <v>334.04593931673656</v>
      </c>
      <c r="G6" s="2880">
        <v>2021</v>
      </c>
      <c r="H6" s="2898">
        <v>3</v>
      </c>
      <c r="I6" s="2860">
        <v>0.47</v>
      </c>
      <c r="J6" s="2860">
        <v>0.41</v>
      </c>
      <c r="K6" s="2860">
        <v>0.48</v>
      </c>
      <c r="L6" s="2861">
        <v>0.48</v>
      </c>
      <c r="M6" s="2884"/>
      <c r="N6" s="2899">
        <f t="shared" ref="N6" si="18">I6/100</f>
        <v>4.6999999999999993E-3</v>
      </c>
      <c r="O6" s="2885">
        <f t="shared" ref="O6" si="19">J6/100</f>
        <v>4.0999999999999995E-3</v>
      </c>
      <c r="P6" s="2885">
        <f t="shared" ref="P6" si="20">K6/100</f>
        <v>4.7999999999999996E-3</v>
      </c>
      <c r="Q6" s="2885">
        <f t="shared" ref="Q6" si="21">L6/100</f>
        <v>4.7999999999999996E-3</v>
      </c>
      <c r="R6" s="2900"/>
      <c r="S6" s="2901"/>
      <c r="T6" s="2902"/>
      <c r="U6" s="2902"/>
      <c r="V6" s="2902"/>
      <c r="W6" s="2884"/>
      <c r="X6" s="2884">
        <f>ROUND(IF(项目基本情况!B3="出让",SUMPRODUCT(PRODUCT(1+N6:N$36)),SUMPRODUCT(PRODUCT(1+N6:N$35))),4)</f>
        <v>1.6415999999999999</v>
      </c>
      <c r="Y6" s="2884">
        <f>ROUND(IF(项目基本情况!B3="出让",SUMPRODUCT(PRODUCT(1+O6:O$36)),SUMPRODUCT(PRODUCT(1+O6:O$35))),4)</f>
        <v>1.3644000000000001</v>
      </c>
      <c r="Z6" s="2884">
        <f t="shared" ref="Z6" si="22">Y6</f>
        <v>1.3644000000000001</v>
      </c>
      <c r="AA6" s="2884">
        <f>ROUND(IF(项目基本情况!B3="出让",SUMPRODUCT(PRODUCT(1+P6:P$36)),SUMPRODUCT(PRODUCT(1+P6:P$35))),4)</f>
        <v>1.7232000000000001</v>
      </c>
      <c r="AB6" s="2884">
        <f>ROUND(IF(项目基本情况!B3="出让",SUMPRODUCT(PRODUCT(1+Q6:Q$36)),SUMPRODUCT(PRODUCT(1+Q6:Q$35))),4)</f>
        <v>1.4529000000000001</v>
      </c>
      <c r="AC6" s="2884"/>
      <c r="AD6" s="2885">
        <f>ROUND(AVERAGE(I6:I$36)/100,4)</f>
        <v>1.72E-2</v>
      </c>
      <c r="AE6" s="2885">
        <f>ROUND(AVERAGE(J6:J$36)/100,4)</f>
        <v>1.09E-2</v>
      </c>
      <c r="AF6" s="2885">
        <f t="shared" ref="AF6" si="23">AE6</f>
        <v>1.09E-2</v>
      </c>
      <c r="AG6" s="2885">
        <f>ROUND(AVERAGE(K6:K$36)/100,4)</f>
        <v>1.89E-2</v>
      </c>
      <c r="AH6" s="2885">
        <f>ROUND(AVERAGE(L6:L$36)/100,4)</f>
        <v>1.26E-2</v>
      </c>
    </row>
    <row r="7" spans="1:34" s="2903" customFormat="1">
      <c r="A7" s="2896" t="s">
        <v>3004</v>
      </c>
      <c r="B7" s="2897">
        <f t="shared" ref="B7" si="24">B8*(1+N7)</f>
        <v>502.50893609650217</v>
      </c>
      <c r="C7" s="2897">
        <f t="shared" ref="C7" si="25">C8*(1+O7)</f>
        <v>350.27569313914915</v>
      </c>
      <c r="D7" s="2897">
        <f t="shared" ref="D7" si="26">C7</f>
        <v>350.27569313914915</v>
      </c>
      <c r="E7" s="2897">
        <f t="shared" ref="E7" si="27">E8*(1+P7)</f>
        <v>725.27220201394141</v>
      </c>
      <c r="F7" s="2897">
        <f t="shared" ref="F7" si="28">F8*(1+Q7)</f>
        <v>332.45017846012797</v>
      </c>
      <c r="G7" s="2880">
        <v>2021</v>
      </c>
      <c r="H7" s="2898">
        <v>2</v>
      </c>
      <c r="I7" s="2860">
        <v>0.92</v>
      </c>
      <c r="J7" s="2860">
        <v>0.72</v>
      </c>
      <c r="K7" s="2860">
        <v>0.95</v>
      </c>
      <c r="L7" s="2861">
        <v>1.01</v>
      </c>
      <c r="M7" s="2884"/>
      <c r="N7" s="2899">
        <f t="shared" ref="N7" si="29">I7/100</f>
        <v>9.1999999999999998E-3</v>
      </c>
      <c r="O7" s="2885">
        <f t="shared" ref="O7" si="30">J7/100</f>
        <v>7.1999999999999998E-3</v>
      </c>
      <c r="P7" s="2885">
        <f t="shared" ref="P7" si="31">K7/100</f>
        <v>9.4999999999999998E-3</v>
      </c>
      <c r="Q7" s="2885">
        <f t="shared" ref="Q7" si="32">L7/100</f>
        <v>1.01E-2</v>
      </c>
      <c r="R7" s="2900"/>
      <c r="S7" s="2901"/>
      <c r="T7" s="2902"/>
      <c r="U7" s="2902"/>
      <c r="V7" s="2902"/>
      <c r="W7" s="2884"/>
      <c r="X7" s="2884">
        <f>ROUND(IF(项目基本情况!B4="出让",SUMPRODUCT(PRODUCT(1+N7:N$36)),SUMPRODUCT(PRODUCT(1+N7:N$35))),4)</f>
        <v>1.6338999999999999</v>
      </c>
      <c r="Y7" s="2884">
        <f>ROUND(IF(项目基本情况!B4="出让",SUMPRODUCT(PRODUCT(1+O7:O$36)),SUMPRODUCT(PRODUCT(1+O7:O$35))),4)</f>
        <v>1.3588</v>
      </c>
      <c r="Z7" s="2884">
        <f t="shared" ref="Z7" si="33">Y7</f>
        <v>1.3588</v>
      </c>
      <c r="AA7" s="2884">
        <f>ROUND(IF(项目基本情况!B4="出让",SUMPRODUCT(PRODUCT(1+P7:P$36)),SUMPRODUCT(PRODUCT(1+P7:P$35))),4)</f>
        <v>1.7150000000000001</v>
      </c>
      <c r="AB7" s="2884">
        <f>ROUND(IF(项目基本情况!B4="出让",SUMPRODUCT(PRODUCT(1+Q7:Q$36)),SUMPRODUCT(PRODUCT(1+Q7:Q$35))),4)</f>
        <v>1.446</v>
      </c>
      <c r="AC7" s="2884"/>
      <c r="AD7" s="2885">
        <f>ROUND(AVERAGE(I7:I$36)/100,4)</f>
        <v>1.7600000000000001E-2</v>
      </c>
      <c r="AE7" s="2885">
        <f>ROUND(AVERAGE(J7:J$36)/100,4)</f>
        <v>1.11E-2</v>
      </c>
      <c r="AF7" s="2885">
        <f t="shared" ref="AF7" si="34">AE7</f>
        <v>1.11E-2</v>
      </c>
      <c r="AG7" s="2885">
        <f>ROUND(AVERAGE(K7:K$36)/100,4)</f>
        <v>1.9400000000000001E-2</v>
      </c>
      <c r="AH7" s="2885">
        <f>ROUND(AVERAGE(L7:L$36)/100,4)</f>
        <v>1.2800000000000001E-2</v>
      </c>
    </row>
    <row r="8" spans="1:34" s="2903" customFormat="1">
      <c r="A8" s="2896" t="s">
        <v>3003</v>
      </c>
      <c r="B8" s="2897">
        <f t="shared" ref="B8" si="35">B9*(1+N8)</f>
        <v>497.92799851020823</v>
      </c>
      <c r="C8" s="2897">
        <f t="shared" ref="C8" si="36">C9*(1+O8)</f>
        <v>347.77173663537445</v>
      </c>
      <c r="D8" s="2897">
        <f t="shared" ref="D8" si="37">C8</f>
        <v>347.77173663537445</v>
      </c>
      <c r="E8" s="2897">
        <f t="shared" ref="E8" si="38">E9*(1+P8)</f>
        <v>718.44695593258189</v>
      </c>
      <c r="F8" s="2897">
        <f t="shared" ref="F8" si="39">F9*(1+Q8)</f>
        <v>329.12600580153247</v>
      </c>
      <c r="G8" s="2880">
        <v>2021</v>
      </c>
      <c r="H8" s="2898">
        <v>1</v>
      </c>
      <c r="I8" s="2860">
        <v>0.97</v>
      </c>
      <c r="J8" s="2860">
        <v>0.16</v>
      </c>
      <c r="K8" s="2860">
        <v>1.1100000000000001</v>
      </c>
      <c r="L8" s="2861">
        <v>0.36</v>
      </c>
      <c r="M8" s="2884"/>
      <c r="N8" s="2899">
        <f t="shared" ref="N8" si="40">I8/100</f>
        <v>9.7000000000000003E-3</v>
      </c>
      <c r="O8" s="2885">
        <f t="shared" ref="O8" si="41">J8/100</f>
        <v>1.6000000000000001E-3</v>
      </c>
      <c r="P8" s="2885">
        <f t="shared" ref="P8" si="42">K8/100</f>
        <v>1.11E-2</v>
      </c>
      <c r="Q8" s="2885">
        <f t="shared" ref="Q8" si="43">L8/100</f>
        <v>3.5999999999999999E-3</v>
      </c>
      <c r="R8" s="2900"/>
      <c r="S8" s="2901">
        <f>B8/B9-1</f>
        <v>9.7000000000000419E-3</v>
      </c>
      <c r="T8" s="2902">
        <f>C8/C9-1</f>
        <v>1.6000000000000458E-3</v>
      </c>
      <c r="U8" s="2902">
        <f>E8/E9-1</f>
        <v>1.110000000000011E-2</v>
      </c>
      <c r="V8" s="2902">
        <f>F8/F9-1</f>
        <v>3.6000000000000476E-3</v>
      </c>
      <c r="W8" s="2884"/>
      <c r="X8" s="2884">
        <f>ROUND(IF(项目基本情况!B5="出让",SUMPRODUCT(PRODUCT(1+N8:N$36)),SUMPRODUCT(PRODUCT(1+N8:N$35))),4)</f>
        <v>1.619</v>
      </c>
      <c r="Y8" s="2884">
        <f>ROUND(IF(项目基本情况!B5="出让",SUMPRODUCT(PRODUCT(1+O8:O$36)),SUMPRODUCT(PRODUCT(1+O8:O$35))),4)</f>
        <v>1.3491</v>
      </c>
      <c r="Z8" s="2884">
        <f t="shared" ref="Z8" si="44">Y8</f>
        <v>1.3491</v>
      </c>
      <c r="AA8" s="2884">
        <f>ROUND(IF(项目基本情况!B5="出让",SUMPRODUCT(PRODUCT(1+P8:P$36)),SUMPRODUCT(PRODUCT(1+P8:P$35))),4)</f>
        <v>1.6988000000000001</v>
      </c>
      <c r="AB8" s="2884">
        <f>ROUND(IF(项目基本情况!B5="出让",SUMPRODUCT(PRODUCT(1+Q8:Q$36)),SUMPRODUCT(PRODUCT(1+Q8:Q$35))),4)</f>
        <v>1.4315</v>
      </c>
      <c r="AC8" s="2884"/>
      <c r="AD8" s="2885">
        <f>ROUND(AVERAGE(I8:I$36)/100,4)</f>
        <v>1.7899999999999999E-2</v>
      </c>
      <c r="AE8" s="2885">
        <f>ROUND(AVERAGE(J8:J$36)/100,4)</f>
        <v>1.12E-2</v>
      </c>
      <c r="AF8" s="2885">
        <f t="shared" ref="AF8" si="45">AE8</f>
        <v>1.12E-2</v>
      </c>
      <c r="AG8" s="2885">
        <f>ROUND(AVERAGE(K8:K$36)/100,4)</f>
        <v>1.9699999999999999E-2</v>
      </c>
      <c r="AH8" s="2885">
        <f>ROUND(AVERAGE(L8:L$36)/100,4)</f>
        <v>1.29E-2</v>
      </c>
    </row>
    <row r="9" spans="1:34" s="2903" customFormat="1">
      <c r="A9" s="2896" t="s">
        <v>3001</v>
      </c>
      <c r="B9" s="2897">
        <f t="shared" ref="B9" si="46">B10*(1+N9)</f>
        <v>493.14449689037161</v>
      </c>
      <c r="C9" s="2897">
        <f t="shared" ref="C9" si="47">C10*(1+O9)</f>
        <v>347.21619073020611</v>
      </c>
      <c r="D9" s="2897">
        <f t="shared" ref="D9" si="48">C9</f>
        <v>347.21619073020611</v>
      </c>
      <c r="E9" s="2897">
        <f t="shared" ref="E9" si="49">E10*(1+P9)</f>
        <v>710.55974278763904</v>
      </c>
      <c r="F9" s="2897">
        <f t="shared" ref="F9" si="50">F10*(1+Q9)</f>
        <v>327.94540235306141</v>
      </c>
      <c r="G9" s="2880">
        <v>2020</v>
      </c>
      <c r="H9" s="2898">
        <v>4</v>
      </c>
      <c r="I9" s="2860">
        <v>2.0699999999999998</v>
      </c>
      <c r="J9" s="2860">
        <v>0.37</v>
      </c>
      <c r="K9" s="2860">
        <v>2.35</v>
      </c>
      <c r="L9" s="2861">
        <v>2.69</v>
      </c>
      <c r="M9" s="2884"/>
      <c r="N9" s="2899">
        <f t="shared" ref="N9" si="51">I9/100</f>
        <v>2.07E-2</v>
      </c>
      <c r="O9" s="2885">
        <f t="shared" ref="O9" si="52">J9/100</f>
        <v>3.7000000000000002E-3</v>
      </c>
      <c r="P9" s="2885">
        <f t="shared" ref="P9" si="53">K9/100</f>
        <v>2.35E-2</v>
      </c>
      <c r="Q9" s="2885">
        <f t="shared" ref="Q9" si="54">L9/100</f>
        <v>2.69E-2</v>
      </c>
      <c r="R9" s="2900"/>
      <c r="S9" s="2901"/>
      <c r="T9" s="2902"/>
      <c r="U9" s="2902"/>
      <c r="V9" s="2902"/>
      <c r="W9" s="2884"/>
      <c r="X9" s="2884">
        <f>ROUND(IF(项目基本情况!B6="出让",SUMPRODUCT(PRODUCT(1+N9:N$36)),SUMPRODUCT(PRODUCT(1+N9:N$35))),4)</f>
        <v>1.6034999999999999</v>
      </c>
      <c r="Y9" s="2884">
        <f>ROUND(IF(项目基本情况!B6="出让",SUMPRODUCT(PRODUCT(1+O9:O$36)),SUMPRODUCT(PRODUCT(1+O9:O$35))),4)</f>
        <v>1.3469</v>
      </c>
      <c r="Z9" s="2884">
        <f t="shared" ref="Z9" si="55">Y9</f>
        <v>1.3469</v>
      </c>
      <c r="AA9" s="2884">
        <f>ROUND(IF(项目基本情况!B6="出让",SUMPRODUCT(PRODUCT(1+P9:P$36)),SUMPRODUCT(PRODUCT(1+P9:P$35))),4)</f>
        <v>1.6801999999999999</v>
      </c>
      <c r="AB9" s="2884">
        <f>ROUND(IF(项目基本情况!B6="出让",SUMPRODUCT(PRODUCT(1+Q9:Q$36)),SUMPRODUCT(PRODUCT(1+Q9:Q$35))),4)</f>
        <v>1.4263999999999999</v>
      </c>
      <c r="AC9" s="2884"/>
      <c r="AD9" s="2885">
        <f>ROUND(AVERAGE(I9:I$36)/100,4)</f>
        <v>1.8200000000000001E-2</v>
      </c>
      <c r="AE9" s="2885">
        <f>ROUND(AVERAGE(J9:J$36)/100,4)</f>
        <v>1.1599999999999999E-2</v>
      </c>
      <c r="AF9" s="2885">
        <f t="shared" ref="AF9" si="56">AE9</f>
        <v>1.1599999999999999E-2</v>
      </c>
      <c r="AG9" s="2885">
        <f>ROUND(AVERAGE(K9:K$36)/100,4)</f>
        <v>0.02</v>
      </c>
      <c r="AH9" s="2885">
        <f>ROUND(AVERAGE(L9:L$36)/100,4)</f>
        <v>1.3299999999999999E-2</v>
      </c>
    </row>
    <row r="10" spans="1:34" s="2903" customFormat="1">
      <c r="A10" s="2896" t="s">
        <v>3000</v>
      </c>
      <c r="B10" s="2897">
        <f t="shared" ref="B10" si="57">B11*(1+N10)</f>
        <v>483.1434279321756</v>
      </c>
      <c r="C10" s="2897">
        <f t="shared" ref="C10" si="58">C11*(1+O10)</f>
        <v>345.93622669144776</v>
      </c>
      <c r="D10" s="2897">
        <f t="shared" ref="D10" si="59">C10</f>
        <v>345.93622669144776</v>
      </c>
      <c r="E10" s="2897">
        <f t="shared" ref="E10" si="60">E11*(1+P10)</f>
        <v>694.24498562544113</v>
      </c>
      <c r="F10" s="2897">
        <f t="shared" ref="F10" si="61">F11*(1+Q10)</f>
        <v>319.35475932716082</v>
      </c>
      <c r="G10" s="2880">
        <v>2020</v>
      </c>
      <c r="H10" s="2898">
        <v>3</v>
      </c>
      <c r="I10" s="2860">
        <v>0.36</v>
      </c>
      <c r="J10" s="2860">
        <v>-0.39</v>
      </c>
      <c r="K10" s="2860">
        <v>0.49</v>
      </c>
      <c r="L10" s="2861">
        <v>7.0000000000000007E-2</v>
      </c>
      <c r="M10" s="2884"/>
      <c r="N10" s="2899">
        <f t="shared" ref="N10" si="62">I10/100</f>
        <v>3.5999999999999999E-3</v>
      </c>
      <c r="O10" s="2885">
        <f t="shared" ref="O10" si="63">J10/100</f>
        <v>-3.9000000000000003E-3</v>
      </c>
      <c r="P10" s="2885">
        <f t="shared" ref="P10" si="64">K10/100</f>
        <v>4.8999999999999998E-3</v>
      </c>
      <c r="Q10" s="2885">
        <f t="shared" ref="Q10" si="65">L10/100</f>
        <v>7.000000000000001E-4</v>
      </c>
      <c r="R10" s="2900"/>
      <c r="S10" s="2901"/>
      <c r="T10" s="2902"/>
      <c r="U10" s="2902"/>
      <c r="V10" s="2902"/>
      <c r="W10" s="2884"/>
      <c r="X10" s="2884">
        <f>ROUND(IF(项目基本情况!B7="出让",SUMPRODUCT(PRODUCT(1+N10:N$36)),SUMPRODUCT(PRODUCT(1+N10:N$35))),4)</f>
        <v>1.571</v>
      </c>
      <c r="Y10" s="2884">
        <f>ROUND(IF(项目基本情况!B7="出让",SUMPRODUCT(PRODUCT(1+O10:O$36)),SUMPRODUCT(PRODUCT(1+O10:O$35))),4)</f>
        <v>1.3420000000000001</v>
      </c>
      <c r="Z10" s="2884">
        <f t="shared" ref="Z10" si="66">Y10</f>
        <v>1.3420000000000001</v>
      </c>
      <c r="AA10" s="2884">
        <f>ROUND(IF(项目基本情况!B7="出让",SUMPRODUCT(PRODUCT(1+P10:P$36)),SUMPRODUCT(PRODUCT(1+P10:P$35))),4)</f>
        <v>1.6415999999999999</v>
      </c>
      <c r="AB10" s="2884">
        <f>ROUND(IF(项目基本情况!B7="出让",SUMPRODUCT(PRODUCT(1+Q10:Q$36)),SUMPRODUCT(PRODUCT(1+Q10:Q$35))),4)</f>
        <v>1.389</v>
      </c>
      <c r="AC10" s="2884"/>
      <c r="AD10" s="2885">
        <f>ROUND(AVERAGE(I10:I$36)/100,4)</f>
        <v>1.8100000000000002E-2</v>
      </c>
      <c r="AE10" s="2885">
        <f>ROUND(AVERAGE(J10:J$36)/100,4)</f>
        <v>1.1900000000000001E-2</v>
      </c>
      <c r="AF10" s="2885">
        <f t="shared" ref="AF10" si="67">AE10</f>
        <v>1.1900000000000001E-2</v>
      </c>
      <c r="AG10" s="2885">
        <f>ROUND(AVERAGE(K10:K$36)/100,4)</f>
        <v>1.9900000000000001E-2</v>
      </c>
      <c r="AH10" s="2885">
        <f>ROUND(AVERAGE(L10:L$36)/100,4)</f>
        <v>1.2800000000000001E-2</v>
      </c>
    </row>
    <row r="11" spans="1:34" s="2903" customFormat="1">
      <c r="A11" s="2896" t="s">
        <v>2963</v>
      </c>
      <c r="B11" s="2897">
        <f t="shared" ref="B11" si="68">B12*(1+N11)</f>
        <v>481.4103506697644</v>
      </c>
      <c r="C11" s="2897">
        <f t="shared" ref="C11" si="69">C12*(1+O11)</f>
        <v>347.29066026648707</v>
      </c>
      <c r="D11" s="2897">
        <f t="shared" ref="D11" si="70">C11</f>
        <v>347.29066026648707</v>
      </c>
      <c r="E11" s="2897">
        <f t="shared" ref="E11" si="71">E12*(1+P11)</f>
        <v>690.85977273901995</v>
      </c>
      <c r="F11" s="2897">
        <f t="shared" ref="F11" si="72">F12*(1+Q11)</f>
        <v>319.13136737000184</v>
      </c>
      <c r="G11" s="2880">
        <v>2020</v>
      </c>
      <c r="H11" s="2898">
        <v>2</v>
      </c>
      <c r="I11" s="2860">
        <v>0.31</v>
      </c>
      <c r="J11" s="2860">
        <v>-0.78</v>
      </c>
      <c r="K11" s="2860">
        <v>0.5</v>
      </c>
      <c r="L11" s="2861">
        <v>0.47</v>
      </c>
      <c r="M11" s="2884"/>
      <c r="N11" s="2899">
        <f t="shared" ref="N11" si="73">I11/100</f>
        <v>3.0999999999999999E-3</v>
      </c>
      <c r="O11" s="2885">
        <f t="shared" ref="O11" si="74">J11/100</f>
        <v>-7.8000000000000005E-3</v>
      </c>
      <c r="P11" s="2885">
        <f t="shared" ref="P11" si="75">K11/100</f>
        <v>5.0000000000000001E-3</v>
      </c>
      <c r="Q11" s="2885">
        <f t="shared" ref="Q11" si="76">L11/100</f>
        <v>4.6999999999999993E-3</v>
      </c>
      <c r="R11" s="2900"/>
      <c r="S11" s="2901"/>
      <c r="T11" s="2902"/>
      <c r="U11" s="2902"/>
      <c r="V11" s="2902"/>
      <c r="W11" s="2884"/>
      <c r="X11" s="2884">
        <f>ROUND(IF(项目基本情况!B8="出让",SUMPRODUCT(PRODUCT(1+N11:N$36)),SUMPRODUCT(PRODUCT(1+N11:N$35))),4)</f>
        <v>1.5652999999999999</v>
      </c>
      <c r="Y11" s="2884">
        <f>ROUND(IF(项目基本情况!B8="出让",SUMPRODUCT(PRODUCT(1+O11:O$36)),SUMPRODUCT(PRODUCT(1+O11:O$35))),4)</f>
        <v>1.3472</v>
      </c>
      <c r="Z11" s="2884">
        <f t="shared" ref="Z11" si="77">Y11</f>
        <v>1.3472</v>
      </c>
      <c r="AA11" s="2884">
        <f>ROUND(IF(项目基本情况!B8="出让",SUMPRODUCT(PRODUCT(1+P11:P$36)),SUMPRODUCT(PRODUCT(1+P11:P$35))),4)</f>
        <v>1.6335999999999999</v>
      </c>
      <c r="AB11" s="2884">
        <f>ROUND(IF(项目基本情况!B8="出让",SUMPRODUCT(PRODUCT(1+Q11:Q$36)),SUMPRODUCT(PRODUCT(1+Q11:Q$35))),4)</f>
        <v>1.3880999999999999</v>
      </c>
      <c r="AC11" s="2884"/>
      <c r="AD11" s="2885">
        <f>ROUND(AVERAGE(I11:I$36)/100,4)</f>
        <v>1.8599999999999998E-2</v>
      </c>
      <c r="AE11" s="2885">
        <f>ROUND(AVERAGE(J11:J$36)/100,4)</f>
        <v>1.2500000000000001E-2</v>
      </c>
      <c r="AF11" s="2885">
        <f t="shared" ref="AF11" si="78">AE11</f>
        <v>1.2500000000000001E-2</v>
      </c>
      <c r="AG11" s="2885">
        <f>ROUND(AVERAGE(K11:K$36)/100,4)</f>
        <v>2.0400000000000001E-2</v>
      </c>
      <c r="AH11" s="2885">
        <f>ROUND(AVERAGE(L11:L$36)/100,4)</f>
        <v>1.32E-2</v>
      </c>
    </row>
    <row r="12" spans="1:34" s="2903" customFormat="1">
      <c r="A12" s="2896" t="s">
        <v>2961</v>
      </c>
      <c r="B12" s="2897">
        <f t="shared" ref="B12" si="79">B13*(1+N12)</f>
        <v>479.92259063878413</v>
      </c>
      <c r="C12" s="2897">
        <f t="shared" ref="C12" si="80">C13*(1+O12)</f>
        <v>350.02082268341775</v>
      </c>
      <c r="D12" s="2897">
        <f t="shared" ref="D12" si="81">C12</f>
        <v>350.02082268341775</v>
      </c>
      <c r="E12" s="2897">
        <f t="shared" ref="E12" si="82">E13*(1+P12)</f>
        <v>687.42265944181099</v>
      </c>
      <c r="F12" s="2897">
        <f t="shared" ref="F12" si="83">F13*(1+Q12)</f>
        <v>317.63846657708956</v>
      </c>
      <c r="G12" s="2880">
        <v>2020</v>
      </c>
      <c r="H12" s="2898">
        <v>1</v>
      </c>
      <c r="I12" s="2860">
        <v>0.12</v>
      </c>
      <c r="J12" s="2860">
        <v>-0.4</v>
      </c>
      <c r="K12" s="2860">
        <v>0.21</v>
      </c>
      <c r="L12" s="2861">
        <v>0.27</v>
      </c>
      <c r="M12" s="2884"/>
      <c r="N12" s="2899">
        <f t="shared" ref="N12" si="84">I12/100</f>
        <v>1.1999999999999999E-3</v>
      </c>
      <c r="O12" s="2885">
        <f t="shared" ref="O12" si="85">J12/100</f>
        <v>-4.0000000000000001E-3</v>
      </c>
      <c r="P12" s="2885">
        <f t="shared" ref="P12" si="86">K12/100</f>
        <v>2.0999999999999999E-3</v>
      </c>
      <c r="Q12" s="2885">
        <f t="shared" ref="Q12" si="87">L12/100</f>
        <v>2.7000000000000001E-3</v>
      </c>
      <c r="R12" s="2900"/>
      <c r="S12" s="2901">
        <f>B12/B13-1</f>
        <v>1.2000000000000899E-3</v>
      </c>
      <c r="T12" s="2902">
        <f>C12/C13-1</f>
        <v>-4.0000000000000036E-3</v>
      </c>
      <c r="U12" s="2902">
        <f>E12/E13-1</f>
        <v>2.0999999999999908E-3</v>
      </c>
      <c r="V12" s="2902">
        <f>F12/F13-1</f>
        <v>2.6999999999999247E-3</v>
      </c>
      <c r="W12" s="2884"/>
      <c r="X12" s="2884">
        <f>ROUND(IF(项目基本情况!B8="出让",SUMPRODUCT(PRODUCT(1+N12:N$36)),SUMPRODUCT(PRODUCT(1+N12:N$35))),4)</f>
        <v>1.5605</v>
      </c>
      <c r="Y12" s="2884">
        <f>ROUND(IF(项目基本情况!B8="出让",SUMPRODUCT(PRODUCT(1+O12:O$36)),SUMPRODUCT(PRODUCT(1+O12:O$35))),4)</f>
        <v>1.3577999999999999</v>
      </c>
      <c r="Z12" s="2884">
        <f t="shared" ref="Z12" si="88">Y12</f>
        <v>1.3577999999999999</v>
      </c>
      <c r="AA12" s="2884">
        <f>ROUND(IF(项目基本情况!B8="出让",SUMPRODUCT(PRODUCT(1+P12:P$36)),SUMPRODUCT(PRODUCT(1+P12:P$35))),4)</f>
        <v>1.6254999999999999</v>
      </c>
      <c r="AB12" s="2884">
        <f>ROUND(IF(项目基本情况!B8="出让",SUMPRODUCT(PRODUCT(1+Q12:Q$36)),SUMPRODUCT(PRODUCT(1+Q12:Q$35))),4)</f>
        <v>1.3815999999999999</v>
      </c>
      <c r="AC12" s="2884"/>
      <c r="AD12" s="2885">
        <f>ROUND(AVERAGE(I12:I$36)/100,4)</f>
        <v>1.9199999999999998E-2</v>
      </c>
      <c r="AE12" s="2885">
        <f>ROUND(AVERAGE(J12:J$36)/100,4)</f>
        <v>1.3299999999999999E-2</v>
      </c>
      <c r="AF12" s="2885">
        <f t="shared" ref="AF12" si="89">AE12</f>
        <v>1.3299999999999999E-2</v>
      </c>
      <c r="AG12" s="2885">
        <f>ROUND(AVERAGE(K12:K$36)/100,4)</f>
        <v>2.1100000000000001E-2</v>
      </c>
      <c r="AH12" s="2885">
        <f>ROUND(AVERAGE(L12:L$36)/100,4)</f>
        <v>1.3599999999999999E-2</v>
      </c>
    </row>
    <row r="13" spans="1:34" s="2903" customFormat="1">
      <c r="A13" s="2896" t="s">
        <v>2958</v>
      </c>
      <c r="B13" s="2897">
        <f t="shared" ref="B13" si="90">B14*(1+N13)</f>
        <v>479.34737379023579</v>
      </c>
      <c r="C13" s="2897">
        <f t="shared" ref="C13" si="91">C14*(1+O13)</f>
        <v>351.4265287986122</v>
      </c>
      <c r="D13" s="2897">
        <f t="shared" ref="D13" si="92">C13</f>
        <v>351.4265287986122</v>
      </c>
      <c r="E13" s="2897">
        <f t="shared" ref="E13" si="93">E14*(1+P13)</f>
        <v>685.98209703803116</v>
      </c>
      <c r="F13" s="2897">
        <f t="shared" ref="F13" si="94">F14*(1+Q13)</f>
        <v>316.78315206651001</v>
      </c>
      <c r="G13" s="2880">
        <v>2019</v>
      </c>
      <c r="H13" s="2898">
        <v>4</v>
      </c>
      <c r="I13" s="2898">
        <v>0.45</v>
      </c>
      <c r="J13" s="2898">
        <v>-0.12</v>
      </c>
      <c r="K13" s="2898">
        <v>0.54</v>
      </c>
      <c r="L13" s="2904">
        <v>0.48</v>
      </c>
      <c r="M13" s="2884"/>
      <c r="N13" s="2899">
        <f t="shared" ref="N13" si="95">I13/100</f>
        <v>4.5000000000000005E-3</v>
      </c>
      <c r="O13" s="2885">
        <f t="shared" ref="O13" si="96">J13/100</f>
        <v>-1.1999999999999999E-3</v>
      </c>
      <c r="P13" s="2885">
        <f t="shared" ref="P13" si="97">K13/100</f>
        <v>5.4000000000000003E-3</v>
      </c>
      <c r="Q13" s="2885">
        <f t="shared" ref="Q13" si="98">L13/100</f>
        <v>4.7999999999999996E-3</v>
      </c>
      <c r="R13" s="2900"/>
      <c r="S13" s="2901"/>
      <c r="T13" s="2902"/>
      <c r="U13" s="2902"/>
      <c r="V13" s="2902"/>
      <c r="W13" s="2884"/>
      <c r="X13" s="2884">
        <f>ROUND(IF(项目基本情况!B8="出让",SUMPRODUCT(PRODUCT(1+N13:N$36)),SUMPRODUCT(PRODUCT(1+N13:N$35))),4)</f>
        <v>1.5586</v>
      </c>
      <c r="Y13" s="2884">
        <f>ROUND(IF(项目基本情况!B8="出让",SUMPRODUCT(PRODUCT(1+O13:O$36)),SUMPRODUCT(PRODUCT(1+O13:O$35))),4)</f>
        <v>1.3633</v>
      </c>
      <c r="Z13" s="2884">
        <f t="shared" ref="Z13" si="99">Y13</f>
        <v>1.3633</v>
      </c>
      <c r="AA13" s="2884">
        <f>ROUND(IF(项目基本情况!B8="出让",SUMPRODUCT(PRODUCT(1+P13:P$36)),SUMPRODUCT(PRODUCT(1+P13:P$35))),4)</f>
        <v>1.6221000000000001</v>
      </c>
      <c r="AB13" s="2884">
        <f>ROUND(IF(项目基本情况!B8="出让",SUMPRODUCT(PRODUCT(1+Q13:Q$36)),SUMPRODUCT(PRODUCT(1+Q13:Q$35))),4)</f>
        <v>1.3777999999999999</v>
      </c>
      <c r="AC13" s="2884"/>
      <c r="AD13" s="2885">
        <f>ROUND(AVERAGE(I13:I$36)/100,4)</f>
        <v>0.02</v>
      </c>
      <c r="AE13" s="2885">
        <f>ROUND(AVERAGE(J13:J$36)/100,4)</f>
        <v>1.4E-2</v>
      </c>
      <c r="AF13" s="2885">
        <f t="shared" ref="AF13" si="100">AE13</f>
        <v>1.4E-2</v>
      </c>
      <c r="AG13" s="2885">
        <f>ROUND(AVERAGE(K13:K$36)/100,4)</f>
        <v>2.1899999999999999E-2</v>
      </c>
      <c r="AH13" s="2885">
        <f>ROUND(AVERAGE(L13:L$36)/100,4)</f>
        <v>1.4E-2</v>
      </c>
    </row>
    <row r="14" spans="1:34" s="2903" customFormat="1" ht="13.5" thickBot="1">
      <c r="A14" s="2896" t="s">
        <v>2957</v>
      </c>
      <c r="B14" s="2897">
        <f t="shared" ref="B14" si="101">B15*(1+N14)</f>
        <v>477.19997390765138</v>
      </c>
      <c r="C14" s="2897">
        <f t="shared" ref="C14" si="102">C15*(1+O14)</f>
        <v>351.84874729536665</v>
      </c>
      <c r="D14" s="2897">
        <f t="shared" ref="D14" si="103">C14</f>
        <v>351.84874729536665</v>
      </c>
      <c r="E14" s="2897">
        <f t="shared" ref="E14" si="104">E15*(1+P14)</f>
        <v>682.29768951465201</v>
      </c>
      <c r="F14" s="2897">
        <f t="shared" ref="F14" si="105">F15*(1+Q14)</f>
        <v>315.26985675409043</v>
      </c>
      <c r="G14" s="2880">
        <v>2019</v>
      </c>
      <c r="H14" s="2898">
        <v>3</v>
      </c>
      <c r="I14" s="2898">
        <v>0.61</v>
      </c>
      <c r="J14" s="2898">
        <v>0.67</v>
      </c>
      <c r="K14" s="2898">
        <v>0.6</v>
      </c>
      <c r="L14" s="2904">
        <v>1.03</v>
      </c>
      <c r="M14" s="2884"/>
      <c r="N14" s="2899">
        <f t="shared" ref="N14" si="106">I14/100</f>
        <v>6.0999999999999995E-3</v>
      </c>
      <c r="O14" s="2885">
        <f t="shared" ref="O14" si="107">J14/100</f>
        <v>6.7000000000000002E-3</v>
      </c>
      <c r="P14" s="2885">
        <f t="shared" ref="P14" si="108">K14/100</f>
        <v>6.0000000000000001E-3</v>
      </c>
      <c r="Q14" s="2885">
        <f t="shared" ref="Q14" si="109">L14/100</f>
        <v>1.03E-2</v>
      </c>
      <c r="R14" s="2900"/>
      <c r="S14" s="2901"/>
      <c r="T14" s="2902"/>
      <c r="U14" s="2902"/>
      <c r="V14" s="2902"/>
      <c r="W14" s="2884"/>
      <c r="X14" s="2884">
        <f>ROUND(IF(项目基本情况!B8="出让",SUMPRODUCT(PRODUCT(1+N14:N$36)),SUMPRODUCT(PRODUCT(1+N14:N$35))),4)</f>
        <v>1.5516000000000001</v>
      </c>
      <c r="Y14" s="2884">
        <f>ROUND(IF(项目基本情况!B8="出让",SUMPRODUCT(PRODUCT(1+O14:O$36)),SUMPRODUCT(PRODUCT(1+O14:O$35))),4)</f>
        <v>1.3649</v>
      </c>
      <c r="Z14" s="2884">
        <f t="shared" ref="Z14" si="110">Y14</f>
        <v>1.3649</v>
      </c>
      <c r="AA14" s="2884">
        <f>ROUND(IF(项目基本情况!B8="出让",SUMPRODUCT(PRODUCT(1+P14:P$36)),SUMPRODUCT(PRODUCT(1+P14:P$35))),4)</f>
        <v>1.6133999999999999</v>
      </c>
      <c r="AB14" s="2884">
        <f>ROUND(IF(项目基本情况!B8="出让",SUMPRODUCT(PRODUCT(1+Q14:Q$36)),SUMPRODUCT(PRODUCT(1+Q14:Q$35))),4)</f>
        <v>1.3713</v>
      </c>
      <c r="AC14" s="2884"/>
      <c r="AD14" s="2885">
        <f>ROUND(AVERAGE(I14:I$36)/100,4)</f>
        <v>2.07E-2</v>
      </c>
      <c r="AE14" s="2885">
        <f>ROUND(AVERAGE(J14:J$36)/100,4)</f>
        <v>1.47E-2</v>
      </c>
      <c r="AF14" s="2885">
        <f t="shared" ref="AF14" si="111">AE14</f>
        <v>1.47E-2</v>
      </c>
      <c r="AG14" s="2885">
        <f>ROUND(AVERAGE(K14:K$36)/100,4)</f>
        <v>2.2599999999999999E-2</v>
      </c>
      <c r="AH14" s="2885">
        <f>ROUND(AVERAGE(L14:L$36)/100,4)</f>
        <v>1.44E-2</v>
      </c>
    </row>
    <row r="15" spans="1:34" s="2903" customFormat="1">
      <c r="A15" s="2896" t="s">
        <v>2954</v>
      </c>
      <c r="B15" s="2897">
        <f t="shared" ref="B15:B20" si="112">B16*(1+N15)</f>
        <v>474.30670301923408</v>
      </c>
      <c r="C15" s="2897">
        <f t="shared" ref="C15" si="113">C16*(1+O15)</f>
        <v>349.50705005996491</v>
      </c>
      <c r="D15" s="2897">
        <f t="shared" ref="D15" si="114">C15</f>
        <v>349.50705005996491</v>
      </c>
      <c r="E15" s="2897">
        <f t="shared" ref="E15" si="115">E16*(1+P15)</f>
        <v>678.22831959706957</v>
      </c>
      <c r="F15" s="2897">
        <f t="shared" ref="F15" si="116">F16*(1+Q15)</f>
        <v>312.0556832169558</v>
      </c>
      <c r="G15" s="2880">
        <v>2019</v>
      </c>
      <c r="H15" s="2905">
        <v>2</v>
      </c>
      <c r="I15" s="2905">
        <v>1.53</v>
      </c>
      <c r="J15" s="2905">
        <v>1.01</v>
      </c>
      <c r="K15" s="2905">
        <v>1.62</v>
      </c>
      <c r="L15" s="2906">
        <v>1.25</v>
      </c>
      <c r="M15" s="2884"/>
      <c r="N15" s="2899">
        <f t="shared" ref="N15" si="117">I15/100</f>
        <v>1.5300000000000001E-2</v>
      </c>
      <c r="O15" s="2885">
        <f t="shared" ref="O15" si="118">J15/100</f>
        <v>1.01E-2</v>
      </c>
      <c r="P15" s="2885">
        <f t="shared" ref="P15" si="119">K15/100</f>
        <v>1.6200000000000003E-2</v>
      </c>
      <c r="Q15" s="2885">
        <f t="shared" ref="Q15" si="120">L15/100</f>
        <v>1.2500000000000001E-2</v>
      </c>
      <c r="R15" s="2900"/>
      <c r="S15" s="2901"/>
      <c r="T15" s="2902"/>
      <c r="U15" s="2902"/>
      <c r="V15" s="2902"/>
      <c r="W15" s="2884"/>
      <c r="X15" s="2884">
        <f>ROUND(IF(项目基本情况!B8="出让",SUMPRODUCT(PRODUCT(1+N15:N$36)),SUMPRODUCT(PRODUCT(1+N15:N$35))),4)</f>
        <v>1.5422</v>
      </c>
      <c r="Y15" s="2884">
        <f>ROUND(IF(项目基本情况!B8="出让",SUMPRODUCT(PRODUCT(1+O15:O$36)),SUMPRODUCT(PRODUCT(1+O15:O$35))),4)</f>
        <v>1.3557999999999999</v>
      </c>
      <c r="Z15" s="2884">
        <f t="shared" ref="Z15" si="121">Y15</f>
        <v>1.3557999999999999</v>
      </c>
      <c r="AA15" s="2884">
        <f>ROUND(IF(项目基本情况!B8="出让",SUMPRODUCT(PRODUCT(1+P15:P$36)),SUMPRODUCT(PRODUCT(1+P15:P$35))),4)</f>
        <v>1.6036999999999999</v>
      </c>
      <c r="AB15" s="2884">
        <f>ROUND(IF(项目基本情况!B8="出让",SUMPRODUCT(PRODUCT(1+Q15:Q$36)),SUMPRODUCT(PRODUCT(1+Q15:Q$35))),4)</f>
        <v>1.3573</v>
      </c>
      <c r="AC15" s="2884"/>
      <c r="AD15" s="2885">
        <f>ROUND(AVERAGE(I15:I$36)/100,4)</f>
        <v>2.1299999999999999E-2</v>
      </c>
      <c r="AE15" s="2885">
        <f>ROUND(AVERAGE(J15:J$36)/100,4)</f>
        <v>1.4999999999999999E-2</v>
      </c>
      <c r="AF15" s="2885">
        <f t="shared" ref="AF15" si="122">AE15</f>
        <v>1.4999999999999999E-2</v>
      </c>
      <c r="AG15" s="2885">
        <f>ROUND(AVERAGE(K15:K$36)/100,4)</f>
        <v>2.3300000000000001E-2</v>
      </c>
      <c r="AH15" s="2885">
        <f>ROUND(AVERAGE(L15:L$36)/100,4)</f>
        <v>1.46E-2</v>
      </c>
    </row>
    <row r="16" spans="1:34" s="2903" customFormat="1" ht="13.5" thickBot="1">
      <c r="A16" s="2896" t="s">
        <v>2953</v>
      </c>
      <c r="B16" s="2897">
        <f t="shared" si="112"/>
        <v>467.15916775261894</v>
      </c>
      <c r="C16" s="2897">
        <f t="shared" ref="C16" si="123">C17*(1+O16)</f>
        <v>346.01232557169084</v>
      </c>
      <c r="D16" s="2897">
        <f t="shared" ref="D16" si="124">C16</f>
        <v>346.01232557169084</v>
      </c>
      <c r="E16" s="2897">
        <f t="shared" ref="E16" si="125">E17*(1+P16)</f>
        <v>667.41617752122568</v>
      </c>
      <c r="F16" s="2897">
        <f t="shared" ref="F16" si="126">F17*(1+Q16)</f>
        <v>308.20314391798104</v>
      </c>
      <c r="G16" s="2880">
        <v>2019</v>
      </c>
      <c r="H16" s="2898">
        <v>1</v>
      </c>
      <c r="I16" s="2898">
        <v>0.6</v>
      </c>
      <c r="J16" s="2898">
        <v>0.37</v>
      </c>
      <c r="K16" s="2898">
        <v>0.63</v>
      </c>
      <c r="L16" s="2904">
        <v>1.1299999999999999</v>
      </c>
      <c r="M16" s="2884"/>
      <c r="N16" s="2899">
        <f t="shared" ref="N16" si="127">I16/100</f>
        <v>6.0000000000000001E-3</v>
      </c>
      <c r="O16" s="2885">
        <f t="shared" ref="O16" si="128">J16/100</f>
        <v>3.7000000000000002E-3</v>
      </c>
      <c r="P16" s="2885">
        <f t="shared" ref="P16" si="129">K16/100</f>
        <v>6.3E-3</v>
      </c>
      <c r="Q16" s="2885">
        <f t="shared" ref="Q16" si="130">L16/100</f>
        <v>1.1299999999999999E-2</v>
      </c>
      <c r="R16" s="2900"/>
      <c r="S16" s="2901">
        <f>B16/B17-1</f>
        <v>6.0000000000000053E-3</v>
      </c>
      <c r="T16" s="2902">
        <f>C16/C17-1</f>
        <v>3.7000000000000366E-3</v>
      </c>
      <c r="U16" s="2902">
        <f>E16/E17-1</f>
        <v>6.2999999999999723E-3</v>
      </c>
      <c r="V16" s="2902">
        <f>F16/F17-1</f>
        <v>1.1300000000000088E-2</v>
      </c>
      <c r="W16" s="2884"/>
      <c r="X16" s="2884">
        <f>ROUND(IF(项目基本情况!B8="出让",SUMPRODUCT(PRODUCT(1+N16:N$36)),SUMPRODUCT(PRODUCT(1+N16:N$35))),4)</f>
        <v>1.5189999999999999</v>
      </c>
      <c r="Y16" s="2884">
        <f>ROUND(IF(项目基本情况!B8="出让",SUMPRODUCT(PRODUCT(1+O16:O$36)),SUMPRODUCT(PRODUCT(1+O16:O$35))),4)</f>
        <v>1.3423</v>
      </c>
      <c r="Z16" s="2884">
        <f t="shared" ref="Z16" si="131">Y16</f>
        <v>1.3423</v>
      </c>
      <c r="AA16" s="2884">
        <f>ROUND(IF(项目基本情况!B8="出让",SUMPRODUCT(PRODUCT(1+P16:P$36)),SUMPRODUCT(PRODUCT(1+P16:P$35))),4)</f>
        <v>1.5782</v>
      </c>
      <c r="AB16" s="2884">
        <f>ROUND(IF(项目基本情况!B8="出让",SUMPRODUCT(PRODUCT(1+Q16:Q$36)),SUMPRODUCT(PRODUCT(1+Q16:Q$35))),4)</f>
        <v>1.3405</v>
      </c>
      <c r="AC16" s="2884"/>
      <c r="AD16" s="2885">
        <f>ROUND(AVERAGE(I16:I$36)/100,4)</f>
        <v>2.1600000000000001E-2</v>
      </c>
      <c r="AE16" s="2885">
        <f>ROUND(AVERAGE(J16:J$36)/100,4)</f>
        <v>1.5299999999999999E-2</v>
      </c>
      <c r="AF16" s="2885">
        <f t="shared" ref="AF16" si="132">AE16</f>
        <v>1.5299999999999999E-2</v>
      </c>
      <c r="AG16" s="2885">
        <f>ROUND(AVERAGE(K16:K$36)/100,4)</f>
        <v>2.3699999999999999E-2</v>
      </c>
      <c r="AH16" s="2885">
        <f>ROUND(AVERAGE(L16:L$36)/100,4)</f>
        <v>1.47E-2</v>
      </c>
    </row>
    <row r="17" spans="1:34" s="2903" customFormat="1">
      <c r="A17" s="2896" t="s">
        <v>2950</v>
      </c>
      <c r="B17" s="2907">
        <f t="shared" si="112"/>
        <v>464.37293017158942</v>
      </c>
      <c r="C17" s="2907">
        <f t="shared" ref="C17" si="133">C18*(1+O17)</f>
        <v>344.73679941385956</v>
      </c>
      <c r="D17" s="2907">
        <f t="shared" ref="D17" si="134">C17</f>
        <v>344.73679941385956</v>
      </c>
      <c r="E17" s="2907">
        <f t="shared" ref="E17" si="135">E18*(1+P17)</f>
        <v>663.2377795103107</v>
      </c>
      <c r="F17" s="2908">
        <f t="shared" ref="F17" si="136">F18*(1+Q17)</f>
        <v>304.75936311478398</v>
      </c>
      <c r="G17" s="3575">
        <v>2018</v>
      </c>
      <c r="H17" s="2905">
        <v>4</v>
      </c>
      <c r="I17" s="2905">
        <v>0.96</v>
      </c>
      <c r="J17" s="2905">
        <v>1.03</v>
      </c>
      <c r="K17" s="2905">
        <v>0.92</v>
      </c>
      <c r="L17" s="2906">
        <v>1.29</v>
      </c>
      <c r="M17" s="2884"/>
      <c r="N17" s="2899">
        <f t="shared" ref="N17" si="137">I17/100</f>
        <v>9.5999999999999992E-3</v>
      </c>
      <c r="O17" s="2885">
        <f t="shared" ref="O17" si="138">J17/100</f>
        <v>1.03E-2</v>
      </c>
      <c r="P17" s="2885">
        <f t="shared" ref="P17" si="139">K17/100</f>
        <v>9.1999999999999998E-3</v>
      </c>
      <c r="Q17" s="2885">
        <f t="shared" ref="Q17" si="140">L17/100</f>
        <v>1.29E-2</v>
      </c>
      <c r="R17" s="2900"/>
      <c r="S17" s="2909"/>
      <c r="T17" s="2910"/>
      <c r="U17" s="2910"/>
      <c r="V17" s="2910"/>
      <c r="W17" s="2884"/>
      <c r="X17" s="2884">
        <f>ROUND(SUMPRODUCT(PRODUCT(1+N17:N$35)),4)</f>
        <v>1.5099</v>
      </c>
      <c r="Y17" s="2884">
        <f>ROUND(SUMPRODUCT(PRODUCT(1+O17:O$35)),4)</f>
        <v>1.3372999999999999</v>
      </c>
      <c r="Z17" s="2884">
        <f t="shared" ref="Z17" si="141">Y17</f>
        <v>1.3372999999999999</v>
      </c>
      <c r="AA17" s="2884">
        <f>ROUND(SUMPRODUCT(PRODUCT(1+P17:P$35)),4)</f>
        <v>1.5683</v>
      </c>
      <c r="AB17" s="2884">
        <f>ROUND(SUMPRODUCT(PRODUCT(1+Q17:Q$35)),4)</f>
        <v>1.3255999999999999</v>
      </c>
      <c r="AC17" s="2884"/>
      <c r="AD17" s="2885">
        <f>ROUND(AVERAGE(I17:I$36)/100,4)</f>
        <v>2.24E-2</v>
      </c>
      <c r="AE17" s="2885">
        <f>ROUND(AVERAGE(J17:J$36)/100,4)</f>
        <v>1.5800000000000002E-2</v>
      </c>
      <c r="AF17" s="2885">
        <f t="shared" ref="AF17" si="142">AE17</f>
        <v>1.5800000000000002E-2</v>
      </c>
      <c r="AG17" s="2885">
        <f>ROUND(AVERAGE(K17:K$36)/100,4)</f>
        <v>2.4500000000000001E-2</v>
      </c>
      <c r="AH17" s="2885">
        <f>ROUND(AVERAGE(L17:L$36)/100,4)</f>
        <v>1.49E-2</v>
      </c>
    </row>
    <row r="18" spans="1:34" s="2903" customFormat="1" ht="14.45" customHeight="1">
      <c r="A18" s="2896" t="s">
        <v>2943</v>
      </c>
      <c r="B18" s="2897">
        <f t="shared" si="112"/>
        <v>459.95733971036987</v>
      </c>
      <c r="C18" s="2897">
        <f t="shared" ref="C18" si="143">C19*(1+O18)</f>
        <v>341.22221064422405</v>
      </c>
      <c r="D18" s="2897">
        <f t="shared" ref="D18" si="144">C18</f>
        <v>341.22221064422405</v>
      </c>
      <c r="E18" s="2897">
        <f t="shared" ref="E18" si="145">E19*(1+P18)</f>
        <v>657.19161663724799</v>
      </c>
      <c r="F18" s="2897">
        <f t="shared" ref="F18" si="146">F19*(1+Q18)</f>
        <v>300.87803644464805</v>
      </c>
      <c r="G18" s="3575"/>
      <c r="H18" s="2898">
        <v>3</v>
      </c>
      <c r="I18" s="2898">
        <v>1.51</v>
      </c>
      <c r="J18" s="2898">
        <v>1.41</v>
      </c>
      <c r="K18" s="2898">
        <v>1.52</v>
      </c>
      <c r="L18" s="2904">
        <v>1.74</v>
      </c>
      <c r="M18" s="2884"/>
      <c r="N18" s="2899">
        <f t="shared" ref="N18" si="147">I18/100</f>
        <v>1.5100000000000001E-2</v>
      </c>
      <c r="O18" s="2885">
        <f t="shared" ref="O18" si="148">J18/100</f>
        <v>1.41E-2</v>
      </c>
      <c r="P18" s="2885">
        <f t="shared" ref="P18" si="149">K18/100</f>
        <v>1.52E-2</v>
      </c>
      <c r="Q18" s="2885">
        <f t="shared" ref="Q18" si="150">L18/100</f>
        <v>1.7399999999999999E-2</v>
      </c>
      <c r="R18" s="2900"/>
      <c r="S18" s="2899"/>
      <c r="T18" s="2885"/>
      <c r="U18" s="2885"/>
      <c r="V18" s="2885"/>
      <c r="W18" s="2884"/>
      <c r="X18" s="2884">
        <f>ROUND(SUMPRODUCT(PRODUCT(1+N18:N$35)),4)</f>
        <v>1.4956</v>
      </c>
      <c r="Y18" s="2884">
        <f>ROUND(SUMPRODUCT(PRODUCT(1+O18:O$35)),4)</f>
        <v>1.3237000000000001</v>
      </c>
      <c r="Z18" s="2884">
        <f t="shared" ref="Z18" si="151">Y18</f>
        <v>1.3237000000000001</v>
      </c>
      <c r="AA18" s="2884">
        <f>ROUND(SUMPRODUCT(PRODUCT(1+P18:P$35)),4)</f>
        <v>1.554</v>
      </c>
      <c r="AB18" s="2884">
        <f>ROUND(SUMPRODUCT(PRODUCT(1+Q18:Q$35)),4)</f>
        <v>1.3087</v>
      </c>
      <c r="AC18" s="2884"/>
      <c r="AD18" s="2885">
        <f>ROUND(AVERAGE(I18:I$36)/100,4)</f>
        <v>2.3099999999999999E-2</v>
      </c>
      <c r="AE18" s="2885">
        <f>ROUND(AVERAGE(J18:J$36)/100,4)</f>
        <v>1.61E-2</v>
      </c>
      <c r="AF18" s="2885">
        <f t="shared" ref="AF18" si="152">AE18</f>
        <v>1.61E-2</v>
      </c>
      <c r="AG18" s="2885">
        <f>ROUND(AVERAGE(K18:K$36)/100,4)</f>
        <v>2.53E-2</v>
      </c>
      <c r="AH18" s="2885">
        <f>ROUND(AVERAGE(L18:L$36)/100,4)</f>
        <v>1.4999999999999999E-2</v>
      </c>
    </row>
    <row r="19" spans="1:34" s="2903" customFormat="1" ht="14.45" customHeight="1">
      <c r="A19" s="2896" t="s">
        <v>2944</v>
      </c>
      <c r="B19" s="2897">
        <f t="shared" si="112"/>
        <v>453.11529869999993</v>
      </c>
      <c r="C19" s="2897">
        <f t="shared" ref="C19" si="153">C20*(1+O19)</f>
        <v>336.47787264000004</v>
      </c>
      <c r="D19" s="2897">
        <f t="shared" ref="D19" si="154">C19</f>
        <v>336.47787264000004</v>
      </c>
      <c r="E19" s="2897">
        <f t="shared" ref="E19" si="155">E20*(1+P19)</f>
        <v>647.35186823999993</v>
      </c>
      <c r="F19" s="2897">
        <f t="shared" ref="F19" si="156">F20*(1+Q19)</f>
        <v>295.73229452000004</v>
      </c>
      <c r="G19" s="3575"/>
      <c r="H19" s="2911">
        <v>2</v>
      </c>
      <c r="I19" s="2911">
        <v>1.49</v>
      </c>
      <c r="J19" s="2911">
        <v>0.96</v>
      </c>
      <c r="K19" s="2911">
        <v>1.58</v>
      </c>
      <c r="L19" s="2912">
        <v>2.44</v>
      </c>
      <c r="M19" s="2884"/>
      <c r="N19" s="2899">
        <f t="shared" ref="N19" si="157">I19/100</f>
        <v>1.49E-2</v>
      </c>
      <c r="O19" s="2885">
        <f t="shared" ref="O19" si="158">J19/100</f>
        <v>9.5999999999999992E-3</v>
      </c>
      <c r="P19" s="2885">
        <f t="shared" ref="P19" si="159">K19/100</f>
        <v>1.5800000000000002E-2</v>
      </c>
      <c r="Q19" s="2885">
        <f t="shared" ref="Q19" si="160">L19/100</f>
        <v>2.4399999999999998E-2</v>
      </c>
      <c r="R19" s="2900"/>
      <c r="S19" s="2899"/>
      <c r="T19" s="2885"/>
      <c r="U19" s="2885"/>
      <c r="V19" s="2885"/>
      <c r="W19" s="2884"/>
      <c r="X19" s="2884">
        <f>ROUND(SUMPRODUCT(PRODUCT(1+N19:N$35)),4)</f>
        <v>1.4733000000000001</v>
      </c>
      <c r="Y19" s="2884">
        <f>ROUND(SUMPRODUCT(PRODUCT(1+O19:O$35)),4)</f>
        <v>1.3052999999999999</v>
      </c>
      <c r="Z19" s="2884">
        <f t="shared" ref="Z19" si="161">Y19</f>
        <v>1.3052999999999999</v>
      </c>
      <c r="AA19" s="2884">
        <f>ROUND(SUMPRODUCT(PRODUCT(1+P19:P$35)),4)</f>
        <v>1.5306999999999999</v>
      </c>
      <c r="AB19" s="2884">
        <f>ROUND(SUMPRODUCT(PRODUCT(1+Q19:Q$35)),4)</f>
        <v>1.2863</v>
      </c>
      <c r="AC19" s="2884"/>
      <c r="AD19" s="2885">
        <f>ROUND(AVERAGE(I19:I$36)/100,4)</f>
        <v>2.35E-2</v>
      </c>
      <c r="AE19" s="2885">
        <f>ROUND(AVERAGE(J19:J$36)/100,4)</f>
        <v>1.6199999999999999E-2</v>
      </c>
      <c r="AF19" s="2885">
        <f t="shared" ref="AF19" si="162">AE19</f>
        <v>1.6199999999999999E-2</v>
      </c>
      <c r="AG19" s="2885">
        <f>ROUND(AVERAGE(K19:K$36)/100,4)</f>
        <v>2.5899999999999999E-2</v>
      </c>
      <c r="AH19" s="2885">
        <f>ROUND(AVERAGE(L19:L$36)/100,4)</f>
        <v>1.49E-2</v>
      </c>
    </row>
    <row r="20" spans="1:34" s="2903" customFormat="1" ht="15" customHeight="1" thickBot="1">
      <c r="A20" s="2896" t="s">
        <v>2940</v>
      </c>
      <c r="B20" s="2897">
        <f t="shared" si="112"/>
        <v>446.46299999999997</v>
      </c>
      <c r="C20" s="2897">
        <f t="shared" ref="C20" si="163">C21*(1+O20)</f>
        <v>333.27840000000003</v>
      </c>
      <c r="D20" s="2897">
        <f t="shared" ref="D20:D25" si="164">C20</f>
        <v>333.27840000000003</v>
      </c>
      <c r="E20" s="2897">
        <f t="shared" ref="E20" si="165">E21*(1+P20)</f>
        <v>637.28279999999995</v>
      </c>
      <c r="F20" s="2897">
        <f t="shared" ref="F20" si="166">F21*(1+Q20)</f>
        <v>288.68830000000003</v>
      </c>
      <c r="G20" s="3576"/>
      <c r="H20" s="2898">
        <v>1</v>
      </c>
      <c r="I20" s="2898">
        <v>1.7</v>
      </c>
      <c r="J20" s="2898">
        <v>1.92</v>
      </c>
      <c r="K20" s="2898">
        <v>1.64</v>
      </c>
      <c r="L20" s="2904">
        <v>2.0099999999999998</v>
      </c>
      <c r="M20" s="2884"/>
      <c r="N20" s="2899">
        <f t="shared" ref="N20:N25" si="167">I20/100</f>
        <v>1.7000000000000001E-2</v>
      </c>
      <c r="O20" s="2885">
        <f t="shared" ref="O20" si="168">J20/100</f>
        <v>1.9199999999999998E-2</v>
      </c>
      <c r="P20" s="2885">
        <f t="shared" ref="P20" si="169">K20/100</f>
        <v>1.6399999999999998E-2</v>
      </c>
      <c r="Q20" s="2885">
        <f t="shared" ref="Q20" si="170">L20/100</f>
        <v>2.0099999999999996E-2</v>
      </c>
      <c r="R20" s="2900"/>
      <c r="S20" s="2901">
        <f>B20/B21-1</f>
        <v>1.6999999999999904E-2</v>
      </c>
      <c r="T20" s="2902">
        <f>C20/C21-1</f>
        <v>1.9200000000000106E-2</v>
      </c>
      <c r="U20" s="2902">
        <f>E20/E21-1</f>
        <v>1.639999999999997E-2</v>
      </c>
      <c r="V20" s="2902">
        <f>F20/F21-1</f>
        <v>2.0100000000000007E-2</v>
      </c>
      <c r="W20" s="2884"/>
      <c r="X20" s="2884">
        <f>ROUND(SUMPRODUCT(PRODUCT(1+N20:N$35)),4)</f>
        <v>1.4517</v>
      </c>
      <c r="Y20" s="2884">
        <f>ROUND(SUMPRODUCT(PRODUCT(1+O20:O$35)),4)</f>
        <v>1.2928999999999999</v>
      </c>
      <c r="Z20" s="2884">
        <f t="shared" ref="Z20" si="171">Y20</f>
        <v>1.2928999999999999</v>
      </c>
      <c r="AA20" s="2884">
        <f>ROUND(SUMPRODUCT(PRODUCT(1+P20:P$35)),4)</f>
        <v>1.5068999999999999</v>
      </c>
      <c r="AB20" s="2884">
        <f>ROUND(SUMPRODUCT(PRODUCT(1+Q20:Q$35)),4)</f>
        <v>1.2557</v>
      </c>
      <c r="AC20" s="2884"/>
      <c r="AD20" s="2885">
        <f>ROUND(AVERAGE(I20:I$36)/100,4)</f>
        <v>2.4E-2</v>
      </c>
      <c r="AE20" s="2885">
        <f>ROUND(AVERAGE(J20:J$36)/100,4)</f>
        <v>1.66E-2</v>
      </c>
      <c r="AF20" s="2885">
        <f t="shared" ref="AF20" si="172">AE20</f>
        <v>1.66E-2</v>
      </c>
      <c r="AG20" s="2885">
        <f>ROUND(AVERAGE(K20:K$36)/100,4)</f>
        <v>2.6499999999999999E-2</v>
      </c>
      <c r="AH20" s="2885">
        <f>ROUND(AVERAGE(L20:L$36)/100,4)</f>
        <v>1.43E-2</v>
      </c>
    </row>
    <row r="21" spans="1:34">
      <c r="A21" s="2896" t="s">
        <v>2932</v>
      </c>
      <c r="B21" s="2913">
        <v>439</v>
      </c>
      <c r="C21" s="2913">
        <v>327</v>
      </c>
      <c r="D21" s="2913">
        <f t="shared" si="164"/>
        <v>327</v>
      </c>
      <c r="E21" s="2913">
        <v>627</v>
      </c>
      <c r="F21" s="2914">
        <v>283</v>
      </c>
      <c r="G21" s="3574">
        <v>2017</v>
      </c>
      <c r="H21" s="2905">
        <v>4</v>
      </c>
      <c r="I21" s="2905">
        <v>1.71</v>
      </c>
      <c r="J21" s="2905">
        <v>1.78</v>
      </c>
      <c r="K21" s="2905">
        <v>1.71</v>
      </c>
      <c r="L21" s="2906">
        <v>1.43</v>
      </c>
      <c r="N21" s="2915">
        <f t="shared" si="167"/>
        <v>1.7100000000000001E-2</v>
      </c>
      <c r="O21" s="2916">
        <f t="shared" ref="O21" si="173">J21/100</f>
        <v>1.78E-2</v>
      </c>
      <c r="P21" s="2916">
        <f t="shared" ref="P21" si="174">K21/100</f>
        <v>1.7100000000000001E-2</v>
      </c>
      <c r="Q21" s="2916">
        <f t="shared" ref="Q21" si="175">L21/100</f>
        <v>1.43E-2</v>
      </c>
      <c r="R21" s="2900"/>
      <c r="S21" s="2909"/>
      <c r="T21" s="2910"/>
      <c r="U21" s="2910"/>
      <c r="V21" s="2910"/>
      <c r="X21" s="2884">
        <f>ROUND(SUMPRODUCT(PRODUCT(1+N21:N$35)),4)</f>
        <v>1.4274</v>
      </c>
      <c r="Y21" s="2884">
        <f>ROUND(SUMPRODUCT(PRODUCT(1+O21:O$35)),4)</f>
        <v>1.2685</v>
      </c>
      <c r="Z21" s="2884">
        <f t="shared" si="0"/>
        <v>1.2685</v>
      </c>
      <c r="AA21" s="2884">
        <f>ROUND(SUMPRODUCT(PRODUCT(1+P21:P$35)),4)</f>
        <v>1.4825999999999999</v>
      </c>
      <c r="AB21" s="2884">
        <f>ROUND(SUMPRODUCT(PRODUCT(1+Q21:Q$35)),4)</f>
        <v>1.2309000000000001</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903" customFormat="1" ht="14.45" customHeight="1">
      <c r="A22" s="2896" t="s">
        <v>2935</v>
      </c>
      <c r="B22" s="2897">
        <f t="shared" ref="B22:C24" si="176">B23*(1+N22)</f>
        <v>431.80730811680002</v>
      </c>
      <c r="C22" s="2897">
        <f t="shared" si="176"/>
        <v>320.57880516480003</v>
      </c>
      <c r="D22" s="2897">
        <f t="shared" si="164"/>
        <v>320.57880516480003</v>
      </c>
      <c r="E22" s="2897">
        <f t="shared" ref="E22:F24" si="177">E23*(1+P22)</f>
        <v>615.96110553196797</v>
      </c>
      <c r="F22" s="2897">
        <f t="shared" si="177"/>
        <v>279.46777300108801</v>
      </c>
      <c r="G22" s="3575"/>
      <c r="H22" s="2898">
        <v>3</v>
      </c>
      <c r="I22" s="2898">
        <v>2.98</v>
      </c>
      <c r="J22" s="2898">
        <v>2.11</v>
      </c>
      <c r="K22" s="2898">
        <v>3.24</v>
      </c>
      <c r="L22" s="2904">
        <v>1.72</v>
      </c>
      <c r="M22" s="2884"/>
      <c r="N22" s="2899">
        <f t="shared" si="167"/>
        <v>2.98E-2</v>
      </c>
      <c r="O22" s="2917">
        <f t="shared" ref="O22:O23" si="178">J22/100</f>
        <v>2.1099999999999997E-2</v>
      </c>
      <c r="P22" s="2917">
        <f t="shared" ref="P22:P23" si="179">K22/100</f>
        <v>3.2400000000000005E-2</v>
      </c>
      <c r="Q22" s="2917">
        <f t="shared" ref="Q22:Q23" si="180">L22/100</f>
        <v>1.72E-2</v>
      </c>
      <c r="R22" s="2900"/>
      <c r="S22" s="2899"/>
      <c r="T22" s="2885"/>
      <c r="U22" s="2885"/>
      <c r="V22" s="2885"/>
      <c r="W22" s="2884"/>
      <c r="X22" s="2884">
        <f>ROUND(SUMPRODUCT(PRODUCT(1+N22:N$35)),4)</f>
        <v>1.4034</v>
      </c>
      <c r="Y22" s="2884">
        <f>ROUND(SUMPRODUCT(PRODUCT(1+O22:O$35)),4)</f>
        <v>1.2463</v>
      </c>
      <c r="Z22" s="2884">
        <f t="shared" si="0"/>
        <v>1.2463</v>
      </c>
      <c r="AA22" s="2884">
        <f>ROUND(SUMPRODUCT(PRODUCT(1+P22:P$35)),4)</f>
        <v>1.4577</v>
      </c>
      <c r="AB22" s="2884">
        <f>ROUND(SUMPRODUCT(PRODUCT(1+Q22:Q$35)),4)</f>
        <v>1.2136</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96" t="s">
        <v>2561</v>
      </c>
      <c r="B23" s="2897">
        <f t="shared" si="176"/>
        <v>419.31181600000002</v>
      </c>
      <c r="C23" s="2897">
        <f t="shared" si="176"/>
        <v>313.95436800000004</v>
      </c>
      <c r="D23" s="2897">
        <f t="shared" si="164"/>
        <v>313.95436800000004</v>
      </c>
      <c r="E23" s="2897">
        <f t="shared" si="177"/>
        <v>596.63028431999999</v>
      </c>
      <c r="F23" s="2897">
        <f t="shared" si="177"/>
        <v>274.74220703999998</v>
      </c>
      <c r="G23" s="3575"/>
      <c r="H23" s="2911">
        <v>2</v>
      </c>
      <c r="I23" s="2911">
        <v>3.4</v>
      </c>
      <c r="J23" s="2911">
        <v>2</v>
      </c>
      <c r="K23" s="2911">
        <v>3.82</v>
      </c>
      <c r="L23" s="2912">
        <v>1.68</v>
      </c>
      <c r="N23" s="2899">
        <f t="shared" si="167"/>
        <v>3.4000000000000002E-2</v>
      </c>
      <c r="O23" s="2917">
        <f t="shared" si="178"/>
        <v>0.02</v>
      </c>
      <c r="P23" s="2917">
        <f t="shared" si="179"/>
        <v>3.8199999999999998E-2</v>
      </c>
      <c r="Q23" s="2917">
        <f t="shared" si="180"/>
        <v>1.6799999999999999E-2</v>
      </c>
      <c r="S23" s="2899"/>
      <c r="T23" s="2885"/>
      <c r="U23" s="2885"/>
      <c r="V23" s="2885"/>
      <c r="X23" s="2884">
        <f>ROUND(SUMPRODUCT(PRODUCT(1+N23:N$35)),4)</f>
        <v>1.3628</v>
      </c>
      <c r="Y23" s="2884">
        <f>ROUND(SUMPRODUCT(PRODUCT(1+O23:O$35)),4)</f>
        <v>1.2205999999999999</v>
      </c>
      <c r="Z23" s="2884">
        <f t="shared" si="0"/>
        <v>1.2205999999999999</v>
      </c>
      <c r="AA23" s="2884">
        <f>ROUND(SUMPRODUCT(PRODUCT(1+P23:P$35)),4)</f>
        <v>1.4118999999999999</v>
      </c>
      <c r="AB23" s="2884">
        <f>ROUND(SUMPRODUCT(PRODUCT(1+Q23:Q$35)),4)</f>
        <v>1.1930000000000001</v>
      </c>
      <c r="AD23" s="2885">
        <f>ROUND(AVERAGE(I23:I$36)/100,4)</f>
        <v>2.46E-2</v>
      </c>
      <c r="AE23" s="2885">
        <f>ROUND(AVERAGE(J23:J$36)/100,4)</f>
        <v>1.6E-2</v>
      </c>
      <c r="AF23" s="2885">
        <f t="shared" si="1"/>
        <v>1.6E-2</v>
      </c>
      <c r="AG23" s="2885">
        <f>ROUND(AVERAGE(K23:K$36)/100,4)</f>
        <v>2.75E-2</v>
      </c>
      <c r="AH23" s="2885">
        <f>ROUND(AVERAGE(L23:L$36)/100,4)</f>
        <v>1.37E-2</v>
      </c>
    </row>
    <row r="24" spans="1:34" s="2903" customFormat="1" ht="15" customHeight="1" thickBot="1">
      <c r="A24" s="2896" t="s">
        <v>2562</v>
      </c>
      <c r="B24" s="2897">
        <f t="shared" si="176"/>
        <v>405.524</v>
      </c>
      <c r="C24" s="2897">
        <f t="shared" si="176"/>
        <v>307.79840000000002</v>
      </c>
      <c r="D24" s="2897">
        <f t="shared" si="164"/>
        <v>307.79840000000002</v>
      </c>
      <c r="E24" s="2897">
        <f t="shared" si="177"/>
        <v>574.67759999999998</v>
      </c>
      <c r="F24" s="2897">
        <f t="shared" si="177"/>
        <v>270.20280000000002</v>
      </c>
      <c r="G24" s="3576"/>
      <c r="H24" s="2898">
        <v>1</v>
      </c>
      <c r="I24" s="2898">
        <v>3.45</v>
      </c>
      <c r="J24" s="2898">
        <v>1.92</v>
      </c>
      <c r="K24" s="2898">
        <v>3.92</v>
      </c>
      <c r="L24" s="2904">
        <v>1.58</v>
      </c>
      <c r="M24" s="2884"/>
      <c r="N24" s="2901">
        <f t="shared" si="167"/>
        <v>3.4500000000000003E-2</v>
      </c>
      <c r="O24" s="2902">
        <f t="shared" ref="O24" si="181">J24/100</f>
        <v>1.9199999999999998E-2</v>
      </c>
      <c r="P24" s="2902">
        <f t="shared" ref="P24" si="182">K24/100</f>
        <v>3.9199999999999999E-2</v>
      </c>
      <c r="Q24" s="2902">
        <f t="shared" ref="Q24" si="183">L24/100</f>
        <v>1.5800000000000002E-2</v>
      </c>
      <c r="R24" s="2900"/>
      <c r="S24" s="2901">
        <f>B24/B25-1</f>
        <v>3.4499999999999975E-2</v>
      </c>
      <c r="T24" s="2902">
        <f>C24/C25-1</f>
        <v>1.9200000000000106E-2</v>
      </c>
      <c r="U24" s="2902">
        <f>E24/E25-1</f>
        <v>3.9199999999999902E-2</v>
      </c>
      <c r="V24" s="2902">
        <f>F24/F25-1</f>
        <v>1.5800000000000036E-2</v>
      </c>
      <c r="W24" s="2884"/>
      <c r="X24" s="2884">
        <f>ROUND(SUMPRODUCT(PRODUCT(1+N24:N$35)),4)</f>
        <v>1.3180000000000001</v>
      </c>
      <c r="Y24" s="2884">
        <f>ROUND(SUMPRODUCT(PRODUCT(1+O24:O$35)),4)</f>
        <v>1.1966000000000001</v>
      </c>
      <c r="Z24" s="2884">
        <f t="shared" si="0"/>
        <v>1.1966000000000001</v>
      </c>
      <c r="AA24" s="2884">
        <f>ROUND(SUMPRODUCT(PRODUCT(1+P24:P$35)),4)</f>
        <v>1.36</v>
      </c>
      <c r="AB24" s="2884">
        <f>ROUND(SUMPRODUCT(PRODUCT(1+Q24:Q$35)),4)</f>
        <v>1.1733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96" t="s">
        <v>961</v>
      </c>
      <c r="B25" s="2918">
        <v>392</v>
      </c>
      <c r="C25" s="2918">
        <v>302</v>
      </c>
      <c r="D25" s="2918">
        <f t="shared" si="164"/>
        <v>302</v>
      </c>
      <c r="E25" s="2918">
        <v>553</v>
      </c>
      <c r="F25" s="2919">
        <v>266</v>
      </c>
      <c r="G25" s="3574">
        <v>2016</v>
      </c>
      <c r="H25" s="2905">
        <v>4</v>
      </c>
      <c r="I25" s="2905">
        <v>4.5599999999999996</v>
      </c>
      <c r="J25" s="2905">
        <v>2.15</v>
      </c>
      <c r="K25" s="2905">
        <v>5.32</v>
      </c>
      <c r="L25" s="2906">
        <v>1.57</v>
      </c>
      <c r="N25" s="2899">
        <f t="shared" si="167"/>
        <v>4.5599999999999995E-2</v>
      </c>
      <c r="O25" s="2885">
        <f t="shared" ref="O25:Q40" si="184">J25/100</f>
        <v>2.1499999999999998E-2</v>
      </c>
      <c r="P25" s="2885">
        <f t="shared" si="184"/>
        <v>5.3200000000000004E-2</v>
      </c>
      <c r="Q25" s="2885">
        <f t="shared" si="184"/>
        <v>1.5700000000000002E-2</v>
      </c>
      <c r="R25" s="2900"/>
      <c r="S25" s="2909"/>
      <c r="T25" s="2910"/>
      <c r="U25" s="2910"/>
      <c r="V25" s="2910"/>
      <c r="X25" s="2884">
        <f>ROUND(SUMPRODUCT(PRODUCT(1+N25:N$35)),4)</f>
        <v>1.274</v>
      </c>
      <c r="Y25" s="2884">
        <f>ROUND(SUMPRODUCT(PRODUCT(1+O25:O$35)),4)</f>
        <v>1.1740999999999999</v>
      </c>
      <c r="Z25" s="2884">
        <f t="shared" si="0"/>
        <v>1.1740999999999999</v>
      </c>
      <c r="AA25" s="2884">
        <f>ROUND(SUMPRODUCT(PRODUCT(1+P25:P$35)),4)</f>
        <v>1.3087</v>
      </c>
      <c r="AB25" s="2884">
        <f>ROUND(SUMPRODUCT(PRODUCT(1+Q25:Q$35)),4)</f>
        <v>1.1551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96" t="s">
        <v>960</v>
      </c>
      <c r="B26" s="2897">
        <f t="shared" ref="B26:C28" si="185">B25/(1+N25)</f>
        <v>374.90436113236416</v>
      </c>
      <c r="C26" s="2897">
        <f t="shared" si="185"/>
        <v>295.64366128242779</v>
      </c>
      <c r="D26" s="2897">
        <f t="shared" ref="D26:D85" si="186">C26</f>
        <v>295.64366128242779</v>
      </c>
      <c r="E26" s="2897">
        <f t="shared" ref="E26:F28" si="187">E25/(1+P25)</f>
        <v>525.06646410938095</v>
      </c>
      <c r="F26" s="2897">
        <f t="shared" si="187"/>
        <v>261.88835286009646</v>
      </c>
      <c r="G26" s="3575"/>
      <c r="H26" s="2898">
        <v>3</v>
      </c>
      <c r="I26" s="2898">
        <v>4.12</v>
      </c>
      <c r="J26" s="2898">
        <v>2</v>
      </c>
      <c r="K26" s="2898">
        <v>4.79</v>
      </c>
      <c r="L26" s="2904">
        <v>1.97</v>
      </c>
      <c r="N26" s="2899">
        <f t="shared" ref="N26:Q60" si="188">I26/100</f>
        <v>4.1200000000000001E-2</v>
      </c>
      <c r="O26" s="2885">
        <f t="shared" si="184"/>
        <v>0.02</v>
      </c>
      <c r="P26" s="2885">
        <f t="shared" si="184"/>
        <v>4.7899999999999998E-2</v>
      </c>
      <c r="Q26" s="2885">
        <f t="shared" si="184"/>
        <v>1.9699999999999999E-2</v>
      </c>
      <c r="R26" s="2900"/>
      <c r="S26" s="2899"/>
      <c r="T26" s="2885"/>
      <c r="U26" s="2885"/>
      <c r="V26" s="2885"/>
      <c r="X26" s="2884">
        <f>ROUND(SUMPRODUCT(PRODUCT(1+N26:N$35)),4)</f>
        <v>1.2184999999999999</v>
      </c>
      <c r="Y26" s="2884">
        <f>ROUND(SUMPRODUCT(PRODUCT(1+O26:O$35)),4)</f>
        <v>1.1494</v>
      </c>
      <c r="Z26" s="2884">
        <f t="shared" si="0"/>
        <v>1.1494</v>
      </c>
      <c r="AA26" s="2884">
        <f>ROUND(SUMPRODUCT(PRODUCT(1+P26:P$35)),4)</f>
        <v>1.2425999999999999</v>
      </c>
      <c r="AB26" s="2884">
        <f>ROUND(SUMPRODUCT(PRODUCT(1+Q26:Q$35)),4)</f>
        <v>1.1372</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96" t="s">
        <v>950</v>
      </c>
      <c r="B27" s="2897">
        <f t="shared" si="185"/>
        <v>360.06949782209392</v>
      </c>
      <c r="C27" s="2897">
        <f t="shared" si="185"/>
        <v>289.84672674747821</v>
      </c>
      <c r="D27" s="2897">
        <f t="shared" si="186"/>
        <v>289.84672674747821</v>
      </c>
      <c r="E27" s="2897">
        <f t="shared" si="187"/>
        <v>501.06543001181495</v>
      </c>
      <c r="F27" s="2897">
        <f t="shared" si="187"/>
        <v>256.82882500744967</v>
      </c>
      <c r="G27" s="3575"/>
      <c r="H27" s="2911">
        <v>2</v>
      </c>
      <c r="I27" s="2911">
        <v>3.85</v>
      </c>
      <c r="J27" s="2911">
        <v>1.95</v>
      </c>
      <c r="K27" s="2911">
        <v>4.4800000000000004</v>
      </c>
      <c r="L27" s="2912">
        <v>1.41</v>
      </c>
      <c r="N27" s="2899">
        <f t="shared" si="188"/>
        <v>3.85E-2</v>
      </c>
      <c r="O27" s="2885">
        <f t="shared" si="184"/>
        <v>1.95E-2</v>
      </c>
      <c r="P27" s="2885">
        <f t="shared" si="184"/>
        <v>4.4800000000000006E-2</v>
      </c>
      <c r="Q27" s="2885">
        <f t="shared" si="184"/>
        <v>1.41E-2</v>
      </c>
      <c r="R27" s="2900"/>
      <c r="S27" s="2899"/>
      <c r="T27" s="2885"/>
      <c r="U27" s="2885"/>
      <c r="V27" s="2885"/>
      <c r="X27" s="2884">
        <f>ROUND(SUMPRODUCT(PRODUCT(1+N27:N$35)),4)</f>
        <v>1.1702999999999999</v>
      </c>
      <c r="Y27" s="2884">
        <f>ROUND(SUMPRODUCT(PRODUCT(1+O27:O$35)),4)</f>
        <v>1.1269</v>
      </c>
      <c r="Z27" s="2884">
        <f t="shared" si="0"/>
        <v>1.1269</v>
      </c>
      <c r="AA27" s="2884">
        <f>ROUND(SUMPRODUCT(PRODUCT(1+P27:P$35)),4)</f>
        <v>1.1858</v>
      </c>
      <c r="AB27" s="2884">
        <f>ROUND(SUMPRODUCT(PRODUCT(1+Q27:Q$35)),4)</f>
        <v>1.1152</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96" t="s">
        <v>959</v>
      </c>
      <c r="B28" s="2897">
        <f t="shared" si="185"/>
        <v>346.720748986128</v>
      </c>
      <c r="C28" s="2897">
        <f t="shared" si="185"/>
        <v>284.30282172386285</v>
      </c>
      <c r="D28" s="2897">
        <f t="shared" si="186"/>
        <v>284.30282172386285</v>
      </c>
      <c r="E28" s="2897">
        <f t="shared" si="187"/>
        <v>479.58023546306947</v>
      </c>
      <c r="F28" s="2897">
        <f t="shared" si="187"/>
        <v>253.25788877571213</v>
      </c>
      <c r="G28" s="3578"/>
      <c r="H28" s="2898">
        <v>1</v>
      </c>
      <c r="I28" s="2898">
        <v>4.09</v>
      </c>
      <c r="J28" s="2898">
        <v>2.93</v>
      </c>
      <c r="K28" s="2898">
        <v>4.54</v>
      </c>
      <c r="L28" s="2904">
        <v>1.48</v>
      </c>
      <c r="N28" s="2899">
        <f t="shared" si="188"/>
        <v>4.0899999999999999E-2</v>
      </c>
      <c r="O28" s="2885">
        <f t="shared" si="184"/>
        <v>2.9300000000000003E-2</v>
      </c>
      <c r="P28" s="2885">
        <f t="shared" si="184"/>
        <v>4.5400000000000003E-2</v>
      </c>
      <c r="Q28" s="2885">
        <f t="shared" si="184"/>
        <v>1.4800000000000001E-2</v>
      </c>
      <c r="R28" s="2900"/>
      <c r="S28" s="2901">
        <f>B28/B29-1</f>
        <v>4.1203450408792808E-2</v>
      </c>
      <c r="T28" s="2902">
        <f>C28/C29-1</f>
        <v>2.6363977342465095E-2</v>
      </c>
      <c r="U28" s="2902">
        <f>E28/E29-1</f>
        <v>4.4837114298626357E-2</v>
      </c>
      <c r="V28" s="2902">
        <f>F28/F29-1</f>
        <v>1.7099954922538574E-2</v>
      </c>
      <c r="X28" s="2884">
        <f>ROUND(SUMPRODUCT(PRODUCT(1+N28:N$35)),4)</f>
        <v>1.1269</v>
      </c>
      <c r="Y28" s="2884">
        <f>ROUND(SUMPRODUCT(PRODUCT(1+O28:O$35)),4)</f>
        <v>1.1052999999999999</v>
      </c>
      <c r="Z28" s="2884">
        <f t="shared" si="0"/>
        <v>1.1052999999999999</v>
      </c>
      <c r="AA28" s="2884">
        <f>ROUND(SUMPRODUCT(PRODUCT(1+P28:P$35)),4)</f>
        <v>1.1349</v>
      </c>
      <c r="AB28" s="2884">
        <f>ROUND(SUMPRODUCT(PRODUCT(1+Q28:Q$35)),4)</f>
        <v>1.0996999999999999</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96" t="s">
        <v>958</v>
      </c>
      <c r="B29" s="2918">
        <v>333</v>
      </c>
      <c r="C29" s="2918">
        <v>277</v>
      </c>
      <c r="D29" s="2918">
        <f t="shared" si="186"/>
        <v>277</v>
      </c>
      <c r="E29" s="2918">
        <v>459</v>
      </c>
      <c r="F29" s="2919">
        <v>249</v>
      </c>
      <c r="G29" s="3577">
        <v>2015</v>
      </c>
      <c r="H29" s="2920">
        <v>4</v>
      </c>
      <c r="I29" s="2920">
        <v>1.63</v>
      </c>
      <c r="J29" s="2920">
        <v>1.1100000000000001</v>
      </c>
      <c r="K29" s="2920">
        <v>1.77</v>
      </c>
      <c r="L29" s="2921">
        <v>1.89</v>
      </c>
      <c r="N29" s="2915">
        <f t="shared" si="188"/>
        <v>1.6299999999999999E-2</v>
      </c>
      <c r="O29" s="2916">
        <f t="shared" si="184"/>
        <v>1.11E-2</v>
      </c>
      <c r="P29" s="2916">
        <f t="shared" si="184"/>
        <v>1.77E-2</v>
      </c>
      <c r="Q29" s="2916">
        <f t="shared" si="184"/>
        <v>1.89E-2</v>
      </c>
      <c r="R29" s="2900"/>
      <c r="X29" s="2884">
        <f>ROUND(SUMPRODUCT(PRODUCT(1+N29:N$35)),4)</f>
        <v>1.0826</v>
      </c>
      <c r="Y29" s="2884">
        <f>ROUND(SUMPRODUCT(PRODUCT(1+O29:O$35)),4)</f>
        <v>1.0738000000000001</v>
      </c>
      <c r="Z29" s="2884">
        <f t="shared" si="0"/>
        <v>1.0738000000000001</v>
      </c>
      <c r="AA29" s="2884">
        <f>ROUND(SUMPRODUCT(PRODUCT(1+P29:P$35)),4)</f>
        <v>1.0855999999999999</v>
      </c>
      <c r="AB29" s="2884">
        <f>ROUND(SUMPRODUCT(PRODUCT(1+Q29:Q$35)),4)</f>
        <v>1.0837000000000001</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96" t="s">
        <v>957</v>
      </c>
      <c r="B30" s="2897">
        <f t="shared" ref="B30:C32" si="189">B29/(1+N29)</f>
        <v>327.65915576109415</v>
      </c>
      <c r="C30" s="2897">
        <f t="shared" si="189"/>
        <v>273.95905449510434</v>
      </c>
      <c r="D30" s="2897">
        <f t="shared" si="186"/>
        <v>273.95905449510434</v>
      </c>
      <c r="E30" s="2897">
        <f t="shared" ref="E30:F32" si="190">E29/(1+P29)</f>
        <v>451.01699911565294</v>
      </c>
      <c r="F30" s="2897">
        <f t="shared" si="190"/>
        <v>244.38119540681129</v>
      </c>
      <c r="G30" s="3575"/>
      <c r="H30" s="2923">
        <v>3</v>
      </c>
      <c r="I30" s="2923">
        <v>1.65</v>
      </c>
      <c r="J30" s="2923">
        <v>0.92</v>
      </c>
      <c r="K30" s="2923">
        <v>1.88</v>
      </c>
      <c r="L30" s="2924">
        <v>1.26</v>
      </c>
      <c r="N30" s="2899">
        <f t="shared" si="188"/>
        <v>1.6500000000000001E-2</v>
      </c>
      <c r="O30" s="2917">
        <f t="shared" si="184"/>
        <v>9.1999999999999998E-3</v>
      </c>
      <c r="P30" s="2917">
        <f t="shared" si="184"/>
        <v>1.8799999999999997E-2</v>
      </c>
      <c r="Q30" s="2917">
        <f t="shared" si="184"/>
        <v>1.26E-2</v>
      </c>
      <c r="R30" s="2900"/>
      <c r="S30" s="2899"/>
      <c r="T30" s="2885"/>
      <c r="U30" s="2885"/>
      <c r="V30" s="2885"/>
      <c r="X30" s="2884">
        <f>ROUND(SUMPRODUCT(PRODUCT(1+N30:N$35)),4)</f>
        <v>1.0651999999999999</v>
      </c>
      <c r="Y30" s="2884">
        <f>ROUND(SUMPRODUCT(PRODUCT(1+O30:O$35)),4)</f>
        <v>1.0621</v>
      </c>
      <c r="Z30" s="2884">
        <f t="shared" si="0"/>
        <v>1.0621</v>
      </c>
      <c r="AA30" s="2884">
        <f>ROUND(SUMPRODUCT(PRODUCT(1+P30:P$35)),4)</f>
        <v>1.0668</v>
      </c>
      <c r="AB30" s="2884">
        <f>ROUND(SUMPRODUCT(PRODUCT(1+Q30:Q$35)),4)</f>
        <v>1.0636000000000001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96" t="s">
        <v>956</v>
      </c>
      <c r="B31" s="2897">
        <f t="shared" si="189"/>
        <v>322.34053690220776</v>
      </c>
      <c r="C31" s="2897">
        <f t="shared" si="189"/>
        <v>271.46160770422546</v>
      </c>
      <c r="D31" s="2897">
        <f t="shared" si="186"/>
        <v>271.46160770422546</v>
      </c>
      <c r="E31" s="2897">
        <f t="shared" si="190"/>
        <v>442.69434542172456</v>
      </c>
      <c r="F31" s="2897">
        <f t="shared" si="190"/>
        <v>241.34030753190925</v>
      </c>
      <c r="G31" s="3575"/>
      <c r="H31" s="2911">
        <v>2</v>
      </c>
      <c r="I31" s="2911">
        <v>0.77</v>
      </c>
      <c r="J31" s="2911">
        <v>0.69</v>
      </c>
      <c r="K31" s="2911">
        <v>0.8</v>
      </c>
      <c r="L31" s="2912">
        <v>0.88</v>
      </c>
      <c r="N31" s="2899">
        <f t="shared" si="188"/>
        <v>7.7000000000000002E-3</v>
      </c>
      <c r="O31" s="2917">
        <f t="shared" si="184"/>
        <v>6.8999999999999999E-3</v>
      </c>
      <c r="P31" s="2917">
        <f t="shared" si="184"/>
        <v>8.0000000000000002E-3</v>
      </c>
      <c r="Q31" s="2917">
        <f t="shared" si="184"/>
        <v>8.8000000000000005E-3</v>
      </c>
      <c r="R31" s="2900"/>
      <c r="S31" s="2899"/>
      <c r="T31" s="2885"/>
      <c r="U31" s="2885"/>
      <c r="V31" s="2885"/>
      <c r="X31" s="2884">
        <f>ROUND(SUMPRODUCT(PRODUCT(1+N31:N$35)),4)</f>
        <v>1.048</v>
      </c>
      <c r="Y31" s="2884">
        <f>ROUND(SUMPRODUCT(PRODUCT(1+O31:O$35)),4)</f>
        <v>1.0524</v>
      </c>
      <c r="Z31" s="2884">
        <f t="shared" si="0"/>
        <v>1.0524</v>
      </c>
      <c r="AA31" s="2884">
        <f>ROUND(SUMPRODUCT(PRODUCT(1+P31:P$35)),4)</f>
        <v>1.0470999999999999</v>
      </c>
      <c r="AB31" s="2884">
        <f>ROUND(SUMPRODUCT(PRODUCT(1+Q31:Q$35)),4)</f>
        <v>1.0504</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96" t="s">
        <v>955</v>
      </c>
      <c r="B32" s="2897">
        <f t="shared" si="189"/>
        <v>319.87748030386797</v>
      </c>
      <c r="C32" s="2897">
        <f t="shared" si="189"/>
        <v>269.60135833173649</v>
      </c>
      <c r="D32" s="2897">
        <f t="shared" si="186"/>
        <v>269.60135833173649</v>
      </c>
      <c r="E32" s="2897">
        <f t="shared" si="190"/>
        <v>439.18089823583784</v>
      </c>
      <c r="F32" s="2897">
        <f t="shared" si="190"/>
        <v>239.23503918706311</v>
      </c>
      <c r="G32" s="3578"/>
      <c r="H32" s="2898">
        <v>1</v>
      </c>
      <c r="I32" s="2898">
        <v>0.51</v>
      </c>
      <c r="J32" s="2898">
        <v>0.54</v>
      </c>
      <c r="K32" s="2898">
        <v>0.48</v>
      </c>
      <c r="L32" s="2904">
        <v>0.93</v>
      </c>
      <c r="N32" s="2901">
        <f t="shared" si="188"/>
        <v>5.1000000000000004E-3</v>
      </c>
      <c r="O32" s="2902">
        <f t="shared" si="184"/>
        <v>5.4000000000000003E-3</v>
      </c>
      <c r="P32" s="2902">
        <f t="shared" si="184"/>
        <v>4.7999999999999996E-3</v>
      </c>
      <c r="Q32" s="2902">
        <f t="shared" si="184"/>
        <v>9.300000000000001E-3</v>
      </c>
      <c r="R32" s="2900"/>
      <c r="S32" s="2901">
        <f>B32/B33-1</f>
        <v>5.9040261127922822E-3</v>
      </c>
      <c r="T32" s="2902">
        <f>C32/C33-1</f>
        <v>5.9752176557332781E-3</v>
      </c>
      <c r="U32" s="2902">
        <f>E32/E33-1</f>
        <v>4.9906138119859556E-3</v>
      </c>
      <c r="V32" s="2902">
        <f>F32/F33-1</f>
        <v>9.4305450930933787E-3</v>
      </c>
      <c r="X32" s="2884">
        <f>ROUND(SUMPRODUCT(PRODUCT(1+N32:N$35)),4)</f>
        <v>1.0399</v>
      </c>
      <c r="Y32" s="2884">
        <f>ROUND(SUMPRODUCT(PRODUCT(1+O32:O$35)),4)</f>
        <v>1.0451999999999999</v>
      </c>
      <c r="Z32" s="2884">
        <f t="shared" si="0"/>
        <v>1.0451999999999999</v>
      </c>
      <c r="AA32" s="2884">
        <f>ROUND(SUMPRODUCT(PRODUCT(1+P32:P$35)),4)</f>
        <v>1.0387999999999999</v>
      </c>
      <c r="AB32" s="2884">
        <f>ROUND(SUMPRODUCT(PRODUCT(1+Q32:Q$35)),4)</f>
        <v>1.0411999999999999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96" t="s">
        <v>954</v>
      </c>
      <c r="B33" s="2925">
        <v>318</v>
      </c>
      <c r="C33" s="2925">
        <v>268</v>
      </c>
      <c r="D33" s="2925">
        <f t="shared" si="186"/>
        <v>268</v>
      </c>
      <c r="E33" s="2925">
        <v>437</v>
      </c>
      <c r="F33" s="2926">
        <v>237</v>
      </c>
      <c r="G33" s="3577">
        <v>2014</v>
      </c>
      <c r="H33" s="2920">
        <v>4</v>
      </c>
      <c r="I33" s="2920">
        <v>0.21</v>
      </c>
      <c r="J33" s="2920">
        <v>0.41</v>
      </c>
      <c r="K33" s="2920">
        <v>0.12</v>
      </c>
      <c r="L33" s="2921">
        <v>0.89</v>
      </c>
      <c r="N33" s="2899">
        <f t="shared" si="188"/>
        <v>2.0999999999999999E-3</v>
      </c>
      <c r="O33" s="2885">
        <f t="shared" si="184"/>
        <v>4.0999999999999995E-3</v>
      </c>
      <c r="P33" s="2885">
        <f t="shared" si="184"/>
        <v>1.1999999999999999E-3</v>
      </c>
      <c r="Q33" s="2885">
        <f t="shared" si="184"/>
        <v>8.8999999999999999E-3</v>
      </c>
      <c r="R33" s="2900"/>
      <c r="S33" s="2909"/>
      <c r="T33" s="2910"/>
      <c r="U33" s="2910"/>
      <c r="V33" s="2910"/>
      <c r="X33" s="2884">
        <f>ROUND(SUMPRODUCT(PRODUCT(1+N33:N$35)),4)</f>
        <v>1.0347</v>
      </c>
      <c r="Y33" s="2884">
        <f>ROUND(SUMPRODUCT(PRODUCT(1+O33:O$35)),4)</f>
        <v>1.0395000000000001</v>
      </c>
      <c r="Z33" s="2884">
        <f t="shared" si="0"/>
        <v>1.0395000000000001</v>
      </c>
      <c r="AA33" s="2884">
        <f>ROUND(SUMPRODUCT(PRODUCT(1+P33:P$35)),4)</f>
        <v>1.0338000000000001</v>
      </c>
      <c r="AB33" s="2884">
        <f>ROUND(SUMPRODUCT(PRODUCT(1+Q33:Q$35)),4)</f>
        <v>1.0316000000000001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96" t="s">
        <v>953</v>
      </c>
      <c r="B34" s="2897">
        <f t="shared" ref="B34:C36" si="191">B33/(1+N33)</f>
        <v>317.33359944117353</v>
      </c>
      <c r="C34" s="2897">
        <f t="shared" si="191"/>
        <v>266.90568668459315</v>
      </c>
      <c r="D34" s="2897">
        <f t="shared" si="186"/>
        <v>266.90568668459315</v>
      </c>
      <c r="E34" s="2897">
        <f t="shared" ref="E34:F36" si="192">E33/(1+P33)</f>
        <v>436.47622852576905</v>
      </c>
      <c r="F34" s="2897">
        <f t="shared" si="192"/>
        <v>234.90930716622066</v>
      </c>
      <c r="G34" s="3575"/>
      <c r="H34" s="2927">
        <v>3</v>
      </c>
      <c r="I34" s="2927">
        <v>0.83</v>
      </c>
      <c r="J34" s="2927">
        <v>1.47</v>
      </c>
      <c r="K34" s="2927">
        <v>0.65</v>
      </c>
      <c r="L34" s="2928">
        <v>0.72</v>
      </c>
      <c r="N34" s="2899">
        <f t="shared" si="188"/>
        <v>8.3000000000000001E-3</v>
      </c>
      <c r="O34" s="2885">
        <f t="shared" si="184"/>
        <v>1.47E-2</v>
      </c>
      <c r="P34" s="2885">
        <f t="shared" si="184"/>
        <v>6.5000000000000006E-3</v>
      </c>
      <c r="Q34" s="2885">
        <f t="shared" si="184"/>
        <v>7.1999999999999998E-3</v>
      </c>
      <c r="R34" s="2900"/>
      <c r="S34" s="2899"/>
      <c r="T34" s="2885"/>
      <c r="U34" s="2885"/>
      <c r="V34" s="2885"/>
      <c r="X34" s="2884">
        <f>ROUND(SUMPRODUCT(PRODUCT(1+N34:N$35)),4)</f>
        <v>1.0325</v>
      </c>
      <c r="Y34" s="2884">
        <f>ROUND(SUMPRODUCT(PRODUCT(1+O34:O$35)),4)</f>
        <v>1.0353000000000001</v>
      </c>
      <c r="Z34" s="2884">
        <f t="shared" ref="Z34:Z35" si="193">Y34</f>
        <v>1.0353000000000001</v>
      </c>
      <c r="AA34" s="2884">
        <f>ROUND(SUMPRODUCT(PRODUCT(1+P34:P$35)),4)</f>
        <v>1.0326</v>
      </c>
      <c r="AB34" s="2884">
        <f>ROUND(SUMPRODUCT(PRODUCT(1+Q34:Q$35)),4)</f>
        <v>1.0225</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96" t="s">
        <v>952</v>
      </c>
      <c r="B35" s="2897">
        <f t="shared" si="191"/>
        <v>314.72141172386546</v>
      </c>
      <c r="C35" s="2897">
        <f t="shared" si="191"/>
        <v>263.03901319069001</v>
      </c>
      <c r="D35" s="2897">
        <f t="shared" si="186"/>
        <v>263.03901319069001</v>
      </c>
      <c r="E35" s="2897">
        <f t="shared" si="192"/>
        <v>433.65745506782821</v>
      </c>
      <c r="F35" s="2897">
        <f t="shared" si="192"/>
        <v>233.23005080045735</v>
      </c>
      <c r="G35" s="3575"/>
      <c r="H35" s="2920">
        <v>2</v>
      </c>
      <c r="I35" s="2920">
        <v>2.4</v>
      </c>
      <c r="J35" s="2920">
        <v>2.0299999999999998</v>
      </c>
      <c r="K35" s="2920">
        <v>2.59</v>
      </c>
      <c r="L35" s="2921">
        <v>1.52</v>
      </c>
      <c r="N35" s="2899">
        <f t="shared" si="188"/>
        <v>2.4E-2</v>
      </c>
      <c r="O35" s="2885">
        <f t="shared" si="184"/>
        <v>2.0299999999999999E-2</v>
      </c>
      <c r="P35" s="2885">
        <f t="shared" si="184"/>
        <v>2.5899999999999999E-2</v>
      </c>
      <c r="Q35" s="2885">
        <f t="shared" si="184"/>
        <v>1.52E-2</v>
      </c>
      <c r="R35" s="2900"/>
      <c r="S35" s="2899"/>
      <c r="T35" s="2885"/>
      <c r="U35" s="2885"/>
      <c r="V35" s="2885"/>
      <c r="X35" s="2884">
        <f>1+N35</f>
        <v>1.024</v>
      </c>
      <c r="Y35" s="2884">
        <f>1+O35</f>
        <v>1.0203</v>
      </c>
      <c r="Z35" s="2884">
        <f t="shared" si="193"/>
        <v>1.0203</v>
      </c>
      <c r="AA35" s="2884">
        <f>1+P35</f>
        <v>1.0259</v>
      </c>
      <c r="AB35" s="2884">
        <f>1+Q35</f>
        <v>1.0152000000000001</v>
      </c>
      <c r="AD35" s="2885">
        <f>ROUND(AVERAGE(I35:I$36)/100,4)</f>
        <v>2.69E-2</v>
      </c>
      <c r="AE35" s="2885">
        <f>ROUND(AVERAGE(J35:J$36)/100,4)</f>
        <v>2.1899999999999999E-2</v>
      </c>
      <c r="AF35" s="2885">
        <f t="shared" ref="AF35" si="194">AE35</f>
        <v>2.1899999999999999E-2</v>
      </c>
      <c r="AG35" s="2885">
        <f>ROUND(AVERAGE(K35:K$36)/100,4)</f>
        <v>2.9399999999999999E-2</v>
      </c>
      <c r="AH35" s="2885">
        <f>ROUND(AVERAGE(L35:L$36)/100,4)</f>
        <v>1.44E-2</v>
      </c>
    </row>
    <row r="36" spans="1:34" s="2933" customFormat="1" ht="13.5" thickBot="1">
      <c r="A36" s="2929" t="s">
        <v>951</v>
      </c>
      <c r="B36" s="2930">
        <f t="shared" si="191"/>
        <v>307.34512863658733</v>
      </c>
      <c r="C36" s="2930">
        <f t="shared" si="191"/>
        <v>257.80556031626975</v>
      </c>
      <c r="D36" s="2930">
        <f t="shared" si="186"/>
        <v>257.80556031626975</v>
      </c>
      <c r="E36" s="2930">
        <f t="shared" si="192"/>
        <v>422.70928459677179</v>
      </c>
      <c r="F36" s="2930">
        <f t="shared" si="192"/>
        <v>229.73803270336617</v>
      </c>
      <c r="G36" s="3578"/>
      <c r="H36" s="2931">
        <v>1</v>
      </c>
      <c r="I36" s="2931">
        <v>2.97</v>
      </c>
      <c r="J36" s="2931">
        <v>2.34</v>
      </c>
      <c r="K36" s="2931">
        <v>3.28</v>
      </c>
      <c r="L36" s="2932">
        <v>1.36</v>
      </c>
      <c r="N36" s="2934">
        <f t="shared" si="188"/>
        <v>2.9700000000000001E-2</v>
      </c>
      <c r="O36" s="2935">
        <f t="shared" si="184"/>
        <v>2.3399999999999997E-2</v>
      </c>
      <c r="P36" s="2935">
        <f t="shared" si="184"/>
        <v>3.2799999999999996E-2</v>
      </c>
      <c r="Q36" s="2935">
        <f t="shared" si="184"/>
        <v>1.3600000000000001E-2</v>
      </c>
      <c r="R36" s="2936"/>
      <c r="S36" s="2937">
        <f>B36/B37-1</f>
        <v>2.7910129219355539E-2</v>
      </c>
      <c r="T36" s="2938">
        <f>C36/C37-1</f>
        <v>2.3037937762975247E-2</v>
      </c>
      <c r="U36" s="2938">
        <f>E36/E37-1</f>
        <v>3.3519033243940788E-2</v>
      </c>
      <c r="V36" s="2938">
        <f>F36/F37-1</f>
        <v>1.2061818076502862E-2</v>
      </c>
      <c r="W36" s="2939" t="s">
        <v>2620</v>
      </c>
      <c r="X36" s="2940">
        <v>1</v>
      </c>
      <c r="Y36" s="2940">
        <v>1</v>
      </c>
      <c r="Z36" s="2940">
        <v>1</v>
      </c>
      <c r="AA36" s="2940">
        <v>1</v>
      </c>
      <c r="AB36" s="2940">
        <v>1</v>
      </c>
      <c r="AD36" s="2935">
        <f>I36/100</f>
        <v>2.9700000000000001E-2</v>
      </c>
      <c r="AE36" s="2935">
        <f>J36/100</f>
        <v>2.3399999999999997E-2</v>
      </c>
      <c r="AF36" s="2935">
        <f>AE36</f>
        <v>2.3399999999999997E-2</v>
      </c>
      <c r="AG36" s="2935">
        <f>K36/100</f>
        <v>3.2799999999999996E-2</v>
      </c>
      <c r="AH36" s="2935">
        <f>L36/100</f>
        <v>1.3600000000000001E-2</v>
      </c>
    </row>
    <row r="37" spans="1:34" ht="13.5" thickBot="1">
      <c r="A37" s="2896" t="s">
        <v>2563</v>
      </c>
      <c r="B37" s="2918">
        <v>299</v>
      </c>
      <c r="C37" s="2918">
        <v>252</v>
      </c>
      <c r="D37" s="2918">
        <f t="shared" si="186"/>
        <v>252</v>
      </c>
      <c r="E37" s="2918">
        <v>409</v>
      </c>
      <c r="F37" s="2919">
        <v>227</v>
      </c>
      <c r="G37" s="3582">
        <v>2013</v>
      </c>
      <c r="H37" s="2941">
        <v>4</v>
      </c>
      <c r="I37" s="2941">
        <v>1.83</v>
      </c>
      <c r="J37" s="2941">
        <v>1.68</v>
      </c>
      <c r="K37" s="2941">
        <v>1.97</v>
      </c>
      <c r="L37" s="2942">
        <v>0.87</v>
      </c>
      <c r="N37" s="2915">
        <f t="shared" si="188"/>
        <v>1.83E-2</v>
      </c>
      <c r="O37" s="2916">
        <f t="shared" si="184"/>
        <v>1.6799999999999999E-2</v>
      </c>
      <c r="P37" s="2916">
        <f t="shared" si="184"/>
        <v>1.9699999999999999E-2</v>
      </c>
      <c r="Q37" s="2916">
        <f t="shared" si="184"/>
        <v>8.6999999999999994E-3</v>
      </c>
      <c r="R37" s="2900"/>
      <c r="S37" s="2909"/>
      <c r="T37" s="2910"/>
      <c r="U37" s="2910"/>
      <c r="V37" s="2910"/>
      <c r="X37" s="2910"/>
      <c r="Y37" s="2910"/>
      <c r="Z37" s="2910"/>
    </row>
    <row r="38" spans="1:34">
      <c r="A38" s="2896" t="s">
        <v>2564</v>
      </c>
      <c r="B38" s="2897">
        <f t="shared" ref="B38:C40" si="195">B37/(1+N37)</f>
        <v>293.62663262299913</v>
      </c>
      <c r="C38" s="2897">
        <f t="shared" si="195"/>
        <v>247.83634933123525</v>
      </c>
      <c r="D38" s="2897">
        <f t="shared" si="186"/>
        <v>247.83634933123525</v>
      </c>
      <c r="E38" s="2897">
        <f t="shared" ref="E38:F40" si="196">E37/(1+P37)</f>
        <v>401.09836226341076</v>
      </c>
      <c r="F38" s="2897">
        <f t="shared" si="196"/>
        <v>225.04213343908003</v>
      </c>
      <c r="G38" s="3583"/>
      <c r="H38" s="2923">
        <v>3</v>
      </c>
      <c r="I38" s="2923">
        <v>1.86</v>
      </c>
      <c r="J38" s="2923">
        <v>1.72</v>
      </c>
      <c r="K38" s="2923">
        <v>1.98</v>
      </c>
      <c r="L38" s="2924">
        <v>0.88</v>
      </c>
      <c r="N38" s="2899">
        <f t="shared" si="188"/>
        <v>1.8600000000000002E-2</v>
      </c>
      <c r="O38" s="2917">
        <f t="shared" si="184"/>
        <v>1.72E-2</v>
      </c>
      <c r="P38" s="2917">
        <f t="shared" si="184"/>
        <v>1.9799999999999998E-2</v>
      </c>
      <c r="Q38" s="2917">
        <f t="shared" si="184"/>
        <v>8.8000000000000005E-3</v>
      </c>
      <c r="R38" s="2900"/>
      <c r="S38" s="2899"/>
      <c r="T38" s="2885"/>
      <c r="U38" s="2885"/>
      <c r="V38" s="2885"/>
    </row>
    <row r="39" spans="1:34">
      <c r="A39" s="2896" t="s">
        <v>2565</v>
      </c>
      <c r="B39" s="2897">
        <f t="shared" si="195"/>
        <v>288.2649053828776</v>
      </c>
      <c r="C39" s="2897">
        <f t="shared" si="195"/>
        <v>243.64564425013293</v>
      </c>
      <c r="D39" s="2897">
        <f t="shared" si="186"/>
        <v>243.64564425013293</v>
      </c>
      <c r="E39" s="2897">
        <f t="shared" si="196"/>
        <v>393.31080825986544</v>
      </c>
      <c r="F39" s="2897">
        <f t="shared" si="196"/>
        <v>223.07903790551154</v>
      </c>
      <c r="G39" s="3583"/>
      <c r="H39" s="2911">
        <v>2</v>
      </c>
      <c r="I39" s="2911">
        <v>2.04</v>
      </c>
      <c r="J39" s="2911">
        <v>2.33</v>
      </c>
      <c r="K39" s="2911">
        <v>2.0699999999999998</v>
      </c>
      <c r="L39" s="2912">
        <v>0.69</v>
      </c>
      <c r="N39" s="2899">
        <f t="shared" si="188"/>
        <v>2.0400000000000001E-2</v>
      </c>
      <c r="O39" s="2917">
        <f t="shared" si="184"/>
        <v>2.3300000000000001E-2</v>
      </c>
      <c r="P39" s="2917">
        <f t="shared" si="184"/>
        <v>2.07E-2</v>
      </c>
      <c r="Q39" s="2917">
        <f t="shared" si="184"/>
        <v>6.8999999999999999E-3</v>
      </c>
      <c r="R39" s="2900"/>
      <c r="S39" s="2899"/>
      <c r="T39" s="2885"/>
      <c r="U39" s="2885"/>
      <c r="V39" s="2885"/>
      <c r="X39" s="2943"/>
      <c r="Y39" s="2944"/>
    </row>
    <row r="40" spans="1:34">
      <c r="A40" s="2896" t="s">
        <v>2566</v>
      </c>
      <c r="B40" s="2897">
        <f t="shared" si="195"/>
        <v>282.50186729015837</v>
      </c>
      <c r="C40" s="2897">
        <f t="shared" si="195"/>
        <v>238.09796174155468</v>
      </c>
      <c r="D40" s="2897">
        <f t="shared" si="186"/>
        <v>238.09796174155468</v>
      </c>
      <c r="E40" s="2897">
        <f t="shared" si="196"/>
        <v>385.33438646014054</v>
      </c>
      <c r="F40" s="2897">
        <f t="shared" si="196"/>
        <v>221.55034055567739</v>
      </c>
      <c r="G40" s="3584"/>
      <c r="H40" s="2898">
        <v>1</v>
      </c>
      <c r="I40" s="2898">
        <v>1.67</v>
      </c>
      <c r="J40" s="2898">
        <v>1.31</v>
      </c>
      <c r="K40" s="2898">
        <v>1.85</v>
      </c>
      <c r="L40" s="2904">
        <v>0.96</v>
      </c>
      <c r="N40" s="2901">
        <f t="shared" si="188"/>
        <v>1.67E-2</v>
      </c>
      <c r="O40" s="2902">
        <f t="shared" si="184"/>
        <v>1.3100000000000001E-2</v>
      </c>
      <c r="P40" s="2902">
        <f t="shared" si="184"/>
        <v>1.8500000000000003E-2</v>
      </c>
      <c r="Q40" s="2902">
        <f t="shared" si="184"/>
        <v>9.5999999999999992E-3</v>
      </c>
      <c r="R40" s="2900"/>
      <c r="S40" s="2901">
        <f>B40/B41-1</f>
        <v>1.6193767230785472E-2</v>
      </c>
      <c r="T40" s="2902">
        <f>C40/C41-1</f>
        <v>1.7512657015190891E-2</v>
      </c>
      <c r="U40" s="2902">
        <f>E40/E41-1</f>
        <v>1.6713420739157048E-2</v>
      </c>
      <c r="V40" s="2902">
        <f>F40/F41-1</f>
        <v>7.0470025258062563E-3</v>
      </c>
      <c r="X40" s="2945"/>
      <c r="Y40" s="2885"/>
      <c r="Z40" s="2885"/>
    </row>
    <row r="41" spans="1:34" ht="13.5" thickBot="1">
      <c r="A41" s="2896" t="s">
        <v>2567</v>
      </c>
      <c r="B41" s="2946">
        <v>278</v>
      </c>
      <c r="C41" s="2946">
        <v>234</v>
      </c>
      <c r="D41" s="2946">
        <f t="shared" si="186"/>
        <v>234</v>
      </c>
      <c r="E41" s="2946">
        <v>379</v>
      </c>
      <c r="F41" s="2947">
        <v>220</v>
      </c>
      <c r="G41" s="3577">
        <v>2012</v>
      </c>
      <c r="H41" s="2920">
        <v>4</v>
      </c>
      <c r="I41" s="2920">
        <v>0.91</v>
      </c>
      <c r="J41" s="2920">
        <v>0.68</v>
      </c>
      <c r="K41" s="2920">
        <v>0.98</v>
      </c>
      <c r="L41" s="2921">
        <v>0.9</v>
      </c>
      <c r="N41" s="2899">
        <f t="shared" si="188"/>
        <v>9.1000000000000004E-3</v>
      </c>
      <c r="O41" s="2885">
        <f t="shared" si="188"/>
        <v>6.8000000000000005E-3</v>
      </c>
      <c r="P41" s="2885">
        <f t="shared" si="188"/>
        <v>9.7999999999999997E-3</v>
      </c>
      <c r="Q41" s="2885">
        <f t="shared" si="188"/>
        <v>9.0000000000000011E-3</v>
      </c>
      <c r="R41" s="2900"/>
      <c r="S41" s="2909"/>
      <c r="T41" s="2910"/>
      <c r="U41" s="2910"/>
      <c r="V41" s="2910"/>
      <c r="X41" s="2910"/>
      <c r="Y41" s="2910"/>
      <c r="Z41" s="2910"/>
    </row>
    <row r="42" spans="1:34">
      <c r="A42" s="2896" t="s">
        <v>2568</v>
      </c>
      <c r="B42" s="2897">
        <f>B41/(1+N41)</f>
        <v>275.49301357645425</v>
      </c>
      <c r="C42" s="2897">
        <f>C41/(1+O41)</f>
        <v>232.41954707985698</v>
      </c>
      <c r="D42" s="2897">
        <f t="shared" si="186"/>
        <v>232.41954707985698</v>
      </c>
      <c r="E42" s="2897">
        <f t="shared" ref="E42:F44" si="197">E41/(1+P41)</f>
        <v>375.32184591008121</v>
      </c>
      <c r="F42" s="2897">
        <f t="shared" si="197"/>
        <v>218.03766105054513</v>
      </c>
      <c r="G42" s="3575"/>
      <c r="H42" s="2923">
        <v>3</v>
      </c>
      <c r="I42" s="2923">
        <v>0.09</v>
      </c>
      <c r="J42" s="2923">
        <v>0.28999999999999998</v>
      </c>
      <c r="K42" s="2923">
        <v>-0.01</v>
      </c>
      <c r="L42" s="2924">
        <v>0.57999999999999996</v>
      </c>
      <c r="N42" s="2899">
        <f t="shared" si="188"/>
        <v>8.9999999999999998E-4</v>
      </c>
      <c r="O42" s="2885">
        <f t="shared" si="188"/>
        <v>2.8999999999999998E-3</v>
      </c>
      <c r="P42" s="2885">
        <f t="shared" si="188"/>
        <v>-1E-4</v>
      </c>
      <c r="Q42" s="2885">
        <f t="shared" si="188"/>
        <v>5.7999999999999996E-3</v>
      </c>
      <c r="R42" s="2900"/>
      <c r="S42" s="2899"/>
      <c r="T42" s="2885"/>
      <c r="U42" s="2885"/>
      <c r="V42" s="2885"/>
    </row>
    <row r="43" spans="1:34">
      <c r="A43" s="2896" t="s">
        <v>2569</v>
      </c>
      <c r="B43" s="2897">
        <f>B42/(1+N42)</f>
        <v>275.24529281292263</v>
      </c>
      <c r="C43" s="2897">
        <f>C42/(1+O42)</f>
        <v>231.74747938962707</v>
      </c>
      <c r="D43" s="2897">
        <f t="shared" si="186"/>
        <v>231.74747938962707</v>
      </c>
      <c r="E43" s="2897">
        <f t="shared" si="197"/>
        <v>375.35938184826603</v>
      </c>
      <c r="F43" s="2897">
        <f t="shared" si="197"/>
        <v>216.78033510692495</v>
      </c>
      <c r="G43" s="3575"/>
      <c r="H43" s="2911">
        <v>2</v>
      </c>
      <c r="I43" s="2911">
        <v>0.02</v>
      </c>
      <c r="J43" s="2911">
        <v>0.12</v>
      </c>
      <c r="K43" s="2911">
        <v>-0.08</v>
      </c>
      <c r="L43" s="2912">
        <v>1.24</v>
      </c>
      <c r="N43" s="2899">
        <f t="shared" si="188"/>
        <v>2.0000000000000001E-4</v>
      </c>
      <c r="O43" s="2885">
        <f t="shared" si="188"/>
        <v>1.1999999999999999E-3</v>
      </c>
      <c r="P43" s="2885">
        <f t="shared" si="188"/>
        <v>-8.0000000000000004E-4</v>
      </c>
      <c r="Q43" s="2885">
        <f t="shared" si="188"/>
        <v>1.24E-2</v>
      </c>
      <c r="R43" s="2900"/>
      <c r="S43" s="2899"/>
      <c r="T43" s="2885"/>
      <c r="U43" s="2885"/>
      <c r="V43" s="2885"/>
    </row>
    <row r="44" spans="1:34" ht="13.5" thickBot="1">
      <c r="A44" s="2896" t="s">
        <v>2570</v>
      </c>
      <c r="B44" s="2897">
        <f>B43/(1+N43)</f>
        <v>275.19025476197027</v>
      </c>
      <c r="C44" s="2948">
        <v>232</v>
      </c>
      <c r="D44" s="2948">
        <f t="shared" si="186"/>
        <v>232</v>
      </c>
      <c r="E44" s="2897">
        <f t="shared" si="197"/>
        <v>375.65990977608692</v>
      </c>
      <c r="F44" s="2897">
        <f t="shared" si="197"/>
        <v>214.12518283971252</v>
      </c>
      <c r="G44" s="3578"/>
      <c r="H44" s="2898">
        <v>1</v>
      </c>
      <c r="I44" s="2898">
        <v>0.02</v>
      </c>
      <c r="J44" s="2898">
        <v>0.13</v>
      </c>
      <c r="K44" s="2898">
        <v>-0.04</v>
      </c>
      <c r="L44" s="2904">
        <v>0.46</v>
      </c>
      <c r="N44" s="2899">
        <f t="shared" si="188"/>
        <v>2.0000000000000001E-4</v>
      </c>
      <c r="O44" s="2885">
        <f t="shared" si="188"/>
        <v>1.2999999999999999E-3</v>
      </c>
      <c r="P44" s="2885">
        <f t="shared" si="188"/>
        <v>-4.0000000000000002E-4</v>
      </c>
      <c r="Q44" s="2885">
        <f t="shared" si="188"/>
        <v>4.5999999999999999E-3</v>
      </c>
      <c r="R44" s="2900"/>
      <c r="S44" s="2901">
        <f>B44/B45-1</f>
        <v>6.9183549807361189E-4</v>
      </c>
      <c r="T44" s="2902">
        <f>C44/C45-1</f>
        <v>0</v>
      </c>
      <c r="U44" s="2902">
        <f>E44/E45-1</f>
        <v>-9.0449527636460303E-4</v>
      </c>
      <c r="V44" s="2902">
        <f>F44/F45-1</f>
        <v>5.2825485432512753E-3</v>
      </c>
      <c r="X44" s="2885"/>
      <c r="Y44" s="2885"/>
      <c r="Z44" s="2885"/>
    </row>
    <row r="45" spans="1:34" ht="13.5" thickBot="1">
      <c r="A45" s="2896" t="s">
        <v>2571</v>
      </c>
      <c r="B45" s="2918">
        <v>275</v>
      </c>
      <c r="C45" s="2918">
        <v>232</v>
      </c>
      <c r="D45" s="2918">
        <f t="shared" si="186"/>
        <v>232</v>
      </c>
      <c r="E45" s="2918">
        <v>376</v>
      </c>
      <c r="F45" s="2919">
        <v>213</v>
      </c>
      <c r="G45" s="3577">
        <v>2011</v>
      </c>
      <c r="H45" s="2920">
        <v>4</v>
      </c>
      <c r="I45" s="2920">
        <v>-0.2</v>
      </c>
      <c r="J45" s="2920">
        <v>0.04</v>
      </c>
      <c r="K45" s="2920">
        <v>-0.34</v>
      </c>
      <c r="L45" s="2921">
        <v>0.46</v>
      </c>
      <c r="N45" s="2915">
        <f t="shared" si="188"/>
        <v>-2E-3</v>
      </c>
      <c r="O45" s="2916">
        <f t="shared" si="188"/>
        <v>4.0000000000000002E-4</v>
      </c>
      <c r="P45" s="2916">
        <f t="shared" si="188"/>
        <v>-3.4000000000000002E-3</v>
      </c>
      <c r="Q45" s="2916">
        <f t="shared" si="188"/>
        <v>4.5999999999999999E-3</v>
      </c>
      <c r="R45" s="2900"/>
      <c r="S45" s="2909"/>
      <c r="T45" s="2910"/>
      <c r="U45" s="2910"/>
      <c r="V45" s="2910"/>
      <c r="X45" s="2910"/>
      <c r="Y45" s="2910"/>
      <c r="Z45" s="2910"/>
    </row>
    <row r="46" spans="1:34">
      <c r="A46" s="2896" t="s">
        <v>2572</v>
      </c>
      <c r="B46" s="2897">
        <f t="shared" ref="B46:C48" si="198">B45/(1+N45)</f>
        <v>275.55110220440883</v>
      </c>
      <c r="C46" s="2897">
        <f t="shared" si="198"/>
        <v>231.90723710515795</v>
      </c>
      <c r="D46" s="2897">
        <f t="shared" si="186"/>
        <v>231.90723710515795</v>
      </c>
      <c r="E46" s="2897">
        <f t="shared" ref="E46:F48" si="199">E45/(1+P45)</f>
        <v>377.28276138872161</v>
      </c>
      <c r="F46" s="2897">
        <f t="shared" si="199"/>
        <v>212.02468644236512</v>
      </c>
      <c r="G46" s="3575">
        <v>2011</v>
      </c>
      <c r="H46" s="2923">
        <v>3</v>
      </c>
      <c r="I46" s="2923">
        <v>0.13</v>
      </c>
      <c r="J46" s="2923">
        <v>0.75</v>
      </c>
      <c r="K46" s="2923">
        <v>-0.08</v>
      </c>
      <c r="L46" s="2924">
        <v>0.53</v>
      </c>
      <c r="N46" s="2899">
        <f t="shared" si="188"/>
        <v>1.2999999999999999E-3</v>
      </c>
      <c r="O46" s="2917">
        <f t="shared" si="188"/>
        <v>7.4999999999999997E-3</v>
      </c>
      <c r="P46" s="2917">
        <f t="shared" si="188"/>
        <v>-8.0000000000000004E-4</v>
      </c>
      <c r="Q46" s="2917">
        <f t="shared" si="188"/>
        <v>5.3E-3</v>
      </c>
      <c r="R46" s="2900"/>
      <c r="S46" s="2899"/>
      <c r="T46" s="2885"/>
      <c r="U46" s="2885"/>
      <c r="V46" s="2885"/>
    </row>
    <row r="47" spans="1:34">
      <c r="A47" s="2896" t="s">
        <v>2573</v>
      </c>
      <c r="B47" s="2897">
        <f t="shared" si="198"/>
        <v>275.19335084830601</v>
      </c>
      <c r="C47" s="2897">
        <f t="shared" si="198"/>
        <v>230.18088050139744</v>
      </c>
      <c r="D47" s="2897">
        <f t="shared" si="186"/>
        <v>230.18088050139744</v>
      </c>
      <c r="E47" s="2897">
        <f t="shared" si="199"/>
        <v>377.58482925212331</v>
      </c>
      <c r="F47" s="2897">
        <f t="shared" si="199"/>
        <v>210.90687997847917</v>
      </c>
      <c r="G47" s="3575">
        <v>2011</v>
      </c>
      <c r="H47" s="2911">
        <v>2</v>
      </c>
      <c r="I47" s="2911">
        <v>-0.4</v>
      </c>
      <c r="J47" s="2911">
        <v>0.17</v>
      </c>
      <c r="K47" s="2911">
        <v>-0.57999999999999996</v>
      </c>
      <c r="L47" s="2912">
        <v>-0.2</v>
      </c>
      <c r="N47" s="2899">
        <f t="shared" si="188"/>
        <v>-4.0000000000000001E-3</v>
      </c>
      <c r="O47" s="2917">
        <f t="shared" si="188"/>
        <v>1.7000000000000001E-3</v>
      </c>
      <c r="P47" s="2917">
        <f t="shared" si="188"/>
        <v>-5.7999999999999996E-3</v>
      </c>
      <c r="Q47" s="2917">
        <f t="shared" si="188"/>
        <v>-2E-3</v>
      </c>
      <c r="R47" s="2900"/>
      <c r="S47" s="2899"/>
      <c r="T47" s="2885"/>
      <c r="U47" s="2885"/>
      <c r="V47" s="2885"/>
    </row>
    <row r="48" spans="1:34" ht="13.5" thickBot="1">
      <c r="A48" s="2896" t="s">
        <v>2574</v>
      </c>
      <c r="B48" s="2897">
        <f t="shared" si="198"/>
        <v>276.29854502841971</v>
      </c>
      <c r="C48" s="2897">
        <f t="shared" si="198"/>
        <v>229.79023709833027</v>
      </c>
      <c r="D48" s="2897">
        <f t="shared" si="186"/>
        <v>229.79023709833027</v>
      </c>
      <c r="E48" s="2897">
        <f t="shared" si="199"/>
        <v>379.78759731655936</v>
      </c>
      <c r="F48" s="2897">
        <f t="shared" si="199"/>
        <v>211.32953905659235</v>
      </c>
      <c r="G48" s="3578">
        <v>2011</v>
      </c>
      <c r="H48" s="2898">
        <v>1</v>
      </c>
      <c r="I48" s="2898">
        <v>2.65</v>
      </c>
      <c r="J48" s="2898">
        <v>3.76</v>
      </c>
      <c r="K48" s="2898">
        <v>1.89</v>
      </c>
      <c r="L48" s="2904">
        <v>7.95</v>
      </c>
      <c r="N48" s="2901">
        <f t="shared" si="188"/>
        <v>2.6499999999999999E-2</v>
      </c>
      <c r="O48" s="2902">
        <f t="shared" si="188"/>
        <v>3.7599999999999995E-2</v>
      </c>
      <c r="P48" s="2902">
        <f t="shared" si="188"/>
        <v>1.89E-2</v>
      </c>
      <c r="Q48" s="2902">
        <f t="shared" si="188"/>
        <v>7.9500000000000001E-2</v>
      </c>
      <c r="R48" s="2900"/>
      <c r="S48" s="2901">
        <f>B48/B49-1</f>
        <v>2.713213765211786E-2</v>
      </c>
      <c r="T48" s="2902">
        <f>C48/C49-1</f>
        <v>3.9774828499231862E-2</v>
      </c>
      <c r="U48" s="2902">
        <f>E48/E49-1</f>
        <v>1.8197311840641772E-2</v>
      </c>
      <c r="V48" s="2902">
        <f>F48/F49-1</f>
        <v>7.8211933962205826E-2</v>
      </c>
      <c r="X48" s="2885"/>
      <c r="Y48" s="2885"/>
      <c r="Z48" s="2885"/>
    </row>
    <row r="49" spans="1:26" ht="13.5" thickBot="1">
      <c r="A49" s="2896" t="s">
        <v>2575</v>
      </c>
      <c r="B49" s="2918">
        <v>269</v>
      </c>
      <c r="C49" s="2918">
        <v>221</v>
      </c>
      <c r="D49" s="2918">
        <f t="shared" si="186"/>
        <v>221</v>
      </c>
      <c r="E49" s="2918">
        <v>373</v>
      </c>
      <c r="F49" s="2919">
        <v>196</v>
      </c>
      <c r="G49" s="3577">
        <v>2010</v>
      </c>
      <c r="H49" s="2920">
        <v>4</v>
      </c>
      <c r="I49" s="2920">
        <v>5.72</v>
      </c>
      <c r="J49" s="2920">
        <v>6.57</v>
      </c>
      <c r="K49" s="2920">
        <v>5.72</v>
      </c>
      <c r="L49" s="2921">
        <v>2.72</v>
      </c>
      <c r="N49" s="2899">
        <f t="shared" si="188"/>
        <v>5.7200000000000001E-2</v>
      </c>
      <c r="O49" s="2885">
        <f t="shared" si="188"/>
        <v>6.5700000000000008E-2</v>
      </c>
      <c r="P49" s="2885">
        <f t="shared" si="188"/>
        <v>5.7200000000000001E-2</v>
      </c>
      <c r="Q49" s="2885">
        <f t="shared" si="188"/>
        <v>2.7200000000000002E-2</v>
      </c>
      <c r="R49" s="2900"/>
      <c r="S49" s="2909"/>
      <c r="T49" s="2910"/>
      <c r="U49" s="2910"/>
      <c r="V49" s="2910"/>
      <c r="X49" s="2910"/>
      <c r="Y49" s="2910"/>
      <c r="Z49" s="2910"/>
    </row>
    <row r="50" spans="1:26">
      <c r="A50" s="2896" t="s">
        <v>2576</v>
      </c>
      <c r="B50" s="2897">
        <f t="shared" ref="B50:C52" si="200">B49/(1+N49)</f>
        <v>254.44570563753314</v>
      </c>
      <c r="C50" s="2897">
        <f t="shared" si="200"/>
        <v>207.37543398705074</v>
      </c>
      <c r="D50" s="2897">
        <f t="shared" si="186"/>
        <v>207.37543398705074</v>
      </c>
      <c r="E50" s="2897">
        <f t="shared" ref="E50:F52" si="201">E49/(1+P49)</f>
        <v>352.81876655315932</v>
      </c>
      <c r="F50" s="2897">
        <f t="shared" si="201"/>
        <v>190.809968847352</v>
      </c>
      <c r="G50" s="3575">
        <v>2010</v>
      </c>
      <c r="H50" s="2923">
        <v>3</v>
      </c>
      <c r="I50" s="2923">
        <v>4.7300000000000004</v>
      </c>
      <c r="J50" s="2923">
        <v>3.9</v>
      </c>
      <c r="K50" s="2923">
        <v>5.03</v>
      </c>
      <c r="L50" s="2924">
        <v>4.21</v>
      </c>
      <c r="N50" s="2899">
        <f t="shared" si="188"/>
        <v>4.7300000000000002E-2</v>
      </c>
      <c r="O50" s="2885">
        <f t="shared" si="188"/>
        <v>3.9E-2</v>
      </c>
      <c r="P50" s="2885">
        <f t="shared" si="188"/>
        <v>5.0300000000000004E-2</v>
      </c>
      <c r="Q50" s="2885">
        <f t="shared" si="188"/>
        <v>4.2099999999999999E-2</v>
      </c>
      <c r="R50" s="2900"/>
      <c r="S50" s="2899"/>
      <c r="T50" s="2885"/>
      <c r="U50" s="2885"/>
      <c r="V50" s="2885"/>
    </row>
    <row r="51" spans="1:26">
      <c r="A51" s="2896" t="s">
        <v>2577</v>
      </c>
      <c r="B51" s="2897">
        <f t="shared" si="200"/>
        <v>242.95398227588385</v>
      </c>
      <c r="C51" s="2897">
        <f t="shared" si="200"/>
        <v>199.59137053614126</v>
      </c>
      <c r="D51" s="2897">
        <f t="shared" si="186"/>
        <v>199.59137053614126</v>
      </c>
      <c r="E51" s="2897">
        <f t="shared" si="201"/>
        <v>335.92189522342125</v>
      </c>
      <c r="F51" s="2897">
        <f t="shared" si="201"/>
        <v>183.10139991109489</v>
      </c>
      <c r="G51" s="3575">
        <v>2010</v>
      </c>
      <c r="H51" s="2911">
        <v>2</v>
      </c>
      <c r="I51" s="2911">
        <v>4.6900000000000004</v>
      </c>
      <c r="J51" s="2911">
        <v>3.55</v>
      </c>
      <c r="K51" s="2911">
        <v>5.07</v>
      </c>
      <c r="L51" s="2912">
        <v>4.2300000000000004</v>
      </c>
      <c r="N51" s="2899">
        <f t="shared" si="188"/>
        <v>4.6900000000000004E-2</v>
      </c>
      <c r="O51" s="2885">
        <f t="shared" si="188"/>
        <v>3.5499999999999997E-2</v>
      </c>
      <c r="P51" s="2885">
        <f t="shared" si="188"/>
        <v>5.0700000000000002E-2</v>
      </c>
      <c r="Q51" s="2885">
        <f t="shared" si="188"/>
        <v>4.2300000000000004E-2</v>
      </c>
      <c r="R51" s="2900"/>
      <c r="S51" s="2899"/>
      <c r="T51" s="2885"/>
      <c r="U51" s="2885"/>
      <c r="V51" s="2885"/>
    </row>
    <row r="52" spans="1:26" ht="13.5" thickBot="1">
      <c r="A52" s="2896" t="s">
        <v>2578</v>
      </c>
      <c r="B52" s="2897">
        <f t="shared" si="200"/>
        <v>232.06990378821649</v>
      </c>
      <c r="C52" s="2897">
        <f t="shared" si="200"/>
        <v>192.74878854286936</v>
      </c>
      <c r="D52" s="2897">
        <f t="shared" si="186"/>
        <v>192.74878854286936</v>
      </c>
      <c r="E52" s="2897">
        <f t="shared" si="201"/>
        <v>319.71247284992984</v>
      </c>
      <c r="F52" s="2897">
        <f t="shared" si="201"/>
        <v>175.67053622862409</v>
      </c>
      <c r="G52" s="3578">
        <v>2010</v>
      </c>
      <c r="H52" s="2898">
        <v>1</v>
      </c>
      <c r="I52" s="2898">
        <v>5.4</v>
      </c>
      <c r="J52" s="2898">
        <v>3.2</v>
      </c>
      <c r="K52" s="2898">
        <v>6.16</v>
      </c>
      <c r="L52" s="2904">
        <v>4.51</v>
      </c>
      <c r="N52" s="2899">
        <f t="shared" si="188"/>
        <v>5.4000000000000006E-2</v>
      </c>
      <c r="O52" s="2885">
        <f t="shared" si="188"/>
        <v>3.2000000000000001E-2</v>
      </c>
      <c r="P52" s="2885">
        <f t="shared" si="188"/>
        <v>6.1600000000000002E-2</v>
      </c>
      <c r="Q52" s="2885">
        <f t="shared" si="188"/>
        <v>4.5100000000000001E-2</v>
      </c>
      <c r="R52" s="2900"/>
      <c r="S52" s="2901">
        <f>B52/B53-1</f>
        <v>5.4863199037347599E-2</v>
      </c>
      <c r="T52" s="2902">
        <f>C52/C53-1</f>
        <v>3.0742184721226584E-2</v>
      </c>
      <c r="U52" s="2902">
        <f>E52/E53-1</f>
        <v>6.2167683886810154E-2</v>
      </c>
      <c r="V52" s="2902">
        <f>F52/F53-1</f>
        <v>4.5657953741810031E-2</v>
      </c>
      <c r="X52" s="2885"/>
      <c r="Y52" s="2885"/>
      <c r="Z52" s="2885"/>
    </row>
    <row r="53" spans="1:26" ht="13.5" thickBot="1">
      <c r="A53" s="2896" t="s">
        <v>2579</v>
      </c>
      <c r="B53" s="2918">
        <v>220</v>
      </c>
      <c r="C53" s="2918">
        <v>187</v>
      </c>
      <c r="D53" s="2918">
        <f t="shared" si="186"/>
        <v>187</v>
      </c>
      <c r="E53" s="2918">
        <v>301</v>
      </c>
      <c r="F53" s="2919">
        <v>168</v>
      </c>
      <c r="G53" s="3577">
        <v>2009</v>
      </c>
      <c r="H53" s="2920">
        <v>4</v>
      </c>
      <c r="I53" s="2920">
        <v>2.2999999999999998</v>
      </c>
      <c r="J53" s="2920">
        <v>1.04</v>
      </c>
      <c r="K53" s="2920">
        <v>2.84</v>
      </c>
      <c r="L53" s="2921">
        <v>0.67</v>
      </c>
      <c r="N53" s="2915">
        <f t="shared" si="188"/>
        <v>2.3E-2</v>
      </c>
      <c r="O53" s="2916">
        <f t="shared" si="188"/>
        <v>1.04E-2</v>
      </c>
      <c r="P53" s="2916">
        <f t="shared" si="188"/>
        <v>2.8399999999999998E-2</v>
      </c>
      <c r="Q53" s="2916">
        <f t="shared" si="188"/>
        <v>6.7000000000000002E-3</v>
      </c>
      <c r="R53" s="2900"/>
      <c r="S53" s="2909"/>
      <c r="T53" s="2910"/>
      <c r="U53" s="2910"/>
      <c r="V53" s="2910"/>
      <c r="X53" s="2910"/>
      <c r="Y53" s="2910"/>
      <c r="Z53" s="2910"/>
    </row>
    <row r="54" spans="1:26">
      <c r="A54" s="2896" t="s">
        <v>2580</v>
      </c>
      <c r="B54" s="2897">
        <f t="shared" ref="B54:C56" si="202">B53/(1+N53)</f>
        <v>215.05376344086022</v>
      </c>
      <c r="C54" s="2897">
        <f t="shared" si="202"/>
        <v>185.0752177355503</v>
      </c>
      <c r="D54" s="2897">
        <f t="shared" si="186"/>
        <v>185.0752177355503</v>
      </c>
      <c r="E54" s="2897">
        <f t="shared" ref="E54:F56" si="203">E53/(1+P53)</f>
        <v>292.68767016725008</v>
      </c>
      <c r="F54" s="2897">
        <f t="shared" si="203"/>
        <v>166.88189132810174</v>
      </c>
      <c r="G54" s="3575">
        <v>2009</v>
      </c>
      <c r="H54" s="2923">
        <v>3</v>
      </c>
      <c r="I54" s="2923">
        <v>2.1</v>
      </c>
      <c r="J54" s="2923">
        <v>1.86</v>
      </c>
      <c r="K54" s="2923">
        <v>2.29</v>
      </c>
      <c r="L54" s="2924">
        <v>0.85</v>
      </c>
      <c r="N54" s="2899">
        <f t="shared" si="188"/>
        <v>2.1000000000000001E-2</v>
      </c>
      <c r="O54" s="2917">
        <f t="shared" si="188"/>
        <v>1.8600000000000002E-2</v>
      </c>
      <c r="P54" s="2917">
        <f t="shared" si="188"/>
        <v>2.29E-2</v>
      </c>
      <c r="Q54" s="2917">
        <f t="shared" si="188"/>
        <v>8.5000000000000006E-3</v>
      </c>
      <c r="R54" s="2900"/>
      <c r="S54" s="2899"/>
      <c r="T54" s="2885"/>
      <c r="U54" s="2885"/>
      <c r="V54" s="2885"/>
    </row>
    <row r="55" spans="1:26">
      <c r="A55" s="2896" t="s">
        <v>2581</v>
      </c>
      <c r="B55" s="2897">
        <f t="shared" si="202"/>
        <v>210.630522469011</v>
      </c>
      <c r="C55" s="2897">
        <f t="shared" si="202"/>
        <v>181.69567812247232</v>
      </c>
      <c r="D55" s="2897">
        <f t="shared" si="186"/>
        <v>181.69567812247232</v>
      </c>
      <c r="E55" s="2897">
        <f t="shared" si="203"/>
        <v>286.13517466736738</v>
      </c>
      <c r="F55" s="2897">
        <f t="shared" si="203"/>
        <v>165.47535084591149</v>
      </c>
      <c r="G55" s="3575">
        <v>2009</v>
      </c>
      <c r="H55" s="2911">
        <v>2</v>
      </c>
      <c r="I55" s="2911">
        <v>0.86</v>
      </c>
      <c r="J55" s="2911">
        <v>-1.1299999999999999</v>
      </c>
      <c r="K55" s="2911">
        <v>1.79</v>
      </c>
      <c r="L55" s="2912">
        <v>-2.0699999999999998</v>
      </c>
      <c r="N55" s="2899">
        <f t="shared" si="188"/>
        <v>8.6E-3</v>
      </c>
      <c r="O55" s="2917">
        <f t="shared" si="188"/>
        <v>-1.1299999999999999E-2</v>
      </c>
      <c r="P55" s="2917">
        <f t="shared" si="188"/>
        <v>1.7899999999999999E-2</v>
      </c>
      <c r="Q55" s="2917">
        <f t="shared" si="188"/>
        <v>-2.07E-2</v>
      </c>
      <c r="R55" s="2900"/>
      <c r="S55" s="2899"/>
      <c r="T55" s="2885"/>
      <c r="U55" s="2885"/>
      <c r="V55" s="2885"/>
    </row>
    <row r="56" spans="1:26">
      <c r="A56" s="2896" t="s">
        <v>2582</v>
      </c>
      <c r="B56" s="2897">
        <f t="shared" si="202"/>
        <v>208.83454537875372</v>
      </c>
      <c r="C56" s="2897">
        <f t="shared" si="202"/>
        <v>183.77230517090351</v>
      </c>
      <c r="D56" s="2897">
        <f t="shared" si="186"/>
        <v>183.77230517090351</v>
      </c>
      <c r="E56" s="2897">
        <f t="shared" si="203"/>
        <v>281.10342338870947</v>
      </c>
      <c r="F56" s="2897">
        <f t="shared" si="203"/>
        <v>168.97309388942256</v>
      </c>
      <c r="G56" s="3578">
        <v>2009</v>
      </c>
      <c r="H56" s="2898">
        <v>1</v>
      </c>
      <c r="I56" s="2898">
        <v>-2.64</v>
      </c>
      <c r="J56" s="2898">
        <v>-2.5299999999999998</v>
      </c>
      <c r="K56" s="2898">
        <v>-3.02</v>
      </c>
      <c r="L56" s="2904">
        <v>1.52</v>
      </c>
      <c r="N56" s="2901">
        <f t="shared" si="188"/>
        <v>-2.64E-2</v>
      </c>
      <c r="O56" s="2902">
        <f t="shared" si="188"/>
        <v>-2.53E-2</v>
      </c>
      <c r="P56" s="2902">
        <f t="shared" si="188"/>
        <v>-3.0200000000000001E-2</v>
      </c>
      <c r="Q56" s="2902">
        <f t="shared" si="188"/>
        <v>1.52E-2</v>
      </c>
      <c r="R56" s="2900"/>
      <c r="S56" s="2901">
        <f>B56/B57-1</f>
        <v>-2.4137638417038754E-2</v>
      </c>
      <c r="T56" s="2902">
        <f>C56/C57-1</f>
        <v>-2.248773845264096E-2</v>
      </c>
      <c r="U56" s="2902">
        <f>E56/E57-1</f>
        <v>-2.7323794502735366E-2</v>
      </c>
      <c r="V56" s="2902">
        <f>F56/F57-1</f>
        <v>1.7910204153148035E-2</v>
      </c>
      <c r="X56" s="2885"/>
      <c r="Y56" s="2885"/>
      <c r="Z56" s="2885"/>
    </row>
    <row r="57" spans="1:26" ht="13.5" thickBot="1">
      <c r="A57" s="2896" t="s">
        <v>2583</v>
      </c>
      <c r="B57" s="2946">
        <v>214</v>
      </c>
      <c r="C57" s="2946">
        <v>188</v>
      </c>
      <c r="D57" s="2946">
        <f t="shared" si="186"/>
        <v>188</v>
      </c>
      <c r="E57" s="2946">
        <v>289</v>
      </c>
      <c r="F57" s="2947">
        <v>166</v>
      </c>
      <c r="G57" s="3577">
        <v>2008</v>
      </c>
      <c r="H57" s="2920">
        <v>4</v>
      </c>
      <c r="I57" s="2920">
        <v>1.73</v>
      </c>
      <c r="J57" s="2920">
        <v>0.03</v>
      </c>
      <c r="K57" s="2920">
        <v>2.59</v>
      </c>
      <c r="L57" s="2921">
        <v>-1.66</v>
      </c>
      <c r="N57" s="2899">
        <f t="shared" si="188"/>
        <v>1.7299999999999999E-2</v>
      </c>
      <c r="O57" s="2885">
        <f t="shared" si="188"/>
        <v>2.9999999999999997E-4</v>
      </c>
      <c r="P57" s="2885">
        <f t="shared" si="188"/>
        <v>2.5899999999999999E-2</v>
      </c>
      <c r="Q57" s="2885">
        <f t="shared" si="188"/>
        <v>-1.66E-2</v>
      </c>
      <c r="R57" s="2900"/>
      <c r="S57" s="2909"/>
      <c r="T57" s="2910"/>
      <c r="U57" s="2910"/>
      <c r="V57" s="2910"/>
      <c r="X57" s="2910"/>
      <c r="Y57" s="2910"/>
      <c r="Z57" s="2910"/>
    </row>
    <row r="58" spans="1:26">
      <c r="A58" s="2896" t="s">
        <v>2584</v>
      </c>
      <c r="B58" s="2897">
        <f t="shared" ref="B58:C60" si="204">B57/(1+N57)</f>
        <v>210.36075887152265</v>
      </c>
      <c r="C58" s="2897">
        <f t="shared" si="204"/>
        <v>187.94361691492554</v>
      </c>
      <c r="D58" s="2897">
        <f t="shared" si="186"/>
        <v>187.94361691492554</v>
      </c>
      <c r="E58" s="2897">
        <f t="shared" ref="E58:F60" si="205">E57/(1+P57)</f>
        <v>281.70386977288234</v>
      </c>
      <c r="F58" s="2897">
        <f t="shared" si="205"/>
        <v>168.80211511083994</v>
      </c>
      <c r="G58" s="3575">
        <v>2008</v>
      </c>
      <c r="H58" s="2923">
        <v>3</v>
      </c>
      <c r="I58" s="2923">
        <v>1.96</v>
      </c>
      <c r="J58" s="2923">
        <v>2.36</v>
      </c>
      <c r="K58" s="2923">
        <v>1.82</v>
      </c>
      <c r="L58" s="2924">
        <v>2.2200000000000002</v>
      </c>
      <c r="N58" s="2899">
        <f t="shared" si="188"/>
        <v>1.9599999999999999E-2</v>
      </c>
      <c r="O58" s="2885">
        <f t="shared" si="188"/>
        <v>2.3599999999999999E-2</v>
      </c>
      <c r="P58" s="2885">
        <f t="shared" si="188"/>
        <v>1.8200000000000001E-2</v>
      </c>
      <c r="Q58" s="2885">
        <f t="shared" si="188"/>
        <v>2.2200000000000001E-2</v>
      </c>
      <c r="R58" s="2900"/>
      <c r="S58" s="2899"/>
      <c r="T58" s="2885"/>
      <c r="U58" s="2885"/>
      <c r="V58" s="2885"/>
    </row>
    <row r="59" spans="1:26">
      <c r="A59" s="2896" t="s">
        <v>2585</v>
      </c>
      <c r="B59" s="2897">
        <f t="shared" si="204"/>
        <v>206.31694671589116</v>
      </c>
      <c r="C59" s="2897">
        <f t="shared" si="204"/>
        <v>183.61041121036101</v>
      </c>
      <c r="D59" s="2897">
        <f t="shared" si="186"/>
        <v>183.61041121036101</v>
      </c>
      <c r="E59" s="2897">
        <f t="shared" si="205"/>
        <v>276.66850301795557</v>
      </c>
      <c r="F59" s="2897">
        <f t="shared" si="205"/>
        <v>165.1360938278614</v>
      </c>
      <c r="G59" s="3575">
        <v>2008</v>
      </c>
      <c r="H59" s="2911">
        <v>2</v>
      </c>
      <c r="I59" s="2911">
        <v>4.93</v>
      </c>
      <c r="J59" s="2911">
        <v>7.38</v>
      </c>
      <c r="K59" s="2911">
        <v>3.98</v>
      </c>
      <c r="L59" s="2912">
        <v>6.86</v>
      </c>
      <c r="N59" s="2899">
        <f t="shared" si="188"/>
        <v>4.9299999999999997E-2</v>
      </c>
      <c r="O59" s="2885">
        <f t="shared" si="188"/>
        <v>7.3800000000000004E-2</v>
      </c>
      <c r="P59" s="2885">
        <f t="shared" si="188"/>
        <v>3.9800000000000002E-2</v>
      </c>
      <c r="Q59" s="2885">
        <f t="shared" si="188"/>
        <v>6.8600000000000008E-2</v>
      </c>
      <c r="R59" s="2900"/>
      <c r="S59" s="2899"/>
      <c r="T59" s="2885"/>
      <c r="U59" s="2885"/>
      <c r="V59" s="2885"/>
    </row>
    <row r="60" spans="1:26" s="2952" customFormat="1" ht="13.5" thickBot="1">
      <c r="A60" s="2896" t="s">
        <v>2586</v>
      </c>
      <c r="B60" s="2949">
        <f t="shared" si="204"/>
        <v>196.62341248059772</v>
      </c>
      <c r="C60" s="2949">
        <f t="shared" si="204"/>
        <v>170.99125648199012</v>
      </c>
      <c r="D60" s="2949">
        <f t="shared" si="186"/>
        <v>170.99125648199012</v>
      </c>
      <c r="E60" s="2949">
        <f t="shared" si="205"/>
        <v>266.07857570490052</v>
      </c>
      <c r="F60" s="2949">
        <f t="shared" si="205"/>
        <v>154.53499328828505</v>
      </c>
      <c r="G60" s="3578">
        <v>2008</v>
      </c>
      <c r="H60" s="2950">
        <v>1</v>
      </c>
      <c r="I60" s="2950">
        <v>4.1399999999999997</v>
      </c>
      <c r="J60" s="2950">
        <v>3.45</v>
      </c>
      <c r="K60" s="2950">
        <v>4.95</v>
      </c>
      <c r="L60" s="2951">
        <v>4.82</v>
      </c>
      <c r="N60" s="2953">
        <f t="shared" si="188"/>
        <v>4.1399999999999999E-2</v>
      </c>
      <c r="O60" s="2954">
        <f t="shared" si="188"/>
        <v>3.4500000000000003E-2</v>
      </c>
      <c r="P60" s="2954">
        <f t="shared" si="188"/>
        <v>4.9500000000000002E-2</v>
      </c>
      <c r="Q60" s="2954">
        <f t="shared" si="188"/>
        <v>4.82E-2</v>
      </c>
      <c r="R60" s="2955"/>
      <c r="S60" s="2953">
        <f>B60/B61-1</f>
        <v>4.5869215322328349E-2</v>
      </c>
      <c r="T60" s="2954">
        <f>C60/C61-1</f>
        <v>3.6310645345394743E-2</v>
      </c>
      <c r="U60" s="2954">
        <f>E60/E61-1</f>
        <v>4.7553447657088688E-2</v>
      </c>
      <c r="V60" s="2954">
        <f>F60/F61-1</f>
        <v>4.4155360055980086E-2</v>
      </c>
      <c r="X60" s="2954"/>
      <c r="Y60" s="2954"/>
      <c r="Z60" s="2954"/>
    </row>
    <row r="61" spans="1:26" ht="13.5" thickBot="1">
      <c r="A61" s="2896" t="s">
        <v>2587</v>
      </c>
      <c r="B61" s="2918">
        <v>188</v>
      </c>
      <c r="C61" s="2918">
        <v>165</v>
      </c>
      <c r="D61" s="2918">
        <f t="shared" si="186"/>
        <v>165</v>
      </c>
      <c r="E61" s="2918">
        <v>254</v>
      </c>
      <c r="F61" s="2919">
        <v>148</v>
      </c>
      <c r="G61" s="3577">
        <v>2007</v>
      </c>
      <c r="H61" s="2956">
        <v>4</v>
      </c>
      <c r="I61" s="2956">
        <v>5.51</v>
      </c>
      <c r="J61" s="2956">
        <v>4.8899999999999997</v>
      </c>
      <c r="K61" s="2956">
        <v>6.43</v>
      </c>
      <c r="L61" s="2957">
        <v>5.36</v>
      </c>
      <c r="N61" s="2958">
        <f t="shared" ref="N61:O64" si="206">B61/B62-1</f>
        <v>4.1339718365245526E-2</v>
      </c>
      <c r="O61" s="2959">
        <f t="shared" si="206"/>
        <v>4.0324492593776018E-2</v>
      </c>
      <c r="P61" s="2959">
        <f t="shared" ref="P61:Q64" si="207">E61/E62-1</f>
        <v>6.1625555347990968E-2</v>
      </c>
      <c r="Q61" s="2959">
        <f t="shared" si="207"/>
        <v>4.6757569250590603E-2</v>
      </c>
      <c r="R61" s="2900"/>
      <c r="S61" s="2909"/>
      <c r="T61" s="2910"/>
      <c r="U61" s="2910"/>
      <c r="V61" s="2910"/>
      <c r="X61" s="2910"/>
      <c r="Y61" s="2910"/>
      <c r="Z61" s="2910"/>
    </row>
    <row r="62" spans="1:26">
      <c r="A62" s="2896" t="s">
        <v>2588</v>
      </c>
      <c r="B62" s="2897">
        <f t="shared" ref="B62:C64" si="208">B63+(B$61-B$65)*I62/SUM(I$61:I$64)</f>
        <v>180.5366651097618</v>
      </c>
      <c r="C62" s="2897">
        <f t="shared" si="208"/>
        <v>158.60435967302453</v>
      </c>
      <c r="D62" s="2897">
        <f t="shared" si="186"/>
        <v>158.60435967302453</v>
      </c>
      <c r="E62" s="2897">
        <f t="shared" ref="E62:F64" si="209">E63+(E$61-E$65)*K62/SUM(K$61:K$64)</f>
        <v>239.25573260785075</v>
      </c>
      <c r="F62" s="2897">
        <f t="shared" si="209"/>
        <v>141.38899430740037</v>
      </c>
      <c r="G62" s="3575">
        <v>2007</v>
      </c>
      <c r="H62" s="2923">
        <v>3</v>
      </c>
      <c r="I62" s="2923">
        <v>8.65</v>
      </c>
      <c r="J62" s="2923">
        <v>8.06</v>
      </c>
      <c r="K62" s="2923">
        <v>9.94</v>
      </c>
      <c r="L62" s="2924">
        <v>5.8</v>
      </c>
      <c r="N62" s="2958">
        <f t="shared" si="206"/>
        <v>6.940217571740015E-2</v>
      </c>
      <c r="O62" s="2959">
        <f t="shared" si="206"/>
        <v>7.1197482471153428E-2</v>
      </c>
      <c r="P62" s="2959">
        <f t="shared" si="207"/>
        <v>0.10529679922579582</v>
      </c>
      <c r="Q62" s="2959">
        <f t="shared" si="207"/>
        <v>5.3292245059512133E-2</v>
      </c>
      <c r="R62" s="2900"/>
      <c r="S62" s="2899"/>
      <c r="T62" s="2885"/>
      <c r="U62" s="2885"/>
      <c r="V62" s="2885"/>
      <c r="X62" s="2960"/>
      <c r="Y62" s="2960"/>
      <c r="Z62" s="2960"/>
    </row>
    <row r="63" spans="1:26">
      <c r="A63" s="2896" t="s">
        <v>2589</v>
      </c>
      <c r="B63" s="2897">
        <f t="shared" si="208"/>
        <v>168.82017748715555</v>
      </c>
      <c r="C63" s="2897">
        <f t="shared" si="208"/>
        <v>148.06267029972753</v>
      </c>
      <c r="D63" s="2897">
        <f t="shared" si="186"/>
        <v>148.06267029972753</v>
      </c>
      <c r="E63" s="2897">
        <f t="shared" si="209"/>
        <v>216.46288379323747</v>
      </c>
      <c r="F63" s="2897">
        <f t="shared" si="209"/>
        <v>134.23529411764704</v>
      </c>
      <c r="G63" s="3575">
        <v>2007</v>
      </c>
      <c r="H63" s="2911">
        <v>2</v>
      </c>
      <c r="I63" s="2911">
        <v>3.67</v>
      </c>
      <c r="J63" s="2911">
        <v>2.3199999999999998</v>
      </c>
      <c r="K63" s="2911">
        <v>5.0199999999999996</v>
      </c>
      <c r="L63" s="2912">
        <v>6.71</v>
      </c>
      <c r="N63" s="2958">
        <f t="shared" si="206"/>
        <v>3.0339138143848032E-2</v>
      </c>
      <c r="O63" s="2959">
        <f t="shared" si="206"/>
        <v>2.0922341588790472E-2</v>
      </c>
      <c r="P63" s="2959">
        <f t="shared" si="207"/>
        <v>5.6164796592717003E-2</v>
      </c>
      <c r="Q63" s="2959">
        <f t="shared" si="207"/>
        <v>6.5704536723887319E-2</v>
      </c>
      <c r="R63" s="2900"/>
      <c r="S63" s="2899"/>
      <c r="T63" s="2885"/>
      <c r="U63" s="2885"/>
      <c r="V63" s="2885"/>
      <c r="X63" s="2960"/>
      <c r="Y63" s="2960"/>
      <c r="Z63" s="2960"/>
    </row>
    <row r="64" spans="1:26">
      <c r="A64" s="2896" t="s">
        <v>2590</v>
      </c>
      <c r="B64" s="2897">
        <f t="shared" si="208"/>
        <v>163.84913591779542</v>
      </c>
      <c r="C64" s="2897">
        <f t="shared" si="208"/>
        <v>145.0283378746594</v>
      </c>
      <c r="D64" s="2897">
        <f t="shared" si="186"/>
        <v>145.0283378746594</v>
      </c>
      <c r="E64" s="2897">
        <f t="shared" si="209"/>
        <v>204.95180722891567</v>
      </c>
      <c r="F64" s="2897">
        <f t="shared" si="209"/>
        <v>125.95920303605313</v>
      </c>
      <c r="G64" s="3578">
        <v>2007</v>
      </c>
      <c r="H64" s="2898">
        <v>1</v>
      </c>
      <c r="I64" s="2898">
        <v>3.58</v>
      </c>
      <c r="J64" s="2898">
        <v>3.08</v>
      </c>
      <c r="K64" s="2898">
        <v>4.34</v>
      </c>
      <c r="L64" s="2904">
        <v>3.21</v>
      </c>
      <c r="N64" s="2961">
        <f t="shared" si="206"/>
        <v>3.0497710174814063E-2</v>
      </c>
      <c r="O64" s="2962">
        <f t="shared" si="206"/>
        <v>2.8569772160704998E-2</v>
      </c>
      <c r="P64" s="2962">
        <f t="shared" si="207"/>
        <v>5.1034908866234296E-2</v>
      </c>
      <c r="Q64" s="2962">
        <f t="shared" si="207"/>
        <v>3.245248390207478E-2</v>
      </c>
      <c r="R64" s="2900"/>
      <c r="S64" s="2901">
        <f>B64/B65-1</f>
        <v>3.0497710174814063E-2</v>
      </c>
      <c r="T64" s="2902">
        <f>C64/C65-1</f>
        <v>2.8569772160704998E-2</v>
      </c>
      <c r="U64" s="2902">
        <f>E64/E65-1</f>
        <v>5.1034908866234296E-2</v>
      </c>
      <c r="V64" s="2902">
        <f>F64/F65-1</f>
        <v>3.245248390207478E-2</v>
      </c>
      <c r="X64" s="2960"/>
      <c r="Y64" s="2960"/>
      <c r="Z64" s="2960"/>
    </row>
    <row r="65" spans="1:26" ht="13.5" thickBot="1">
      <c r="A65" s="2896" t="s">
        <v>2591</v>
      </c>
      <c r="B65" s="2925">
        <v>159</v>
      </c>
      <c r="C65" s="2925">
        <v>141</v>
      </c>
      <c r="D65" s="2925">
        <f t="shared" si="186"/>
        <v>141</v>
      </c>
      <c r="E65" s="2925">
        <v>195</v>
      </c>
      <c r="F65" s="2926">
        <v>122</v>
      </c>
      <c r="G65" s="3577">
        <v>2006</v>
      </c>
      <c r="H65" s="2920">
        <v>4</v>
      </c>
      <c r="I65" s="2920">
        <v>3.79</v>
      </c>
      <c r="J65" s="2920">
        <v>2.21</v>
      </c>
      <c r="K65" s="2920">
        <v>5.65</v>
      </c>
      <c r="L65" s="2921">
        <v>5.41</v>
      </c>
      <c r="N65" s="2958">
        <f t="shared" ref="N65:O68" si="210">I65/SUM(I$65:I$68)*(B$65/B$69-1)</f>
        <v>7.245466462748526E-2</v>
      </c>
      <c r="O65" s="2959">
        <f t="shared" si="210"/>
        <v>2.3237230038062766E-2</v>
      </c>
      <c r="P65" s="2959">
        <f t="shared" ref="P65:Q68" si="211">K65/SUM(K$65:K$68)*(E$65/E$69-1)</f>
        <v>0.16146893866323722</v>
      </c>
      <c r="Q65" s="2959">
        <f t="shared" si="211"/>
        <v>5.0755230321793784E-2</v>
      </c>
      <c r="R65" s="2900"/>
      <c r="S65" s="2909"/>
      <c r="T65" s="2910"/>
      <c r="U65" s="2910"/>
      <c r="V65" s="2910"/>
      <c r="X65" s="2960"/>
      <c r="Y65" s="2960"/>
      <c r="Z65" s="2960"/>
    </row>
    <row r="66" spans="1:26">
      <c r="A66" s="2896" t="s">
        <v>2592</v>
      </c>
      <c r="B66" s="2897">
        <f t="shared" ref="B66:C68" si="212">B67+(B$65-B$69)*I66/SUM(I$65:I$68)</f>
        <v>149.00125628140702</v>
      </c>
      <c r="C66" s="2897">
        <f t="shared" si="212"/>
        <v>137.95592286501378</v>
      </c>
      <c r="D66" s="2897">
        <f t="shared" si="186"/>
        <v>137.95592286501378</v>
      </c>
      <c r="E66" s="2897">
        <f t="shared" ref="E66:F68" si="213">E67+(E$65-E$69)*K66/SUM(K$65:K$68)</f>
        <v>169.97231450719823</v>
      </c>
      <c r="F66" s="2897">
        <f t="shared" si="213"/>
        <v>116.21390374331551</v>
      </c>
      <c r="G66" s="3575">
        <v>2006</v>
      </c>
      <c r="H66" s="2923">
        <v>3</v>
      </c>
      <c r="I66" s="2923">
        <v>0.92</v>
      </c>
      <c r="J66" s="2923">
        <v>1.08</v>
      </c>
      <c r="K66" s="2923">
        <v>0.73</v>
      </c>
      <c r="L66" s="2924">
        <v>1.08</v>
      </c>
      <c r="N66" s="2958">
        <f t="shared" si="210"/>
        <v>1.7587939698492462E-2</v>
      </c>
      <c r="O66" s="2959">
        <f t="shared" si="210"/>
        <v>1.1355750425840628E-2</v>
      </c>
      <c r="P66" s="2959">
        <f t="shared" si="211"/>
        <v>2.0862358446754544E-2</v>
      </c>
      <c r="Q66" s="2959">
        <f t="shared" si="211"/>
        <v>1.0132282578103011E-2</v>
      </c>
      <c r="R66" s="2900"/>
      <c r="S66" s="2899"/>
      <c r="T66" s="2885"/>
      <c r="U66" s="2885"/>
      <c r="V66" s="2885"/>
      <c r="X66" s="2960"/>
      <c r="Y66" s="2960"/>
      <c r="Z66" s="2960"/>
    </row>
    <row r="67" spans="1:26">
      <c r="A67" s="2896" t="s">
        <v>2593</v>
      </c>
      <c r="B67" s="2897">
        <f t="shared" si="212"/>
        <v>146.57412060301507</v>
      </c>
      <c r="C67" s="2897">
        <f t="shared" si="212"/>
        <v>136.46831955922866</v>
      </c>
      <c r="D67" s="2897">
        <f t="shared" si="186"/>
        <v>136.46831955922866</v>
      </c>
      <c r="E67" s="2897">
        <f t="shared" si="213"/>
        <v>166.73864894795128</v>
      </c>
      <c r="F67" s="2897">
        <f t="shared" si="213"/>
        <v>115.05882352941177</v>
      </c>
      <c r="G67" s="3575">
        <v>2006</v>
      </c>
      <c r="H67" s="2911">
        <v>2</v>
      </c>
      <c r="I67" s="2911">
        <v>0.96</v>
      </c>
      <c r="J67" s="2911">
        <v>0.25</v>
      </c>
      <c r="K67" s="2911">
        <v>1.9</v>
      </c>
      <c r="L67" s="2912">
        <v>0.95</v>
      </c>
      <c r="N67" s="2958">
        <f t="shared" si="210"/>
        <v>1.8352632728861701E-2</v>
      </c>
      <c r="O67" s="2959">
        <f t="shared" si="210"/>
        <v>2.6286459319075526E-3</v>
      </c>
      <c r="P67" s="2959">
        <f t="shared" si="211"/>
        <v>5.4299289107991269E-2</v>
      </c>
      <c r="Q67" s="2959">
        <f t="shared" si="211"/>
        <v>8.9126559714794995E-3</v>
      </c>
      <c r="R67" s="2900"/>
      <c r="S67" s="2899"/>
      <c r="T67" s="2885"/>
      <c r="U67" s="2885"/>
      <c r="V67" s="2885"/>
      <c r="X67" s="2960"/>
      <c r="Y67" s="2960"/>
      <c r="Z67" s="2960"/>
    </row>
    <row r="68" spans="1:26">
      <c r="A68" s="2896" t="s">
        <v>2594</v>
      </c>
      <c r="B68" s="2897">
        <f t="shared" si="212"/>
        <v>144.04145728643215</v>
      </c>
      <c r="C68" s="2897">
        <f t="shared" si="212"/>
        <v>136.12396694214877</v>
      </c>
      <c r="D68" s="2897">
        <f t="shared" si="186"/>
        <v>136.12396694214877</v>
      </c>
      <c r="E68" s="2897">
        <f t="shared" si="213"/>
        <v>158.32225913621264</v>
      </c>
      <c r="F68" s="2897">
        <f t="shared" si="213"/>
        <v>114.04278074866311</v>
      </c>
      <c r="G68" s="3578">
        <v>2006</v>
      </c>
      <c r="H68" s="2898">
        <v>1</v>
      </c>
      <c r="I68" s="2898">
        <v>2.29</v>
      </c>
      <c r="J68" s="2898">
        <v>3.72</v>
      </c>
      <c r="K68" s="2898">
        <v>0.75</v>
      </c>
      <c r="L68" s="2904">
        <v>0.04</v>
      </c>
      <c r="N68" s="2961">
        <f t="shared" si="210"/>
        <v>4.3778675988638847E-2</v>
      </c>
      <c r="O68" s="2962">
        <f t="shared" si="210"/>
        <v>3.9114251466784385E-2</v>
      </c>
      <c r="P68" s="2962">
        <f t="shared" si="211"/>
        <v>2.1433929911049188E-2</v>
      </c>
      <c r="Q68" s="2962">
        <f t="shared" si="211"/>
        <v>3.7526972511492629E-4</v>
      </c>
      <c r="R68" s="2900"/>
      <c r="S68" s="2901">
        <f>B68/B69-1</f>
        <v>4.3778675988638716E-2</v>
      </c>
      <c r="T68" s="2902">
        <f>C68/C69-1</f>
        <v>3.91142514667846E-2</v>
      </c>
      <c r="U68" s="2902">
        <f>E68/E69-1</f>
        <v>2.143392991104931E-2</v>
      </c>
      <c r="V68" s="2902">
        <f>F68/F69-1</f>
        <v>3.7526972511492396E-4</v>
      </c>
      <c r="X68" s="2960"/>
      <c r="Y68" s="2960"/>
      <c r="Z68" s="2960"/>
    </row>
    <row r="69" spans="1:26" ht="13.5" thickBot="1">
      <c r="A69" s="2896" t="s">
        <v>2595</v>
      </c>
      <c r="B69" s="2925">
        <v>138</v>
      </c>
      <c r="C69" s="2925">
        <v>131</v>
      </c>
      <c r="D69" s="2925">
        <f t="shared" si="186"/>
        <v>131</v>
      </c>
      <c r="E69" s="2925">
        <v>155</v>
      </c>
      <c r="F69" s="2926">
        <v>114</v>
      </c>
      <c r="G69" s="3577">
        <v>2005</v>
      </c>
      <c r="H69" s="2920">
        <v>4</v>
      </c>
      <c r="I69" s="2920">
        <v>3.29</v>
      </c>
      <c r="J69" s="2920">
        <v>1.44</v>
      </c>
      <c r="K69" s="2920">
        <v>0.66</v>
      </c>
      <c r="L69" s="2921">
        <v>7.78</v>
      </c>
      <c r="N69" s="2958">
        <f t="shared" ref="N69:O72" si="214">I69/SUM(I$69:I$72)*(B$69/B$73-1)</f>
        <v>9.9404603216919935E-2</v>
      </c>
      <c r="O69" s="2959">
        <f t="shared" si="214"/>
        <v>4.7636550760861554E-2</v>
      </c>
      <c r="P69" s="2959">
        <f t="shared" ref="P69:Q72" si="215">K69/SUM(K$69:K$72)*(E$69/E$73-1)</f>
        <v>8.3756345177664976E-2</v>
      </c>
      <c r="Q69" s="2959">
        <f t="shared" si="215"/>
        <v>5.2148766661559584E-2</v>
      </c>
      <c r="R69" s="2900"/>
      <c r="S69" s="2909"/>
      <c r="T69" s="2910"/>
      <c r="U69" s="2910"/>
      <c r="V69" s="2910"/>
      <c r="X69" s="2960"/>
      <c r="Y69" s="2960"/>
      <c r="Z69" s="2960"/>
    </row>
    <row r="70" spans="1:26">
      <c r="A70" s="2896" t="s">
        <v>2596</v>
      </c>
      <c r="B70" s="2897">
        <f t="shared" ref="B70:C72" si="216">B71+(B$69-B$73)*I70/SUM(I$69:I$72)</f>
        <v>125.9720430107527</v>
      </c>
      <c r="C70" s="2897">
        <f t="shared" si="216"/>
        <v>125.1883408071749</v>
      </c>
      <c r="D70" s="2897">
        <f t="shared" si="186"/>
        <v>125.1883408071749</v>
      </c>
      <c r="E70" s="2897">
        <f t="shared" ref="E70:F72" si="217">E71+(E$69-E$73)*K70/SUM(K$69:K$72)</f>
        <v>144.61421319796952</v>
      </c>
      <c r="F70" s="2897">
        <f t="shared" si="217"/>
        <v>108.42008196721311</v>
      </c>
      <c r="G70" s="3575">
        <v>2005</v>
      </c>
      <c r="H70" s="2923">
        <v>3</v>
      </c>
      <c r="I70" s="2923">
        <v>0.46</v>
      </c>
      <c r="J70" s="2923">
        <v>0.32</v>
      </c>
      <c r="K70" s="2923">
        <v>0.42</v>
      </c>
      <c r="L70" s="2924">
        <v>0.64</v>
      </c>
      <c r="N70" s="2958">
        <f t="shared" si="214"/>
        <v>1.3898515951301874E-2</v>
      </c>
      <c r="O70" s="2959">
        <f t="shared" si="214"/>
        <v>1.0585900169080346E-2</v>
      </c>
      <c r="P70" s="2959">
        <f t="shared" si="215"/>
        <v>5.3299492385786795E-2</v>
      </c>
      <c r="Q70" s="2959">
        <f t="shared" si="215"/>
        <v>4.2898728359123568E-3</v>
      </c>
      <c r="R70" s="2900"/>
      <c r="S70" s="2899"/>
      <c r="T70" s="2885"/>
      <c r="U70" s="2885"/>
      <c r="V70" s="2885"/>
      <c r="X70" s="2960"/>
      <c r="Y70" s="2960"/>
      <c r="Z70" s="2960"/>
    </row>
    <row r="71" spans="1:26">
      <c r="A71" s="2896" t="s">
        <v>2597</v>
      </c>
      <c r="B71" s="2897">
        <f t="shared" si="216"/>
        <v>124.29032258064517</v>
      </c>
      <c r="C71" s="2897">
        <f t="shared" si="216"/>
        <v>123.8968609865471</v>
      </c>
      <c r="D71" s="2897">
        <f t="shared" si="186"/>
        <v>123.8968609865471</v>
      </c>
      <c r="E71" s="2897">
        <f t="shared" si="217"/>
        <v>138.00507614213197</v>
      </c>
      <c r="F71" s="2897">
        <f t="shared" si="217"/>
        <v>107.96106557377048</v>
      </c>
      <c r="G71" s="3575">
        <v>2005</v>
      </c>
      <c r="H71" s="2911">
        <v>2</v>
      </c>
      <c r="I71" s="2911">
        <v>0.47</v>
      </c>
      <c r="J71" s="2911">
        <v>0.1</v>
      </c>
      <c r="K71" s="2911">
        <v>0.52</v>
      </c>
      <c r="L71" s="2912">
        <v>0.79</v>
      </c>
      <c r="N71" s="2958">
        <f t="shared" si="214"/>
        <v>1.420065760241713E-2</v>
      </c>
      <c r="O71" s="2959">
        <f t="shared" si="214"/>
        <v>3.3080938028376083E-3</v>
      </c>
      <c r="P71" s="2959">
        <f t="shared" si="215"/>
        <v>6.598984771573603E-2</v>
      </c>
      <c r="Q71" s="2959">
        <f t="shared" si="215"/>
        <v>5.2953117818293153E-3</v>
      </c>
      <c r="R71" s="2900"/>
      <c r="S71" s="2899"/>
      <c r="T71" s="2885"/>
      <c r="U71" s="2885"/>
      <c r="V71" s="2885"/>
      <c r="X71" s="2960"/>
      <c r="Y71" s="2960"/>
      <c r="Z71" s="2960"/>
    </row>
    <row r="72" spans="1:26">
      <c r="A72" s="2896" t="s">
        <v>2598</v>
      </c>
      <c r="B72" s="2897">
        <f t="shared" si="216"/>
        <v>122.57204301075269</v>
      </c>
      <c r="C72" s="2897">
        <f t="shared" si="216"/>
        <v>123.4932735426009</v>
      </c>
      <c r="D72" s="2897">
        <f t="shared" si="186"/>
        <v>123.4932735426009</v>
      </c>
      <c r="E72" s="2897">
        <f t="shared" si="217"/>
        <v>129.82233502538071</v>
      </c>
      <c r="F72" s="2897">
        <f t="shared" si="217"/>
        <v>107.39446721311475</v>
      </c>
      <c r="G72" s="3578">
        <v>2005</v>
      </c>
      <c r="H72" s="2898">
        <v>1</v>
      </c>
      <c r="I72" s="2898">
        <v>0.43</v>
      </c>
      <c r="J72" s="2898">
        <v>0.37</v>
      </c>
      <c r="K72" s="2898">
        <v>0.37</v>
      </c>
      <c r="L72" s="2904">
        <v>0.55000000000000004</v>
      </c>
      <c r="N72" s="2961">
        <f t="shared" si="214"/>
        <v>1.2992090997956099E-2</v>
      </c>
      <c r="O72" s="2962">
        <f t="shared" si="214"/>
        <v>1.2239947070499151E-2</v>
      </c>
      <c r="P72" s="2962">
        <f t="shared" si="215"/>
        <v>4.6954314720812178E-2</v>
      </c>
      <c r="Q72" s="2962">
        <f t="shared" si="215"/>
        <v>3.6866094683621815E-3</v>
      </c>
      <c r="R72" s="2900"/>
      <c r="S72" s="2901">
        <f>B72/B73-1</f>
        <v>1.2992090997956174E-2</v>
      </c>
      <c r="T72" s="2902">
        <f>C72/C73-1</f>
        <v>1.2239947070499246E-2</v>
      </c>
      <c r="U72" s="2902">
        <f>E72/E73-1</f>
        <v>4.695431472081224E-2</v>
      </c>
      <c r="V72" s="2902">
        <f>F72/F73-1</f>
        <v>3.6866094683620787E-3</v>
      </c>
      <c r="X72" s="2960"/>
      <c r="Y72" s="2960"/>
      <c r="Z72" s="2960"/>
    </row>
    <row r="73" spans="1:26" ht="13.5" thickBot="1">
      <c r="A73" s="2896" t="s">
        <v>2599</v>
      </c>
      <c r="B73" s="2946">
        <v>121</v>
      </c>
      <c r="C73" s="2946">
        <v>122</v>
      </c>
      <c r="D73" s="2946">
        <f t="shared" si="186"/>
        <v>122</v>
      </c>
      <c r="E73" s="2946">
        <v>124</v>
      </c>
      <c r="F73" s="2947">
        <v>107</v>
      </c>
      <c r="G73" s="3577">
        <v>2004</v>
      </c>
      <c r="H73" s="2920">
        <v>4</v>
      </c>
      <c r="I73" s="2920">
        <v>0.33</v>
      </c>
      <c r="J73" s="2920">
        <v>0.5</v>
      </c>
      <c r="K73" s="2920">
        <v>0.5</v>
      </c>
      <c r="L73" s="2921">
        <v>0</v>
      </c>
      <c r="N73" s="2958">
        <f t="shared" ref="N73:O76" si="218">I73/SUM(I$73:I$76)*(B$73/B$77-1)</f>
        <v>1.3391770148526898E-2</v>
      </c>
      <c r="O73" s="2959">
        <f t="shared" si="218"/>
        <v>1.063264221158958E-2</v>
      </c>
      <c r="P73" s="2959">
        <f t="shared" ref="P73:Q76" si="219">K73/SUM(K$73:K$76)*(E$73/E$77-1)</f>
        <v>2.2244466688911134E-2</v>
      </c>
      <c r="Q73" s="2959">
        <f t="shared" si="219"/>
        <v>0</v>
      </c>
      <c r="R73" s="2900"/>
      <c r="S73" s="2909"/>
      <c r="T73" s="2910"/>
      <c r="U73" s="2910"/>
      <c r="V73" s="2910"/>
      <c r="X73" s="2960"/>
      <c r="Y73" s="2960"/>
      <c r="Z73" s="2960"/>
    </row>
    <row r="74" spans="1:26">
      <c r="A74" s="2896" t="s">
        <v>2600</v>
      </c>
      <c r="B74" s="2897">
        <f t="shared" ref="B74:C76" si="220">B75+(B$73-B$77)*I74/SUM(I$73:I$76)</f>
        <v>119.51351351351352</v>
      </c>
      <c r="C74" s="2897">
        <f t="shared" si="220"/>
        <v>120.7878787878788</v>
      </c>
      <c r="D74" s="2897">
        <f t="shared" si="186"/>
        <v>120.7878787878788</v>
      </c>
      <c r="E74" s="2897">
        <f t="shared" ref="E74:F76" si="221">E75+(E$73-E$77)*K74/SUM(K$73:K$76)</f>
        <v>121.5975975975976</v>
      </c>
      <c r="F74" s="2897">
        <f t="shared" si="221"/>
        <v>107</v>
      </c>
      <c r="G74" s="3575">
        <v>2004</v>
      </c>
      <c r="H74" s="2923">
        <v>3</v>
      </c>
      <c r="I74" s="2923">
        <v>0.56000000000000005</v>
      </c>
      <c r="J74" s="2923">
        <v>0.8</v>
      </c>
      <c r="K74" s="2923">
        <v>0.83</v>
      </c>
      <c r="L74" s="2924">
        <v>0.06</v>
      </c>
      <c r="N74" s="2958">
        <f t="shared" si="218"/>
        <v>2.2725428130833527E-2</v>
      </c>
      <c r="O74" s="2959">
        <f t="shared" si="218"/>
        <v>1.7012227538543329E-2</v>
      </c>
      <c r="P74" s="2959">
        <f t="shared" si="219"/>
        <v>3.6925814703592477E-2</v>
      </c>
      <c r="Q74" s="2959">
        <f t="shared" si="219"/>
        <v>2.8846153846153744E-2</v>
      </c>
      <c r="R74" s="2900"/>
      <c r="S74" s="2899"/>
      <c r="T74" s="2885"/>
      <c r="U74" s="2885"/>
      <c r="V74" s="2885"/>
      <c r="X74" s="2960"/>
      <c r="Y74" s="2960"/>
      <c r="Z74" s="2960"/>
    </row>
    <row r="75" spans="1:26">
      <c r="A75" s="2896" t="s">
        <v>2601</v>
      </c>
      <c r="B75" s="2897">
        <f t="shared" si="220"/>
        <v>116.99099099099099</v>
      </c>
      <c r="C75" s="2897">
        <f t="shared" si="220"/>
        <v>118.84848484848486</v>
      </c>
      <c r="D75" s="2897">
        <f t="shared" si="186"/>
        <v>118.84848484848486</v>
      </c>
      <c r="E75" s="2897">
        <f t="shared" si="221"/>
        <v>117.60960960960961</v>
      </c>
      <c r="F75" s="2897">
        <f t="shared" si="221"/>
        <v>104</v>
      </c>
      <c r="G75" s="3575">
        <v>2004</v>
      </c>
      <c r="H75" s="2911">
        <v>2</v>
      </c>
      <c r="I75" s="2911">
        <v>1</v>
      </c>
      <c r="J75" s="2911">
        <v>1.5</v>
      </c>
      <c r="K75" s="2911">
        <v>1.5</v>
      </c>
      <c r="L75" s="2912">
        <v>0</v>
      </c>
      <c r="N75" s="2958">
        <f t="shared" si="218"/>
        <v>4.0581121662202721E-2</v>
      </c>
      <c r="O75" s="2959">
        <f t="shared" si="218"/>
        <v>3.1897926634768738E-2</v>
      </c>
      <c r="P75" s="2959">
        <f t="shared" si="219"/>
        <v>6.6733400066733395E-2</v>
      </c>
      <c r="Q75" s="2959">
        <f t="shared" si="219"/>
        <v>0</v>
      </c>
      <c r="R75" s="2900"/>
      <c r="S75" s="2899"/>
      <c r="T75" s="2885"/>
      <c r="U75" s="2885"/>
      <c r="V75" s="2885"/>
      <c r="X75" s="2960"/>
      <c r="Y75" s="2960"/>
      <c r="Z75" s="2960"/>
    </row>
    <row r="76" spans="1:26" s="2952" customFormat="1" ht="13.5" thickBot="1">
      <c r="A76" s="2896" t="s">
        <v>2602</v>
      </c>
      <c r="B76" s="2949">
        <f t="shared" si="220"/>
        <v>112.48648648648648</v>
      </c>
      <c r="C76" s="2949">
        <f t="shared" si="220"/>
        <v>115.21212121212122</v>
      </c>
      <c r="D76" s="2949">
        <f t="shared" si="186"/>
        <v>115.21212121212122</v>
      </c>
      <c r="E76" s="2949">
        <f t="shared" si="221"/>
        <v>110.4024024024024</v>
      </c>
      <c r="F76" s="2949">
        <f t="shared" si="221"/>
        <v>104</v>
      </c>
      <c r="G76" s="3578">
        <v>2004</v>
      </c>
      <c r="H76" s="2950">
        <v>1</v>
      </c>
      <c r="I76" s="2950">
        <v>0.33</v>
      </c>
      <c r="J76" s="2950">
        <v>0.5</v>
      </c>
      <c r="K76" s="2950">
        <v>0.5</v>
      </c>
      <c r="L76" s="2951">
        <v>0</v>
      </c>
      <c r="N76" s="2963">
        <f t="shared" si="218"/>
        <v>1.3391770148526898E-2</v>
      </c>
      <c r="O76" s="2964">
        <f t="shared" si="218"/>
        <v>1.063264221158958E-2</v>
      </c>
      <c r="P76" s="2964">
        <f t="shared" si="219"/>
        <v>2.2244466688911134E-2</v>
      </c>
      <c r="Q76" s="2964">
        <f t="shared" si="219"/>
        <v>0</v>
      </c>
      <c r="R76" s="2955"/>
      <c r="S76" s="2953">
        <f>B76/B77-1</f>
        <v>1.3391770148526883E-2</v>
      </c>
      <c r="T76" s="2954">
        <f>C76/C77-1</f>
        <v>1.063264221158966E-2</v>
      </c>
      <c r="U76" s="2954">
        <f>E76/E77-1</f>
        <v>2.2244466688911224E-2</v>
      </c>
      <c r="V76" s="2954">
        <f>F76/F77-1</f>
        <v>0</v>
      </c>
      <c r="X76" s="2965"/>
      <c r="Y76" s="2965"/>
      <c r="Z76" s="2965"/>
    </row>
    <row r="77" spans="1:26" ht="13.5" thickBot="1">
      <c r="A77" s="2896" t="s">
        <v>2603</v>
      </c>
      <c r="B77" s="2966">
        <v>111</v>
      </c>
      <c r="C77" s="2966">
        <v>114</v>
      </c>
      <c r="D77" s="2966">
        <f t="shared" si="186"/>
        <v>114</v>
      </c>
      <c r="E77" s="2966">
        <v>108</v>
      </c>
      <c r="F77" s="2967">
        <v>104</v>
      </c>
      <c r="G77" s="3577">
        <v>2003</v>
      </c>
      <c r="H77" s="2956">
        <v>4</v>
      </c>
      <c r="I77" s="2968"/>
      <c r="J77" s="2968"/>
      <c r="K77" s="2968"/>
      <c r="L77" s="2968"/>
      <c r="N77" s="2969"/>
      <c r="O77" s="2968"/>
      <c r="P77" s="2968"/>
      <c r="Q77" s="2968"/>
      <c r="S77" s="2969"/>
      <c r="T77" s="2968"/>
      <c r="U77" s="2968"/>
      <c r="V77" s="2968"/>
      <c r="X77" s="2960"/>
      <c r="Y77" s="2960"/>
      <c r="Z77" s="2960"/>
    </row>
    <row r="78" spans="1:26">
      <c r="A78" s="2896" t="s">
        <v>2604</v>
      </c>
      <c r="B78" s="2970">
        <f t="shared" ref="B78:C80" si="222">B79+(B$77-B$81)/4</f>
        <v>109.75</v>
      </c>
      <c r="C78" s="2970">
        <f t="shared" si="222"/>
        <v>112.25</v>
      </c>
      <c r="D78" s="2970">
        <f t="shared" si="186"/>
        <v>112.25</v>
      </c>
      <c r="E78" s="2970">
        <f t="shared" ref="E78:F80" si="223">E79+(E$77-E$81)/4</f>
        <v>107.25</v>
      </c>
      <c r="F78" s="2970">
        <f t="shared" si="223"/>
        <v>103.5</v>
      </c>
      <c r="G78" s="3575">
        <v>2003</v>
      </c>
      <c r="H78" s="2923">
        <v>3</v>
      </c>
      <c r="I78" s="2968"/>
      <c r="J78" s="2968"/>
      <c r="K78" s="2968"/>
      <c r="L78" s="2968"/>
      <c r="X78" s="2960"/>
      <c r="Y78" s="2960"/>
      <c r="Z78" s="2960"/>
    </row>
    <row r="79" spans="1:26">
      <c r="A79" s="2896" t="s">
        <v>2605</v>
      </c>
      <c r="B79" s="2970">
        <f t="shared" si="222"/>
        <v>108.5</v>
      </c>
      <c r="C79" s="2970">
        <f t="shared" si="222"/>
        <v>110.5</v>
      </c>
      <c r="D79" s="2970">
        <f t="shared" si="186"/>
        <v>110.5</v>
      </c>
      <c r="E79" s="2970">
        <f t="shared" si="223"/>
        <v>106.5</v>
      </c>
      <c r="F79" s="2970">
        <f t="shared" si="223"/>
        <v>103</v>
      </c>
      <c r="G79" s="3575">
        <v>2003</v>
      </c>
      <c r="H79" s="2911">
        <v>2</v>
      </c>
      <c r="I79" s="2968"/>
      <c r="J79" s="2968"/>
      <c r="K79" s="2968"/>
      <c r="L79" s="2968"/>
      <c r="X79" s="2960"/>
      <c r="Y79" s="2960"/>
      <c r="Z79" s="2960"/>
    </row>
    <row r="80" spans="1:26" ht="13.5" thickBot="1">
      <c r="A80" s="2896" t="s">
        <v>2606</v>
      </c>
      <c r="B80" s="2970">
        <f t="shared" si="222"/>
        <v>107.25</v>
      </c>
      <c r="C80" s="2970">
        <f t="shared" si="222"/>
        <v>108.75</v>
      </c>
      <c r="D80" s="2970">
        <f t="shared" si="186"/>
        <v>108.75</v>
      </c>
      <c r="E80" s="2970">
        <f t="shared" si="223"/>
        <v>105.75</v>
      </c>
      <c r="F80" s="2970">
        <f t="shared" si="223"/>
        <v>102.5</v>
      </c>
      <c r="G80" s="3578">
        <v>2003</v>
      </c>
      <c r="H80" s="2971">
        <v>1</v>
      </c>
      <c r="I80" s="2968"/>
      <c r="J80" s="2968"/>
      <c r="K80" s="2968"/>
      <c r="L80" s="2968"/>
      <c r="S80" s="2899"/>
      <c r="T80" s="2885"/>
      <c r="U80" s="2885"/>
      <c r="X80" s="2960"/>
      <c r="Y80" s="2960"/>
      <c r="Z80" s="2960"/>
    </row>
    <row r="81" spans="1:26" ht="13.5" thickBot="1">
      <c r="A81" s="2896" t="s">
        <v>2607</v>
      </c>
      <c r="B81" s="2972">
        <v>106</v>
      </c>
      <c r="C81" s="2972">
        <v>107</v>
      </c>
      <c r="D81" s="2972">
        <f t="shared" si="186"/>
        <v>107</v>
      </c>
      <c r="E81" s="2972">
        <v>105</v>
      </c>
      <c r="F81" s="2973">
        <v>102</v>
      </c>
      <c r="G81" s="3577">
        <v>2002</v>
      </c>
      <c r="H81" s="2920">
        <v>4</v>
      </c>
      <c r="I81" s="2968"/>
      <c r="J81" s="2968"/>
      <c r="K81" s="2968"/>
      <c r="L81" s="2968"/>
      <c r="N81" s="2969"/>
      <c r="O81" s="2968"/>
      <c r="P81" s="2968"/>
      <c r="Q81" s="2968"/>
      <c r="S81" s="2969"/>
      <c r="T81" s="2968"/>
      <c r="U81" s="2968"/>
      <c r="V81" s="2968"/>
      <c r="X81" s="2960"/>
      <c r="Y81" s="2960"/>
      <c r="Z81" s="2960"/>
    </row>
    <row r="82" spans="1:26">
      <c r="A82" s="2896" t="s">
        <v>2608</v>
      </c>
      <c r="B82" s="2970">
        <f t="shared" ref="B82:C84" si="224">B83+(B$81-B$85)/4</f>
        <v>105</v>
      </c>
      <c r="C82" s="2970">
        <f t="shared" si="224"/>
        <v>106</v>
      </c>
      <c r="D82" s="2970">
        <f t="shared" si="186"/>
        <v>106</v>
      </c>
      <c r="E82" s="2970">
        <f t="shared" ref="E82:F84" si="225">E83+(E$81-E$85)/4</f>
        <v>104.5</v>
      </c>
      <c r="F82" s="2970">
        <f t="shared" si="225"/>
        <v>101.5</v>
      </c>
      <c r="G82" s="3575">
        <v>2002</v>
      </c>
      <c r="H82" s="2923">
        <v>3</v>
      </c>
      <c r="I82" s="2968"/>
      <c r="J82" s="2968"/>
      <c r="K82" s="2968"/>
      <c r="L82" s="2968"/>
      <c r="X82" s="2960"/>
      <c r="Y82" s="2960"/>
      <c r="Z82" s="2960"/>
    </row>
    <row r="83" spans="1:26">
      <c r="A83" s="2896" t="s">
        <v>2609</v>
      </c>
      <c r="B83" s="2970">
        <f t="shared" si="224"/>
        <v>104</v>
      </c>
      <c r="C83" s="2970">
        <f t="shared" si="224"/>
        <v>105</v>
      </c>
      <c r="D83" s="2970">
        <f t="shared" si="186"/>
        <v>105</v>
      </c>
      <c r="E83" s="2970">
        <f t="shared" si="225"/>
        <v>104</v>
      </c>
      <c r="F83" s="2970">
        <f t="shared" si="225"/>
        <v>101</v>
      </c>
      <c r="G83" s="3575">
        <v>2002</v>
      </c>
      <c r="H83" s="2911">
        <v>2</v>
      </c>
      <c r="I83" s="2968"/>
      <c r="J83" s="2968"/>
      <c r="K83" s="2968"/>
      <c r="L83" s="2968"/>
      <c r="X83" s="2960"/>
      <c r="Y83" s="2960"/>
      <c r="Z83" s="2960"/>
    </row>
    <row r="84" spans="1:26" s="2933" customFormat="1" ht="13.5" thickBot="1">
      <c r="A84" s="2929" t="s">
        <v>2610</v>
      </c>
      <c r="B84" s="2936">
        <f t="shared" si="224"/>
        <v>103</v>
      </c>
      <c r="C84" s="2936">
        <f t="shared" si="224"/>
        <v>104</v>
      </c>
      <c r="D84" s="2936">
        <f t="shared" si="186"/>
        <v>104</v>
      </c>
      <c r="E84" s="2936">
        <f t="shared" si="225"/>
        <v>103.5</v>
      </c>
      <c r="F84" s="2936">
        <f t="shared" si="225"/>
        <v>100.5</v>
      </c>
      <c r="G84" s="3578">
        <v>2002</v>
      </c>
      <c r="H84" s="2974">
        <v>1</v>
      </c>
      <c r="I84" s="2975"/>
      <c r="J84" s="2975"/>
      <c r="K84" s="2975"/>
      <c r="L84" s="2975"/>
      <c r="N84" s="2976"/>
      <c r="S84" s="2976"/>
      <c r="X84" s="2977"/>
      <c r="Y84" s="2977"/>
      <c r="Z84" s="2977"/>
    </row>
    <row r="85" spans="1:26" ht="13.5" thickBot="1">
      <c r="B85" s="2978">
        <v>102</v>
      </c>
      <c r="C85" s="2979">
        <v>103</v>
      </c>
      <c r="D85" s="2979">
        <f t="shared" si="186"/>
        <v>103</v>
      </c>
      <c r="E85" s="2979">
        <v>103</v>
      </c>
      <c r="F85" s="2980">
        <v>100</v>
      </c>
      <c r="I85" s="2968"/>
      <c r="J85" s="2968"/>
      <c r="K85" s="2968"/>
      <c r="L85" s="2968"/>
      <c r="N85" s="2969"/>
      <c r="O85" s="2968"/>
      <c r="P85" s="2968"/>
      <c r="Q85" s="2968"/>
      <c r="S85" s="2969"/>
      <c r="T85" s="2968"/>
      <c r="U85" s="2968"/>
      <c r="V85" s="2968"/>
      <c r="X85" s="2910"/>
      <c r="Y85" s="2910"/>
      <c r="Z85" s="2910"/>
    </row>
    <row r="87" spans="1:26" s="2982" customFormat="1">
      <c r="A87" s="2981" t="s">
        <v>2611</v>
      </c>
      <c r="G87" s="2983"/>
      <c r="N87" s="2983"/>
      <c r="S87" s="2983"/>
    </row>
    <row r="88" spans="1:26" s="2982" customFormat="1">
      <c r="A88" s="2982" t="s">
        <v>2612</v>
      </c>
      <c r="G88" s="2983"/>
      <c r="N88" s="2983"/>
      <c r="S88" s="2983"/>
    </row>
    <row r="89" spans="1:26" s="2982" customFormat="1">
      <c r="A89" s="2982" t="s">
        <v>2613</v>
      </c>
      <c r="G89" s="2983"/>
      <c r="I89" s="2984"/>
      <c r="J89" s="2984"/>
      <c r="K89" s="2984"/>
      <c r="L89" s="2984"/>
      <c r="N89" s="2985"/>
      <c r="O89" s="2984"/>
      <c r="P89" s="2984"/>
      <c r="Q89" s="2984"/>
      <c r="S89" s="2985"/>
      <c r="T89" s="2984"/>
      <c r="U89" s="2984"/>
      <c r="V89" s="2984"/>
    </row>
    <row r="90" spans="1:26" s="2982" customFormat="1">
      <c r="A90" s="2982" t="s">
        <v>2614</v>
      </c>
      <c r="G90" s="2983"/>
      <c r="N90" s="2983"/>
      <c r="S90" s="2983"/>
    </row>
    <row r="97" spans="7:22" ht="13.5" thickBot="1"/>
    <row r="98" spans="7:22">
      <c r="G98" s="2884"/>
      <c r="S98" s="2986" t="s">
        <v>2615</v>
      </c>
      <c r="T98" s="2987" t="s">
        <v>2616</v>
      </c>
      <c r="U98" s="2987" t="s">
        <v>2617</v>
      </c>
      <c r="V98" s="2987" t="s">
        <v>2618</v>
      </c>
    </row>
    <row r="99" spans="7:22">
      <c r="G99" s="2884"/>
      <c r="N99" s="2909"/>
      <c r="O99" s="2910"/>
      <c r="P99" s="2910"/>
      <c r="Q99" s="2910"/>
      <c r="S99" s="2988">
        <v>2006</v>
      </c>
      <c r="T99" s="2989">
        <v>15.1</v>
      </c>
      <c r="U99" s="2989">
        <v>7.43</v>
      </c>
      <c r="V99" s="2989">
        <v>26.26</v>
      </c>
    </row>
    <row r="100" spans="7:22">
      <c r="G100" s="2884"/>
      <c r="N100" s="2909"/>
      <c r="O100" s="2910"/>
      <c r="P100" s="2910"/>
      <c r="Q100" s="2910"/>
      <c r="S100" s="2990">
        <v>2005</v>
      </c>
      <c r="T100" s="2991">
        <v>13.9</v>
      </c>
      <c r="U100" s="2991">
        <v>7.49</v>
      </c>
      <c r="V100" s="2991">
        <v>24.92</v>
      </c>
    </row>
    <row r="101" spans="7:22">
      <c r="G101" s="2884"/>
      <c r="N101" s="2909"/>
      <c r="O101" s="2910"/>
      <c r="P101" s="2910"/>
      <c r="Q101" s="2910"/>
      <c r="S101" s="2988">
        <v>2004</v>
      </c>
      <c r="T101" s="2989">
        <v>9.48</v>
      </c>
      <c r="U101" s="2989">
        <v>7.2</v>
      </c>
      <c r="V101" s="2989">
        <v>14.68</v>
      </c>
    </row>
    <row r="102" spans="7:22">
      <c r="G102" s="2884"/>
      <c r="N102" s="2909"/>
      <c r="O102" s="2910"/>
      <c r="P102" s="2910"/>
      <c r="Q102" s="2910"/>
      <c r="S102" s="2990">
        <v>2003</v>
      </c>
      <c r="T102" s="2991">
        <v>4.5</v>
      </c>
      <c r="U102" s="2991">
        <v>6.12</v>
      </c>
      <c r="V102" s="2991">
        <v>2.34</v>
      </c>
    </row>
    <row r="103" spans="7:22" ht="13.5" thickBot="1">
      <c r="G103" s="2884"/>
      <c r="N103" s="2909"/>
      <c r="O103" s="2910"/>
      <c r="P103" s="2910"/>
      <c r="Q103" s="2910"/>
      <c r="S103" s="2992">
        <v>2002</v>
      </c>
      <c r="T103" s="2993">
        <v>3.59</v>
      </c>
      <c r="U103" s="2993">
        <v>4.54</v>
      </c>
      <c r="V103" s="2993">
        <v>2.5499999999999998</v>
      </c>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row>
    <row r="113" spans="7:19">
      <c r="G113" s="2884"/>
      <c r="N113" s="2909"/>
      <c r="O113" s="2910"/>
      <c r="P113" s="2910"/>
      <c r="Q113" s="2910"/>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row r="118" spans="7:19">
      <c r="G118" s="2884"/>
      <c r="N118" s="2909"/>
      <c r="O118" s="2910"/>
      <c r="P118" s="2910"/>
      <c r="Q118" s="2910"/>
      <c r="S118" s="2884"/>
    </row>
    <row r="119" spans="7:19">
      <c r="G119" s="2884"/>
      <c r="N119" s="2909"/>
      <c r="O119" s="2910"/>
      <c r="P119" s="2910"/>
      <c r="Q119" s="2910"/>
      <c r="S119" s="2884"/>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2916</v>
      </c>
      <c r="B1" s="3244"/>
      <c r="C1" s="3244"/>
      <c r="D1" s="3244"/>
      <c r="E1" s="3244"/>
      <c r="F1" s="3244"/>
      <c r="G1" s="3245"/>
      <c r="H1" s="3245"/>
      <c r="I1" s="3245"/>
      <c r="J1" s="3245"/>
      <c r="K1" s="3245"/>
      <c r="L1" s="3245"/>
      <c r="M1" s="3245"/>
      <c r="N1" s="3245"/>
    </row>
    <row r="2" spans="1:14" ht="14.25">
      <c r="A2" s="3250" t="s">
        <v>2911</v>
      </c>
      <c r="B2" s="3255">
        <f ca="1">SUMIF(B7:B14,"&lt;&gt;#ref!",B7:B14)</f>
        <v>0</v>
      </c>
      <c r="C2" s="3250" t="s">
        <v>2912</v>
      </c>
      <c r="D2" s="3247"/>
      <c r="E2" s="3247"/>
      <c r="F2" s="3247"/>
      <c r="G2" s="3245"/>
      <c r="H2" s="3245"/>
      <c r="I2" s="3245"/>
      <c r="J2" s="3245"/>
      <c r="K2" s="3245"/>
      <c r="L2" s="3245"/>
      <c r="M2" s="3245"/>
      <c r="N2" s="3245"/>
    </row>
    <row r="3" spans="1:14" ht="14.25">
      <c r="A3" s="3250" t="s">
        <v>2941</v>
      </c>
      <c r="B3" s="3255" t="e">
        <f ca="1">ROUND(B2*10000/E3,0)</f>
        <v>#DIV/0!</v>
      </c>
      <c r="C3" s="3250" t="s">
        <v>2067</v>
      </c>
      <c r="D3" s="3250" t="s">
        <v>2913</v>
      </c>
      <c r="E3" s="3248">
        <f ca="1">SUMIF(E7:E14,"&lt;&gt;#ref!",E7:E14)</f>
        <v>0</v>
      </c>
      <c r="F3" s="3247"/>
      <c r="G3" s="3245"/>
      <c r="H3" s="3245"/>
      <c r="I3" s="3245"/>
      <c r="J3" s="3245"/>
      <c r="K3" s="3245"/>
      <c r="L3" s="3245"/>
      <c r="M3" s="3245"/>
      <c r="N3" s="3245"/>
    </row>
    <row r="4" spans="1:14" ht="14.25">
      <c r="A4" s="3250" t="s">
        <v>2919</v>
      </c>
      <c r="B4" s="3255" t="e">
        <f ca="1">ROUND(B2*10000/E4,0)</f>
        <v>#DIV/0!</v>
      </c>
      <c r="C4" s="3250" t="s">
        <v>2067</v>
      </c>
      <c r="D4" s="3250" t="s">
        <v>2920</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2917</v>
      </c>
      <c r="B6" s="3250" t="s">
        <v>2914</v>
      </c>
      <c r="C6" s="2788"/>
      <c r="D6" s="3247"/>
      <c r="E6" s="3250" t="s">
        <v>2915</v>
      </c>
      <c r="F6" s="3250" t="s">
        <v>2918</v>
      </c>
      <c r="G6" s="3245"/>
      <c r="H6" s="3245"/>
      <c r="I6" s="3245"/>
      <c r="J6" s="3245"/>
      <c r="K6" s="3245"/>
      <c r="L6" s="3245"/>
      <c r="M6" s="3245"/>
      <c r="N6" s="3245"/>
    </row>
    <row r="7" spans="1:14" ht="14.25">
      <c r="A7" s="3253"/>
      <c r="B7" s="3255" t="e">
        <f ca="1">SUMIF(INDIRECT("'"&amp;A7&amp;"'"&amp;"!A:A"),"总价",INDIRECT("'"&amp;A7&amp;"'"&amp;"!B:B"))</f>
        <v>#REF!</v>
      </c>
      <c r="C7" s="3250" t="s">
        <v>2912</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2912</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2912</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2912</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2912</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2912</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2912</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2912</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49" t="s">
        <v>2442</v>
      </c>
      <c r="E7" s="2343"/>
      <c r="F7" s="2344"/>
      <c r="G7" s="1527"/>
      <c r="H7" s="771">
        <v>1</v>
      </c>
      <c r="I7" s="772" t="s">
        <v>2439</v>
      </c>
      <c r="J7" s="53">
        <f ca="1">J8+J12+J14</f>
        <v>0</v>
      </c>
      <c r="K7" s="2349" t="s">
        <v>2442</v>
      </c>
      <c r="L7" s="2343"/>
      <c r="M7" s="2344"/>
    </row>
    <row r="8" spans="1:25" ht="18" customHeight="1">
      <c r="A8" s="1746" t="s">
        <v>1815</v>
      </c>
      <c r="B8" s="3586" t="s">
        <v>2444</v>
      </c>
      <c r="C8" s="1741">
        <f ca="1">ROUND(F8*F10*F9*(1-F11)/10000,0)</f>
        <v>0</v>
      </c>
      <c r="D8" s="1738" t="s">
        <v>2515</v>
      </c>
      <c r="E8" s="61" t="s">
        <v>631</v>
      </c>
      <c r="F8" s="775">
        <f ca="1">INDIRECT("'数据-取费表'!u"&amp;$G$1)</f>
        <v>0</v>
      </c>
      <c r="G8" s="1527"/>
      <c r="H8" s="2357" t="s">
        <v>1815</v>
      </c>
      <c r="I8" s="3586" t="s">
        <v>2444</v>
      </c>
      <c r="J8" s="773">
        <f ca="1">ROUND(M8*M10*M9*(1-M11)/10000,0)</f>
        <v>0</v>
      </c>
      <c r="K8" s="339" t="s">
        <v>2515</v>
      </c>
      <c r="L8" s="774" t="s">
        <v>1729</v>
      </c>
      <c r="M8" s="775">
        <f ca="1">INDIRECT("'数据-取费表'!z"&amp;$G$1)</f>
        <v>0</v>
      </c>
    </row>
    <row r="9" spans="1:25" ht="18" customHeight="1">
      <c r="A9" s="2353"/>
      <c r="B9" s="3587"/>
      <c r="C9" s="1742"/>
      <c r="D9" s="1739"/>
      <c r="E9" s="61" t="s">
        <v>632</v>
      </c>
      <c r="F9" s="775">
        <f ca="1">IF(INDIRECT("'数据-取费表'!ah"&amp;$G$1)="",INDIRECT("'数据-取费表'!k"&amp;$G$1),INDIRECT("'数据-取费表'!ah"&amp;$G$1))</f>
        <v>0</v>
      </c>
      <c r="G9" s="1527"/>
      <c r="H9" s="2342"/>
      <c r="I9" s="3587"/>
      <c r="J9" s="778"/>
      <c r="K9" s="779"/>
      <c r="L9" s="774" t="s">
        <v>1730</v>
      </c>
      <c r="M9" s="775">
        <f ca="1">F9</f>
        <v>0</v>
      </c>
    </row>
    <row r="10" spans="1:25" ht="18" customHeight="1">
      <c r="A10" s="2346"/>
      <c r="B10" s="3588"/>
      <c r="C10" s="1742"/>
      <c r="D10" s="1739"/>
      <c r="E10" s="61" t="s">
        <v>633</v>
      </c>
      <c r="F10" s="775">
        <f ca="1">INDIRECT("'数据-取费表'!ai"&amp;$G$1)</f>
        <v>0</v>
      </c>
      <c r="G10" s="1527"/>
      <c r="H10" s="2342"/>
      <c r="I10" s="3588"/>
      <c r="J10" s="778"/>
      <c r="K10" s="779"/>
      <c r="L10" s="774" t="s">
        <v>1731</v>
      </c>
      <c r="M10" s="775">
        <f ca="1">INDIRECT("'数据-取费表'!ai"&amp;$G$1)</f>
        <v>0</v>
      </c>
    </row>
    <row r="11" spans="1:25" ht="18" customHeight="1">
      <c r="A11" s="776"/>
      <c r="B11" s="3589"/>
      <c r="C11" s="1742"/>
      <c r="D11" s="1739"/>
      <c r="E11" s="61" t="s">
        <v>634</v>
      </c>
      <c r="F11" s="784">
        <f ca="1">INDIRECT("'数据-取费表'!w"&amp;$G$1)</f>
        <v>0</v>
      </c>
      <c r="G11" s="1527"/>
      <c r="H11" s="2358"/>
      <c r="I11" s="3588"/>
      <c r="J11" s="778"/>
      <c r="K11" s="779"/>
      <c r="L11" s="785" t="s">
        <v>1732</v>
      </c>
      <c r="M11" s="786">
        <f ca="1">INDIRECT("'数据-取费表'!ab"&amp;$G$1)</f>
        <v>0</v>
      </c>
    </row>
    <row r="12" spans="1:25" ht="18" customHeight="1">
      <c r="A12" s="1746" t="s">
        <v>1816</v>
      </c>
      <c r="B12" s="2347" t="s">
        <v>2440</v>
      </c>
      <c r="C12" s="789">
        <f ca="1">ROUND(IF(F12="押一",C8/12*F13,IF(F12="押二",C8/12*2*F13,IF(F12="押三",C8/12*3*F13,C13*F13))),0)</f>
        <v>0</v>
      </c>
      <c r="D12" s="2354" t="s">
        <v>2938</v>
      </c>
      <c r="E12" s="2351" t="s">
        <v>2445</v>
      </c>
      <c r="F12" s="2465"/>
      <c r="G12" s="1527"/>
      <c r="H12" s="2414" t="s">
        <v>1816</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2438</v>
      </c>
      <c r="F13" s="786">
        <f ca="1">'数据-取费表'!B39</f>
        <v>1.4999999999999999E-2</v>
      </c>
      <c r="G13" s="1527"/>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7"/>
      <c r="H14" s="2404" t="s">
        <v>2448</v>
      </c>
      <c r="I14" s="2417" t="s">
        <v>2441</v>
      </c>
      <c r="J14" s="2418"/>
      <c r="K14" s="2393"/>
      <c r="L14" s="2394"/>
      <c r="M14" s="2407"/>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7">
        <f ca="1">ROUND(IF(AND(项目基本情况!B11="自然人",项目基本情况!B10="北京市"),J8*M19/(1+'数据-取费表'!C42),J20+J21+J22),0)</f>
        <v>0</v>
      </c>
      <c r="K19" s="1894" t="s">
        <v>651</v>
      </c>
      <c r="L19" s="1892" t="s">
        <v>652</v>
      </c>
      <c r="M19" s="3016"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1.2999999999999999E-3</v>
      </c>
      <c r="D26" s="2423"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3"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3" t="s">
        <v>1874</v>
      </c>
      <c r="B31" s="2394" t="s">
        <v>2802</v>
      </c>
      <c r="C31" s="2397">
        <f ca="1">ROUND((C21+C22+C25+C28)/(1-F23-C26-C29-C30),0)</f>
        <v>0</v>
      </c>
      <c r="D31" s="2398"/>
      <c r="E31" s="2399"/>
      <c r="F31" s="2400"/>
      <c r="G31" s="1528"/>
      <c r="H31" s="812" t="s">
        <v>1863</v>
      </c>
      <c r="I31" s="2724"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0"/>
      <c r="F32" s="2344"/>
      <c r="G32" s="1946"/>
      <c r="H32" s="1949"/>
      <c r="I32" s="1950"/>
      <c r="J32" s="1951"/>
      <c r="K32" s="1952"/>
      <c r="L32" s="1953"/>
      <c r="M32" s="1954"/>
    </row>
    <row r="33" spans="1:18" ht="18" customHeight="1">
      <c r="A33" s="793" t="s">
        <v>1867</v>
      </c>
      <c r="B33" s="774" t="s">
        <v>650</v>
      </c>
      <c r="C33" s="3017">
        <f ca="1">ROUND(IF(AND(项目基本情况!B11="自然人",项目基本情况!B10="北京市"),C8*F33/(1+'数据-取费表'!C42),C34+C35+C36),0)</f>
        <v>0</v>
      </c>
      <c r="D33" s="1894" t="s">
        <v>651</v>
      </c>
      <c r="E33" s="1892" t="s">
        <v>684</v>
      </c>
      <c r="F33" s="3016" t="str">
        <f>IF(项目基本情况!B11="企业","——",IF('数据-取费表'!B10="住宅",IF(F8*F9*F10/12/(1+'数据-取费表'!F30)&gt;100000,4%,2.5%),IF(F8*F9*F10/12/(1+'数据-取费表'!F30)&gt;100000,12%,7%)))</f>
        <v>——</v>
      </c>
      <c r="G33" s="1946"/>
      <c r="H33" s="3256"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5</v>
      </c>
      <c r="G36" s="1946"/>
      <c r="H36" s="1949"/>
      <c r="I36" s="3585"/>
      <c r="J36" s="1963"/>
      <c r="K36" s="1964"/>
      <c r="L36" s="1963"/>
      <c r="M36" s="1963"/>
    </row>
    <row r="37" spans="1:18" ht="18" customHeight="1">
      <c r="A37" s="804"/>
      <c r="B37" s="783"/>
      <c r="C37" s="69"/>
      <c r="D37" s="805"/>
      <c r="E37" s="774" t="s">
        <v>668</v>
      </c>
      <c r="F37" s="775">
        <f ca="1">INDIRECT("'数据-取费表'!r"&amp;$G$1)</f>
        <v>0</v>
      </c>
      <c r="G37" s="1946"/>
      <c r="H37" s="1949"/>
      <c r="I37" s="3585"/>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0"/>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0"/>
      <c r="J39" s="1901"/>
      <c r="K39" s="1965"/>
      <c r="L39" s="1961"/>
      <c r="M39" s="1961"/>
    </row>
    <row r="40" spans="1:18" ht="18" customHeight="1" thickBot="1">
      <c r="A40" s="2413" t="s">
        <v>1870</v>
      </c>
      <c r="B40" s="2399" t="s">
        <v>660</v>
      </c>
      <c r="C40" s="2397">
        <f ca="1">ROUND(C7*F40,1)</f>
        <v>0</v>
      </c>
      <c r="D40" s="2398" t="s">
        <v>677</v>
      </c>
      <c r="E40" s="2399" t="s">
        <v>643</v>
      </c>
      <c r="F40" s="2395">
        <f ca="1">INDIRECT("'数据-取费表'!Am"&amp;$G$1)</f>
        <v>0</v>
      </c>
      <c r="G40" s="1946"/>
      <c r="H40" s="1961"/>
      <c r="I40" s="3020"/>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3" t="s">
        <v>2927</v>
      </c>
      <c r="F43" s="2794">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0">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5"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09" t="str">
        <f ca="1">IF(M48="住宅",0,IF(L49&gt;J52,L61,J61))</f>
        <v>0</v>
      </c>
      <c r="O47" s="2250" t="s">
        <v>2395</v>
      </c>
      <c r="P47" s="1527"/>
      <c r="Q47" s="1535"/>
      <c r="R47" s="1527"/>
    </row>
    <row r="48" spans="1:18" s="1943" customFormat="1" ht="18" customHeight="1" thickBot="1">
      <c r="A48" s="1967"/>
      <c r="C48" s="1970"/>
      <c r="D48" s="1971"/>
      <c r="E48" s="1971"/>
      <c r="F48" s="1972"/>
      <c r="G48" s="1973"/>
      <c r="I48" s="2800" t="s">
        <v>2329</v>
      </c>
      <c r="J48" s="2237"/>
      <c r="K48" s="2806" t="s">
        <v>2334</v>
      </c>
      <c r="L48" s="2810">
        <f ca="1">INDIRECT("'数据-取费表'!d"&amp;$G$1)</f>
        <v>0</v>
      </c>
      <c r="M48" s="2792"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7" t="s">
        <v>2330</v>
      </c>
      <c r="J49" s="2238"/>
      <c r="K49" s="2807"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7" t="s">
        <v>2331</v>
      </c>
      <c r="J50" s="2239"/>
      <c r="K50" s="2808"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7" t="s">
        <v>2332</v>
      </c>
      <c r="J51" s="2804">
        <f>SUMPRODUCT((I64:I66=J48)*(J63:L63=J49)*(J64:L66))</f>
        <v>0</v>
      </c>
      <c r="K51" s="2808" t="s">
        <v>2338</v>
      </c>
      <c r="L51" s="2240"/>
      <c r="O51" s="2257" t="s">
        <v>2368</v>
      </c>
      <c r="P51" s="2255" t="s">
        <v>2392</v>
      </c>
      <c r="Q51" s="2256">
        <f ca="1">C31</f>
        <v>0</v>
      </c>
      <c r="R51" s="2255" t="s">
        <v>2365</v>
      </c>
    </row>
    <row r="52" spans="1:18" s="1943" customFormat="1" ht="18" customHeight="1" thickBot="1">
      <c r="A52" s="1979"/>
      <c r="F52" s="1968"/>
      <c r="I52" s="2801" t="s">
        <v>2333</v>
      </c>
      <c r="J52" s="2805">
        <f>IF(J50="",J51,J50+J51-YEAR('数据-取费表'!B3))</f>
        <v>0</v>
      </c>
      <c r="K52" s="2797" t="s">
        <v>2339</v>
      </c>
      <c r="L52" s="2811">
        <f ca="1">C45</f>
        <v>0</v>
      </c>
      <c r="O52" s="2257" t="s">
        <v>2369</v>
      </c>
      <c r="P52" s="2255" t="s">
        <v>2370</v>
      </c>
      <c r="Q52" s="2258" t="e">
        <f ca="1">J59</f>
        <v>#VALUE!</v>
      </c>
      <c r="R52" s="2259"/>
    </row>
    <row r="53" spans="1:18" s="1943" customFormat="1" ht="18" customHeight="1" thickBot="1">
      <c r="A53" s="1979"/>
      <c r="F53" s="1968"/>
      <c r="I53" s="2802" t="s">
        <v>2406</v>
      </c>
      <c r="J53" s="2241"/>
      <c r="K53" s="2802" t="s">
        <v>2405</v>
      </c>
      <c r="L53" s="2241"/>
      <c r="O53" s="2257" t="s">
        <v>2371</v>
      </c>
      <c r="P53" s="2255" t="s">
        <v>2372</v>
      </c>
      <c r="Q53" s="2258">
        <f>J53</f>
        <v>0</v>
      </c>
      <c r="R53" s="2259"/>
    </row>
    <row r="54" spans="1:18" s="1943" customFormat="1" ht="29.25" thickBot="1">
      <c r="A54" s="1979"/>
      <c r="I54" s="2803" t="s">
        <v>2942</v>
      </c>
      <c r="J54" s="2856">
        <f ca="1">IF(M48="住宅",MAX(J52,L49-'数据-取费表'!B20),MIN(J52,L49-'数据-取费表'!B20))</f>
        <v>-3</v>
      </c>
      <c r="K54" s="3590"/>
      <c r="L54" s="3591"/>
      <c r="O54" s="2257" t="s">
        <v>2373</v>
      </c>
      <c r="P54" s="2255" t="s">
        <v>2374</v>
      </c>
      <c r="Q54" s="2256">
        <f ca="1">J54</f>
        <v>-3</v>
      </c>
      <c r="R54" s="2255" t="s">
        <v>2375</v>
      </c>
    </row>
    <row r="55" spans="1:18" s="1943" customFormat="1" ht="18" customHeight="1" thickBot="1">
      <c r="A55" s="1979"/>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4" t="s">
        <v>2376</v>
      </c>
      <c r="P55" s="2255" t="s">
        <v>2393</v>
      </c>
      <c r="Q55" s="2256">
        <f ca="1">Q49+Q50</f>
        <v>0</v>
      </c>
      <c r="R55" s="2259" t="s">
        <v>2377</v>
      </c>
    </row>
    <row r="56" spans="1:18" s="1943" customFormat="1" ht="16.5" thickBot="1">
      <c r="A56" s="1979"/>
      <c r="B56" s="1980"/>
      <c r="C56" s="1980"/>
      <c r="I56" s="2814" t="s">
        <v>2340</v>
      </c>
      <c r="J56" s="2786" t="e">
        <f ca="1">ROUND(IF(J48="钢混",J58/J51,1-(1-2%)*(J51-J58)/J51),3)</f>
        <v>#VALUE!</v>
      </c>
      <c r="K56" s="2815" t="s">
        <v>2341</v>
      </c>
      <c r="L56" s="2242"/>
      <c r="O56" s="2260" t="s">
        <v>2396</v>
      </c>
      <c r="P56" s="1527"/>
      <c r="Q56" s="1535"/>
      <c r="R56" s="1527"/>
    </row>
    <row r="57" spans="1:18" s="1943" customFormat="1" ht="43.5" thickBot="1">
      <c r="A57" s="1979"/>
      <c r="B57" s="1980"/>
      <c r="C57" s="1980"/>
      <c r="I57" s="2816" t="s">
        <v>2342</v>
      </c>
      <c r="J57" s="2826" t="s">
        <v>1669</v>
      </c>
      <c r="K57" s="2797" t="s">
        <v>2347</v>
      </c>
      <c r="L57" s="1823">
        <f ca="1">IF(L49&lt;J52,"——",L49-J52)</f>
        <v>0</v>
      </c>
      <c r="O57" s="2251" t="s">
        <v>2360</v>
      </c>
      <c r="P57" s="2252" t="s">
        <v>2361</v>
      </c>
      <c r="Q57" s="2253" t="s">
        <v>2362</v>
      </c>
      <c r="R57" s="2252" t="s">
        <v>2363</v>
      </c>
    </row>
    <row r="58" spans="1:18" s="1943" customFormat="1" ht="29.25" thickBot="1">
      <c r="A58" s="1979"/>
      <c r="B58" s="1980"/>
      <c r="C58" s="1980"/>
      <c r="I58" s="2817" t="s">
        <v>2343</v>
      </c>
      <c r="J58" s="2818" t="str">
        <f ca="1">IF(OR(M48="住宅",J52&lt;L49,J57="是"),"——",J52-L49)</f>
        <v>——</v>
      </c>
      <c r="K58" s="2797"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7" t="s">
        <v>2344</v>
      </c>
      <c r="J59" s="2787" t="e">
        <f ca="1">IF(J56&lt;0.4,0.4,J56)</f>
        <v>#VALUE!</v>
      </c>
      <c r="K59" s="2797"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7" t="s">
        <v>2345</v>
      </c>
      <c r="J60" s="2818" t="str">
        <f ca="1">IF(OR(M48="住宅",J52&lt;L49,J57="是"),"——",ROUND(C30*J59,0))</f>
        <v>——</v>
      </c>
      <c r="K60" s="2797"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19" t="s">
        <v>2346</v>
      </c>
      <c r="J61" s="2820" t="str">
        <f ca="1">IF(OR(M48="住宅",J52&lt;L49,J57="是"),"0",ROUND(J60/(1+J53)^J54,0))</f>
        <v>0</v>
      </c>
      <c r="K61" s="2821" t="s">
        <v>2351</v>
      </c>
      <c r="L61" s="2820"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2" t="s">
        <v>2352</v>
      </c>
      <c r="J63" s="2823" t="s">
        <v>2353</v>
      </c>
      <c r="K63" s="2823" t="s">
        <v>2354</v>
      </c>
      <c r="L63" s="2823" t="s">
        <v>2335</v>
      </c>
      <c r="M63" s="2824" t="s">
        <v>2910</v>
      </c>
      <c r="O63" s="2257" t="s">
        <v>2373</v>
      </c>
      <c r="P63" s="2255" t="s">
        <v>2381</v>
      </c>
      <c r="Q63" s="2256">
        <f ca="1">L60</f>
        <v>0</v>
      </c>
      <c r="R63" s="2259" t="s">
        <v>2382</v>
      </c>
    </row>
    <row r="64" spans="1:18" s="1943" customFormat="1" ht="15.75" thickBot="1">
      <c r="A64" s="1979"/>
      <c r="B64" s="1980"/>
      <c r="C64" s="1980"/>
      <c r="I64" s="2822" t="s">
        <v>2355</v>
      </c>
      <c r="J64" s="2823">
        <v>70</v>
      </c>
      <c r="K64" s="2823">
        <v>50</v>
      </c>
      <c r="L64" s="2823">
        <v>80</v>
      </c>
      <c r="M64" s="2825">
        <v>0.02</v>
      </c>
      <c r="O64" s="2254" t="s">
        <v>2376</v>
      </c>
      <c r="P64" s="2255" t="s">
        <v>2393</v>
      </c>
      <c r="Q64" s="2256" t="e">
        <f ca="1">Q58+Q59</f>
        <v>#DIV/0!</v>
      </c>
      <c r="R64" s="2259" t="s">
        <v>2377</v>
      </c>
    </row>
    <row r="65" spans="1:18" s="1943" customFormat="1" ht="16.5" thickBot="1">
      <c r="A65" s="1979"/>
      <c r="B65" s="1980"/>
      <c r="C65" s="1980"/>
      <c r="I65" s="2822" t="s">
        <v>2356</v>
      </c>
      <c r="J65" s="2823">
        <v>50</v>
      </c>
      <c r="K65" s="2823">
        <v>35</v>
      </c>
      <c r="L65" s="2823">
        <v>60</v>
      </c>
      <c r="M65" s="835">
        <v>0</v>
      </c>
      <c r="O65" s="2260" t="s">
        <v>2400</v>
      </c>
      <c r="P65" s="1527"/>
      <c r="Q65" s="1535"/>
      <c r="R65" s="1527"/>
    </row>
    <row r="66" spans="1:18" s="1943" customFormat="1" ht="15.75" thickBot="1">
      <c r="A66" s="1979"/>
      <c r="B66" s="1980"/>
      <c r="C66" s="1980"/>
      <c r="I66" s="2822" t="s">
        <v>2357</v>
      </c>
      <c r="J66" s="2823">
        <v>40</v>
      </c>
      <c r="K66" s="2823">
        <v>30</v>
      </c>
      <c r="L66" s="2823">
        <v>50</v>
      </c>
      <c r="M66" s="2825">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本次估价对象为出让国有建设用地使用权，《国有土地使用证》[]证载土地终止日期为商业2045年2月25日。截至估价期日，出让国有建设用地使用权剩余土地使用年限为。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7" zoomScale="70" zoomScaleNormal="60" zoomScaleSheetLayoutView="70" workbookViewId="0">
      <selection activeCell="D28" sqref="D28"/>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3011</v>
      </c>
      <c r="D1" s="2796" t="s">
        <v>3063</v>
      </c>
      <c r="E1" s="2243" t="s">
        <v>2359</v>
      </c>
      <c r="F1" s="2244">
        <f ca="1">J53</f>
        <v>20.329999999999998</v>
      </c>
      <c r="G1" s="3257">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518756</v>
      </c>
      <c r="C2" s="3262"/>
      <c r="D2" s="3263"/>
      <c r="E2" s="3264"/>
      <c r="F2" s="3264"/>
      <c r="G2" s="3258"/>
      <c r="H2" s="1941"/>
      <c r="I2" s="1941"/>
      <c r="J2" s="1941"/>
      <c r="K2" s="1942"/>
      <c r="L2" s="1941"/>
      <c r="M2" s="1941"/>
    </row>
    <row r="3" spans="1:33" ht="18" customHeight="1" thickBot="1">
      <c r="A3" s="822" t="s">
        <v>1718</v>
      </c>
      <c r="B3" s="823">
        <f ca="1">IF(ISERROR(B2*10000/F43),0,ROUND(B2*10000/F43,0))</f>
        <v>4524</v>
      </c>
      <c r="C3" s="3262"/>
      <c r="D3" s="3263"/>
      <c r="E3" s="3264"/>
      <c r="F3" s="3264"/>
      <c r="G3" s="3258"/>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50287</v>
      </c>
      <c r="D5" s="2349" t="s">
        <v>2442</v>
      </c>
      <c r="E5" s="2343"/>
      <c r="F5" s="2344"/>
      <c r="G5" s="1946"/>
      <c r="H5" s="771">
        <v>1</v>
      </c>
      <c r="I5" s="772" t="s">
        <v>2439</v>
      </c>
      <c r="J5" s="55">
        <f ca="1">J6+J10+J12</f>
        <v>0</v>
      </c>
      <c r="K5" s="2349" t="s">
        <v>2442</v>
      </c>
      <c r="L5" s="2343"/>
      <c r="M5" s="2344"/>
    </row>
    <row r="6" spans="1:33" ht="18" customHeight="1">
      <c r="A6" s="1746" t="s">
        <v>1815</v>
      </c>
      <c r="B6" s="3586" t="s">
        <v>2444</v>
      </c>
      <c r="C6" s="773">
        <f ca="1">ROUND(F6*F8*F7*(1-F9)/10000,0)</f>
        <v>50224</v>
      </c>
      <c r="D6" s="2350" t="s">
        <v>2443</v>
      </c>
      <c r="E6" s="774" t="s">
        <v>1729</v>
      </c>
      <c r="F6" s="775">
        <f ca="1">INDIRECT("'数据-取费表'!u"&amp;$G$1)</f>
        <v>1.5</v>
      </c>
      <c r="G6" s="1946"/>
      <c r="H6" s="2357" t="s">
        <v>2449</v>
      </c>
      <c r="I6" s="3586" t="s">
        <v>2444</v>
      </c>
      <c r="J6" s="773">
        <f ca="1">ROUND(M6*M8*M7*(1-M9)/10000,0)</f>
        <v>0</v>
      </c>
      <c r="K6" s="339" t="s">
        <v>1728</v>
      </c>
      <c r="L6" s="774" t="s">
        <v>1729</v>
      </c>
      <c r="M6" s="775">
        <f ca="1">INDIRECT("'数据-取费表'!z"&amp;$G$1)</f>
        <v>0</v>
      </c>
    </row>
    <row r="7" spans="1:33" ht="18" customHeight="1">
      <c r="A7" s="2353"/>
      <c r="B7" s="3587"/>
      <c r="C7" s="778"/>
      <c r="D7" s="779"/>
      <c r="E7" s="774" t="s">
        <v>1730</v>
      </c>
      <c r="F7" s="775">
        <f ca="1">IF(INDIRECT("'数据-取费表'!ah"&amp;$G$1)="",INDIRECT("'数据-取费表'!k"&amp;$G$1),INDIRECT("'数据-取费表'!ah"&amp;$G$1))</f>
        <v>1146665.0900000001</v>
      </c>
      <c r="G7" s="1946"/>
      <c r="H7" s="2342"/>
      <c r="I7" s="3587"/>
      <c r="J7" s="778"/>
      <c r="K7" s="779"/>
      <c r="L7" s="774" t="s">
        <v>1730</v>
      </c>
      <c r="M7" s="775">
        <f ca="1">F7</f>
        <v>1146665.0900000001</v>
      </c>
    </row>
    <row r="8" spans="1:33" ht="18" customHeight="1">
      <c r="A8" s="2346"/>
      <c r="B8" s="3588"/>
      <c r="C8" s="778"/>
      <c r="D8" s="779"/>
      <c r="E8" s="774" t="s">
        <v>1731</v>
      </c>
      <c r="F8" s="775">
        <f ca="1">INDIRECT("'数据-取费表'!ai"&amp;$G$1)</f>
        <v>365</v>
      </c>
      <c r="G8" s="1946"/>
      <c r="H8" s="2342"/>
      <c r="I8" s="3588"/>
      <c r="J8" s="778"/>
      <c r="K8" s="779"/>
      <c r="L8" s="774" t="s">
        <v>1731</v>
      </c>
      <c r="M8" s="775">
        <f ca="1">INDIRECT("'数据-取费表'!ai"&amp;$G$1)</f>
        <v>365</v>
      </c>
    </row>
    <row r="9" spans="1:33" ht="18" customHeight="1">
      <c r="A9" s="776"/>
      <c r="B9" s="3589"/>
      <c r="C9" s="778"/>
      <c r="D9" s="779"/>
      <c r="E9" s="774" t="s">
        <v>1732</v>
      </c>
      <c r="F9" s="784">
        <f ca="1">INDIRECT("'数据-取费表'!w"&amp;$G$1)</f>
        <v>0.2</v>
      </c>
      <c r="G9" s="1946"/>
      <c r="H9" s="2358"/>
      <c r="I9" s="3588"/>
      <c r="J9" s="778"/>
      <c r="K9" s="779"/>
      <c r="L9" s="785" t="s">
        <v>1732</v>
      </c>
      <c r="M9" s="786">
        <f ca="1">INDIRECT("'数据-取费表'!ab"&amp;$G$1)</f>
        <v>0</v>
      </c>
    </row>
    <row r="10" spans="1:33" ht="18" customHeight="1">
      <c r="A10" s="1746" t="s">
        <v>2447</v>
      </c>
      <c r="B10" s="2347" t="s">
        <v>2440</v>
      </c>
      <c r="C10" s="789">
        <f ca="1">ROUND(IF(F10="押一",C6/12*F11,IF(F10="押二",C6/12*2*F11,IF(F10="押三",C6/12*3*F11,C11*F11))),0)</f>
        <v>63</v>
      </c>
      <c r="D10" s="2354" t="s">
        <v>2938</v>
      </c>
      <c r="E10" s="2351" t="s">
        <v>2445</v>
      </c>
      <c r="F10" s="2465" t="s">
        <v>3064</v>
      </c>
      <c r="G10" s="1946"/>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6"/>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6"/>
      <c r="H12" s="2404" t="s">
        <v>2451</v>
      </c>
      <c r="I12" s="2417" t="s">
        <v>2441</v>
      </c>
      <c r="J12" s="2418"/>
      <c r="K12" s="2393"/>
      <c r="L12" s="2394"/>
      <c r="M12" s="2407"/>
    </row>
    <row r="13" spans="1:33" ht="18" customHeight="1" thickTop="1">
      <c r="A13" s="1745">
        <v>2</v>
      </c>
      <c r="B13" s="1743" t="s">
        <v>1733</v>
      </c>
      <c r="C13" s="782">
        <f ca="1">ROUND(C29*F13,0)</f>
        <v>433215</v>
      </c>
      <c r="D13" s="1750" t="s">
        <v>2285</v>
      </c>
      <c r="E13" s="1750" t="s">
        <v>1735</v>
      </c>
      <c r="F13" s="2389">
        <f ca="1">INDIRECT("'数据-取费表'!y"&amp;$G$1)</f>
        <v>1</v>
      </c>
      <c r="G13" s="1946"/>
      <c r="H13" s="1745">
        <v>2</v>
      </c>
      <c r="I13" s="1743" t="s">
        <v>1733</v>
      </c>
      <c r="J13" s="1735">
        <f ca="1">ROUND(J14*J15,0)</f>
        <v>0</v>
      </c>
      <c r="K13" s="1737" t="s">
        <v>1734</v>
      </c>
      <c r="L13" s="2405"/>
      <c r="M13" s="2406"/>
    </row>
    <row r="14" spans="1:33" ht="18" customHeight="1">
      <c r="A14" s="1577" t="s">
        <v>1875</v>
      </c>
      <c r="B14" s="774" t="s">
        <v>639</v>
      </c>
      <c r="C14" s="794">
        <f ca="1">INDIRECT("'数据-取费表'!m"&amp;$G$1)+INDIRECT("'数据-取费表'!t"&amp;$G$1)</f>
        <v>286666</v>
      </c>
      <c r="D14" s="1894" t="s">
        <v>1736</v>
      </c>
      <c r="E14" s="1895"/>
      <c r="F14" s="795"/>
      <c r="G14" s="1946"/>
      <c r="H14" s="1578" t="s">
        <v>1821</v>
      </c>
      <c r="I14" s="2112" t="s">
        <v>2805</v>
      </c>
      <c r="J14" s="53">
        <f ca="1">C29</f>
        <v>433215</v>
      </c>
      <c r="K14" s="26"/>
      <c r="L14" s="791"/>
      <c r="M14" s="792"/>
    </row>
    <row r="15" spans="1:33" s="1948" customFormat="1" ht="18" customHeight="1" thickBot="1">
      <c r="A15" s="1577" t="s">
        <v>1876</v>
      </c>
      <c r="B15" s="774" t="s">
        <v>641</v>
      </c>
      <c r="C15" s="53">
        <f ca="1">ROUND(C14*F15,0)</f>
        <v>8600</v>
      </c>
      <c r="D15" s="796" t="s">
        <v>1737</v>
      </c>
      <c r="E15" s="796" t="s">
        <v>1738</v>
      </c>
      <c r="F15" s="797">
        <f>'数据-取费表'!B33</f>
        <v>0.03</v>
      </c>
      <c r="G15" s="3259"/>
      <c r="H15" s="2404" t="s">
        <v>1880</v>
      </c>
      <c r="I15" s="2399" t="s">
        <v>1735</v>
      </c>
      <c r="J15" s="2408">
        <f ca="1">INDIRECT("'数据-取费表'!ad"&amp;$G$1)</f>
        <v>0</v>
      </c>
      <c r="K15" s="2409"/>
      <c r="L15" s="2410"/>
      <c r="M15" s="2411"/>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39122</v>
      </c>
      <c r="K16" s="1737" t="s">
        <v>1741</v>
      </c>
      <c r="L16" s="2339"/>
      <c r="M16" s="2344"/>
    </row>
    <row r="17" spans="1:33" s="1948" customFormat="1" ht="18" customHeight="1">
      <c r="A17" s="1577" t="s">
        <v>1878</v>
      </c>
      <c r="B17" s="774" t="s">
        <v>647</v>
      </c>
      <c r="C17" s="53">
        <f ca="1">ROUND(F17*(F43+INDIRECT("'数据-取费表'!S"&amp;$G$1))/10000,0)</f>
        <v>22933</v>
      </c>
      <c r="D17" s="774" t="s">
        <v>1742</v>
      </c>
      <c r="E17" s="774" t="s">
        <v>1743</v>
      </c>
      <c r="F17" s="56">
        <f>'数据-取费表'!B35</f>
        <v>200</v>
      </c>
      <c r="G17" s="3259"/>
      <c r="H17" s="1578" t="s">
        <v>1821</v>
      </c>
      <c r="I17" s="774" t="s">
        <v>650</v>
      </c>
      <c r="J17" s="3017">
        <f ca="1">ROUND(IF(AND(项目基本情况!B11="自然人",项目基本情况!B10="北京市"),J6*M17/(1+'数据-取费表'!C42),J18+J19+J20),0)</f>
        <v>36523</v>
      </c>
      <c r="K17" s="2338" t="s">
        <v>1744</v>
      </c>
      <c r="L17" s="2337" t="s">
        <v>1745</v>
      </c>
      <c r="M17" s="3016"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4300</v>
      </c>
      <c r="D18" s="774" t="s">
        <v>1737</v>
      </c>
      <c r="E18" s="774" t="s">
        <v>1738</v>
      </c>
      <c r="F18" s="799">
        <f>'数据-取费表'!B36</f>
        <v>1.4999999999999999E-2</v>
      </c>
      <c r="G18" s="3259"/>
      <c r="H18" s="1577" t="s">
        <v>1875</v>
      </c>
      <c r="I18" s="774" t="s">
        <v>1746</v>
      </c>
      <c r="J18" s="53">
        <f ca="1">ROUND(J6*M18/(1+'数据-取费表'!C42),1)</f>
        <v>0</v>
      </c>
      <c r="K18" s="2337"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322499</v>
      </c>
      <c r="D19" s="259" t="s">
        <v>1748</v>
      </c>
      <c r="E19" s="1897"/>
      <c r="F19" s="56"/>
      <c r="G19" s="1946"/>
      <c r="H19" s="1577" t="s">
        <v>1876</v>
      </c>
      <c r="I19" s="774" t="s">
        <v>1749</v>
      </c>
      <c r="J19" s="53">
        <f ca="1">IF(K19="按租金收入计税",ROUND(J6*M19/(1+'数据-取费表'!C42),1),ROUND(C29*F33*0.7,1))</f>
        <v>36390.1</v>
      </c>
      <c r="K19" s="800" t="s">
        <v>659</v>
      </c>
      <c r="L19" s="774" t="s">
        <v>1738</v>
      </c>
      <c r="M19" s="799">
        <f>IF(K19="按租金收入计税",'数据-取费表'!B51,'数据-取费表'!B50)</f>
        <v>1.2E-2</v>
      </c>
    </row>
    <row r="20" spans="1:33" s="1948" customFormat="1" ht="18" customHeight="1">
      <c r="A20" s="1578" t="s">
        <v>1880</v>
      </c>
      <c r="B20" s="774" t="s">
        <v>660</v>
      </c>
      <c r="C20" s="53">
        <f ca="1">ROUND(C19*F20,0)</f>
        <v>6450</v>
      </c>
      <c r="D20" s="801" t="s">
        <v>1750</v>
      </c>
      <c r="E20" s="774" t="s">
        <v>1738</v>
      </c>
      <c r="F20" s="799">
        <f>'数据-取费表'!B37</f>
        <v>0.02</v>
      </c>
      <c r="G20" s="3259"/>
      <c r="H20" s="1580" t="s">
        <v>1871</v>
      </c>
      <c r="I20" s="339" t="s">
        <v>1751</v>
      </c>
      <c r="J20" s="54">
        <f ca="1">ROUND(M20*M21/10000,0)</f>
        <v>133</v>
      </c>
      <c r="K20" s="803" t="s">
        <v>1752</v>
      </c>
      <c r="L20" s="774" t="s">
        <v>1753</v>
      </c>
      <c r="M20" s="632">
        <f>'数据-取费表'!B52</f>
        <v>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59"/>
      <c r="H21" s="2359"/>
      <c r="I21" s="783"/>
      <c r="J21" s="69"/>
      <c r="K21" s="805"/>
      <c r="L21" s="774" t="s">
        <v>1757</v>
      </c>
      <c r="M21" s="775">
        <f ca="1">INDIRECT("'数据-取费表'!r"&amp;$G$1)</f>
        <v>266666.3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2599</v>
      </c>
      <c r="K22" s="2337" t="s">
        <v>1760</v>
      </c>
      <c r="L22" s="774" t="s">
        <v>1738</v>
      </c>
      <c r="M22" s="806">
        <f ca="1">INDIRECT("'数据-取费表'!Ak"&amp;$G$1)</f>
        <v>6.0000000000000001E-3</v>
      </c>
    </row>
    <row r="23" spans="1:33" s="1948" customFormat="1" ht="18" customHeight="1">
      <c r="A23" s="1577" t="s">
        <v>1822</v>
      </c>
      <c r="B23" s="774" t="s">
        <v>2516</v>
      </c>
      <c r="C23" s="53">
        <f ca="1">ROUND(IF('数据-取费表'!B22&lt;=1,(C19+C20)*F24*F23/2,(C19+C20)*(POWER((1+F24),F23/2)-1)),0)</f>
        <v>21696</v>
      </c>
      <c r="D23" s="2423" t="str">
        <f>IF(F23&lt;=1,"(建造成本+管理费用)×利率×(建设周期÷2)","(建造成本+管理费用)×((1+利率)^(建设周期÷2)-1)")</f>
        <v>(建造成本+管理费用)×((1+利率)^(建设周期÷2)-1)</v>
      </c>
      <c r="E23" s="774" t="s">
        <v>1761</v>
      </c>
      <c r="F23" s="632">
        <f>'数据-取费表'!B20</f>
        <v>3</v>
      </c>
      <c r="G23" s="3259"/>
      <c r="H23" s="1578" t="s">
        <v>1881</v>
      </c>
      <c r="I23" s="774" t="s">
        <v>673</v>
      </c>
      <c r="J23" s="53">
        <f ca="1">ROUND(J13*M23,0)</f>
        <v>0</v>
      </c>
      <c r="K23" s="2337" t="s">
        <v>1762</v>
      </c>
      <c r="L23" s="774" t="s">
        <v>1738</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1.2999999999999999E-3</v>
      </c>
      <c r="D24" s="2423" t="str">
        <f>IF(F23&lt;=1,"销售费用×利率×(建设周期÷2)","销售费用×((1+利率)^(建设周期÷2)-1)")</f>
        <v>销售费用×((1+利率)^(建设周期÷2)-1)</v>
      </c>
      <c r="E24" s="774" t="s">
        <v>1764</v>
      </c>
      <c r="F24" s="808">
        <f ca="1">'数据-取费表'!B40</f>
        <v>4.3499999999999997E-2</v>
      </c>
      <c r="G24" s="3259"/>
      <c r="H24" s="2404" t="s">
        <v>1882</v>
      </c>
      <c r="I24" s="2399" t="s">
        <v>660</v>
      </c>
      <c r="J24" s="2397">
        <f ca="1">ROUND(J5*M24,0)</f>
        <v>0</v>
      </c>
      <c r="K24" s="2398" t="s">
        <v>1765</v>
      </c>
      <c r="L24" s="2399" t="s">
        <v>1738</v>
      </c>
      <c r="M24" s="2395">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2" t="s">
        <v>2801</v>
      </c>
      <c r="J25" s="782">
        <f ca="1">J5-J16</f>
        <v>-39122</v>
      </c>
      <c r="K25" s="2401" t="s">
        <v>1768</v>
      </c>
      <c r="L25" s="2402"/>
      <c r="M25" s="2403"/>
    </row>
    <row r="26" spans="1:33" ht="18" customHeight="1">
      <c r="A26" s="1577" t="s">
        <v>1822</v>
      </c>
      <c r="B26" s="774" t="s">
        <v>2422</v>
      </c>
      <c r="C26" s="53">
        <f ca="1">ROUND((C19+C20)*F26,0)</f>
        <v>49342</v>
      </c>
      <c r="D26" s="801" t="s">
        <v>1769</v>
      </c>
      <c r="E26" s="785" t="s">
        <v>1770</v>
      </c>
      <c r="F26" s="784">
        <f ca="1">INDIRECT("'数据-取费表'!q"&amp;$G$1)</f>
        <v>0.15</v>
      </c>
      <c r="G26" s="1946"/>
      <c r="H26" s="2355" t="s">
        <v>1771</v>
      </c>
      <c r="I26" s="2113" t="s">
        <v>2806</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6"/>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59"/>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6" t="s">
        <v>1883</v>
      </c>
      <c r="B29" s="2394" t="s">
        <v>2288</v>
      </c>
      <c r="C29" s="2397">
        <f ca="1">ROUND((C19+C20+C23+C26)/(1-F21-C24-C27-C28),0)</f>
        <v>433215</v>
      </c>
      <c r="D29" s="2398"/>
      <c r="E29" s="2399"/>
      <c r="F29" s="2400"/>
      <c r="G29" s="3259"/>
      <c r="H29" s="812" t="s">
        <v>1778</v>
      </c>
      <c r="I29" s="813" t="s">
        <v>1779</v>
      </c>
      <c r="J29" s="814">
        <f ca="1">ROUND(J26/(1+F40)^F41,0)</f>
        <v>0</v>
      </c>
      <c r="K29" s="815" t="s">
        <v>1780</v>
      </c>
      <c r="L29" s="816"/>
      <c r="M29" s="817">
        <f ca="1">INDIRECT("'数据-取费表'!k"&amp;$G$1)</f>
        <v>1146665.0900000001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12039</v>
      </c>
      <c r="D30" s="1737" t="s">
        <v>1782</v>
      </c>
      <c r="E30" s="2339"/>
      <c r="F30" s="2344"/>
      <c r="G30" s="1946"/>
      <c r="H30" s="1949"/>
      <c r="I30" s="1950"/>
      <c r="J30" s="1951"/>
      <c r="K30" s="1952"/>
      <c r="L30" s="1953"/>
      <c r="M30" s="1954"/>
    </row>
    <row r="31" spans="1:33" ht="18" customHeight="1">
      <c r="A31" s="1578" t="s">
        <v>1821</v>
      </c>
      <c r="B31" s="774" t="s">
        <v>650</v>
      </c>
      <c r="C31" s="3017">
        <f ca="1">ROUND(IF(AND(项目基本情况!B11="自然人",项目基本情况!B10="北京市"),C6*F31/(1+'数据-取费表'!C42),C32+C33+C34),0)</f>
        <v>8504</v>
      </c>
      <c r="D31" s="1894" t="s">
        <v>1783</v>
      </c>
      <c r="E31" s="1892" t="s">
        <v>1784</v>
      </c>
      <c r="F31" s="3016" t="str">
        <f>IF(项目基本情况!B11="企业","——",IF('数据-取费表'!B10="住宅",IF(F6*F7*F8/12/(1+'数据-取费表'!F30)&gt;100000,4%,2.5%),IF(F6*F7*F8/12/(1+'数据-取费表'!F30)&gt;100000,12%,7%)))</f>
        <v>——</v>
      </c>
      <c r="G31" s="1946"/>
      <c r="H31" s="3256" t="s">
        <v>2996</v>
      </c>
      <c r="I31" s="1950"/>
      <c r="J31" s="1951"/>
      <c r="K31" s="1952"/>
      <c r="L31" s="1953"/>
      <c r="M31" s="1954"/>
    </row>
    <row r="32" spans="1:33" ht="18" customHeight="1">
      <c r="A32" s="1577" t="s">
        <v>1822</v>
      </c>
      <c r="B32" s="774" t="s">
        <v>1785</v>
      </c>
      <c r="C32" s="53">
        <f ca="1">ROUND(C6*F32/(1+'数据-取费表'!C42),1)</f>
        <v>2630.8</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5739.9</v>
      </c>
      <c r="D33" s="800" t="s">
        <v>3065</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133.30000000000001</v>
      </c>
      <c r="D34" s="803" t="s">
        <v>1790</v>
      </c>
      <c r="E34" s="774" t="s">
        <v>1791</v>
      </c>
      <c r="F34" s="632">
        <f>'数据-取费表'!B52</f>
        <v>5</v>
      </c>
      <c r="G34" s="1946"/>
      <c r="H34" s="1949"/>
      <c r="I34" s="824" t="s">
        <v>1804</v>
      </c>
      <c r="J34" s="825"/>
      <c r="K34" s="1964"/>
      <c r="L34" s="1963"/>
      <c r="M34" s="1963"/>
    </row>
    <row r="35" spans="1:18" ht="18" customHeight="1">
      <c r="A35" s="804"/>
      <c r="B35" s="783"/>
      <c r="C35" s="69"/>
      <c r="D35" s="805"/>
      <c r="E35" s="774" t="s">
        <v>1792</v>
      </c>
      <c r="F35" s="775">
        <f ca="1">INDIRECT("'数据-取费表'!r"&amp;$G$1)</f>
        <v>266666.3</v>
      </c>
      <c r="G35" s="1946"/>
      <c r="H35" s="1949"/>
      <c r="I35" s="826" t="s">
        <v>1805</v>
      </c>
      <c r="J35" s="827">
        <f ca="1">ROUND(C13*J36,0)</f>
        <v>30325</v>
      </c>
      <c r="K35" s="1962"/>
      <c r="L35" s="1961"/>
      <c r="M35" s="1961"/>
    </row>
    <row r="36" spans="1:18" ht="18" customHeight="1">
      <c r="A36" s="1578" t="s">
        <v>1880</v>
      </c>
      <c r="B36" s="774" t="s">
        <v>1793</v>
      </c>
      <c r="C36" s="53">
        <f ca="1">ROUND(C29*F36,1)</f>
        <v>2599.3000000000002</v>
      </c>
      <c r="D36" s="1892" t="s">
        <v>1794</v>
      </c>
      <c r="E36" s="774" t="s">
        <v>1787</v>
      </c>
      <c r="F36" s="806">
        <f ca="1">INDIRECT("'数据-取费表'!Ak"&amp;$G$1)</f>
        <v>6.0000000000000001E-3</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433.2</v>
      </c>
      <c r="D37" s="1892" t="s">
        <v>1795</v>
      </c>
      <c r="E37" s="774" t="s">
        <v>1787</v>
      </c>
      <c r="F37" s="807">
        <f ca="1">INDIRECT("'数据-取费表'!Al"&amp;$G$1)</f>
        <v>1E-3</v>
      </c>
      <c r="G37" s="1946"/>
      <c r="H37" s="1961"/>
      <c r="I37" s="830" t="s">
        <v>1807</v>
      </c>
      <c r="J37" s="831"/>
      <c r="K37" s="1965"/>
      <c r="L37" s="1961"/>
      <c r="M37" s="1961"/>
    </row>
    <row r="38" spans="1:18" ht="18" customHeight="1" thickBot="1">
      <c r="A38" s="2404" t="s">
        <v>1882</v>
      </c>
      <c r="B38" s="2399" t="s">
        <v>660</v>
      </c>
      <c r="C38" s="2397">
        <f ca="1">ROUND(C5*F38,1)</f>
        <v>502.9</v>
      </c>
      <c r="D38" s="2398" t="s">
        <v>1796</v>
      </c>
      <c r="E38" s="2399" t="s">
        <v>1787</v>
      </c>
      <c r="F38" s="2395">
        <f ca="1">INDIRECT("'数据-取费表'!Am"&amp;$G$1)</f>
        <v>0.01</v>
      </c>
      <c r="G38" s="1946"/>
      <c r="H38" s="1961"/>
      <c r="I38" s="832" t="s">
        <v>1808</v>
      </c>
      <c r="J38" s="833"/>
      <c r="K38" s="1966"/>
      <c r="L38" s="1961"/>
      <c r="M38" s="1961"/>
    </row>
    <row r="39" spans="1:18" ht="24.6" customHeight="1" thickTop="1">
      <c r="A39" s="1745" t="s">
        <v>1885</v>
      </c>
      <c r="B39" s="2722" t="s">
        <v>2801</v>
      </c>
      <c r="C39" s="782">
        <f ca="1">C5-C30</f>
        <v>38248</v>
      </c>
      <c r="D39" s="2401" t="s">
        <v>1797</v>
      </c>
      <c r="E39" s="2402"/>
      <c r="F39" s="2403"/>
      <c r="G39" s="1946"/>
      <c r="H39" s="1961"/>
      <c r="I39" s="826" t="s">
        <v>1809</v>
      </c>
      <c r="J39" s="834">
        <f ca="1">ROUND(J35/C39,3)</f>
        <v>0.79300000000000004</v>
      </c>
      <c r="K39" s="1966"/>
      <c r="L39" s="1961"/>
      <c r="M39" s="1961"/>
    </row>
    <row r="40" spans="1:18" ht="18" customHeight="1">
      <c r="A40" s="771" t="s">
        <v>1886</v>
      </c>
      <c r="B40" s="2113" t="s">
        <v>2289</v>
      </c>
      <c r="C40" s="773">
        <f ca="1">ROUND(C39*(1-((1+F42)/(1+F40))^F41)/(F40-F42),0)</f>
        <v>518756</v>
      </c>
      <c r="D40" s="803" t="s">
        <v>1798</v>
      </c>
      <c r="E40" s="774" t="s">
        <v>2404</v>
      </c>
      <c r="F40" s="784">
        <f ca="1">INDIRECT("'数据-取费表'!I"&amp;$G$1)</f>
        <v>0.06</v>
      </c>
      <c r="G40" s="1946"/>
      <c r="H40" s="1946"/>
      <c r="I40" s="826" t="s">
        <v>1810</v>
      </c>
      <c r="J40" s="834">
        <f ca="1">1-J39</f>
        <v>0.20699999999999996</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20.329999999999998</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0.83499999999999996</v>
      </c>
      <c r="K42" s="1965"/>
      <c r="L42" s="1901"/>
      <c r="M42" s="1901"/>
    </row>
    <row r="43" spans="1:18" ht="18" customHeight="1" thickBot="1">
      <c r="A43" s="812" t="s">
        <v>1778</v>
      </c>
      <c r="B43" s="813" t="s">
        <v>1801</v>
      </c>
      <c r="C43" s="814">
        <f ca="1">ROUND(C40*10000/F43,0)</f>
        <v>4524</v>
      </c>
      <c r="D43" s="815" t="s">
        <v>1802</v>
      </c>
      <c r="E43" s="816" t="s">
        <v>1803</v>
      </c>
      <c r="F43" s="817">
        <f ca="1">INDIRECT("'数据-取费表'!k"&amp;$G$1)</f>
        <v>1146665.0900000001</v>
      </c>
      <c r="G43" s="1946"/>
      <c r="H43" s="1901"/>
      <c r="I43" s="836" t="s">
        <v>1813</v>
      </c>
      <c r="J43" s="837">
        <f ca="1">1-J42</f>
        <v>0.16500000000000004</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6">
        <f ca="1">C67-C40</f>
        <v>-555383</v>
      </c>
      <c r="D46" s="3260"/>
      <c r="E46" s="3260"/>
      <c r="F46" s="3260"/>
      <c r="I46" s="2234" t="s">
        <v>2328</v>
      </c>
      <c r="J46" s="2235"/>
      <c r="K46" s="2236"/>
      <c r="L46" s="2809">
        <f>IF(OR(M47="住宅",D1="土地（套用方法）"),0,IF(L48&gt;J51,L60,J60))</f>
        <v>0</v>
      </c>
      <c r="M46" s="3261"/>
      <c r="O46" s="2250" t="s">
        <v>2395</v>
      </c>
      <c r="P46" s="1527"/>
      <c r="Q46" s="1535"/>
      <c r="R46" s="1527"/>
    </row>
    <row r="47" spans="1:18" s="1943" customFormat="1" ht="18" customHeight="1" thickBot="1">
      <c r="A47" s="2228">
        <v>1</v>
      </c>
      <c r="B47" s="2229" t="s">
        <v>629</v>
      </c>
      <c r="C47" s="2426">
        <f ca="1">C48+C52+C54</f>
        <v>0</v>
      </c>
      <c r="D47" s="3260"/>
      <c r="E47" s="3260"/>
      <c r="F47" s="3260"/>
      <c r="I47" s="2800" t="s">
        <v>2329</v>
      </c>
      <c r="J47" s="2237" t="s">
        <v>3066</v>
      </c>
      <c r="K47" s="2806" t="s">
        <v>2334</v>
      </c>
      <c r="L47" s="2810">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4" t="s">
        <v>2518</v>
      </c>
      <c r="B48" s="2485" t="s">
        <v>2519</v>
      </c>
      <c r="C48" s="2230">
        <f ca="1">ROUND(F48*F50*F49*(1-F51)/10000,0)</f>
        <v>0</v>
      </c>
      <c r="D48" s="2231" t="s">
        <v>630</v>
      </c>
      <c r="E48" s="2232" t="s">
        <v>2284</v>
      </c>
      <c r="F48" s="2233"/>
      <c r="G48" s="1973"/>
      <c r="I48" s="2797" t="s">
        <v>2330</v>
      </c>
      <c r="J48" s="2238" t="s">
        <v>2335</v>
      </c>
      <c r="K48" s="2807" t="s">
        <v>2336</v>
      </c>
      <c r="L48" s="1823">
        <f ca="1">INDIRECT("'数据-取费表'!f"&amp;$G$1)</f>
        <v>23.33</v>
      </c>
      <c r="M48" s="3261"/>
      <c r="O48" s="2254" t="s">
        <v>2364</v>
      </c>
      <c r="P48" s="2255" t="s">
        <v>2390</v>
      </c>
      <c r="Q48" s="2256">
        <f ca="1">C40+J29</f>
        <v>518756</v>
      </c>
      <c r="R48" s="2255" t="s">
        <v>2365</v>
      </c>
    </row>
    <row r="49" spans="1:18" s="1943" customFormat="1" ht="18" customHeight="1" thickBot="1">
      <c r="A49" s="776"/>
      <c r="B49" s="777"/>
      <c r="C49" s="778"/>
      <c r="D49" s="779"/>
      <c r="E49" s="774" t="s">
        <v>1730</v>
      </c>
      <c r="F49" s="775">
        <f ca="1">F7</f>
        <v>1146665.0900000001</v>
      </c>
      <c r="G49" s="1973"/>
      <c r="H49" s="1976"/>
      <c r="I49" s="2797" t="s">
        <v>2331</v>
      </c>
      <c r="J49" s="2239"/>
      <c r="K49" s="2808" t="s">
        <v>2337</v>
      </c>
      <c r="L49" s="2240"/>
      <c r="M49" s="3261"/>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7" t="s">
        <v>2332</v>
      </c>
      <c r="J50" s="2804">
        <f>SUMPRODUCT((I63:I65=J47)*(J62:L62=J48)*(J63:L65))</f>
        <v>60</v>
      </c>
      <c r="K50" s="2808" t="s">
        <v>2338</v>
      </c>
      <c r="L50" s="2240"/>
      <c r="M50" s="3261"/>
      <c r="O50" s="2257" t="s">
        <v>2368</v>
      </c>
      <c r="P50" s="2255" t="s">
        <v>2392</v>
      </c>
      <c r="Q50" s="2256">
        <f ca="1">C29</f>
        <v>433215</v>
      </c>
      <c r="R50" s="2255" t="s">
        <v>2365</v>
      </c>
    </row>
    <row r="51" spans="1:18" s="1943" customFormat="1" ht="18" customHeight="1" thickBot="1">
      <c r="A51" s="776"/>
      <c r="B51" s="777"/>
      <c r="C51" s="778"/>
      <c r="D51" s="779"/>
      <c r="E51" s="774" t="s">
        <v>634</v>
      </c>
      <c r="F51" s="2227"/>
      <c r="H51" s="1976"/>
      <c r="I51" s="2801" t="s">
        <v>2333</v>
      </c>
      <c r="J51" s="2805">
        <f>IF(J49="",J50,J49+J50-YEAR('数据-取费表'!B2))</f>
        <v>60</v>
      </c>
      <c r="K51" s="2797" t="s">
        <v>2339</v>
      </c>
      <c r="L51" s="2811">
        <f ca="1">ROUND(-PV(INDIRECT("'数据-取费表'!h"&amp;$G$1),J51,(C39-C13*J36),0),0)</f>
        <v>138254</v>
      </c>
      <c r="M51" s="3261"/>
      <c r="O51" s="2257" t="s">
        <v>2369</v>
      </c>
      <c r="P51" s="2255" t="s">
        <v>2370</v>
      </c>
      <c r="Q51" s="2258" t="e">
        <f ca="1">J58</f>
        <v>#VALUE!</v>
      </c>
      <c r="R51" s="2259"/>
    </row>
    <row r="52" spans="1:18" s="1943" customFormat="1" ht="18" customHeight="1" thickBot="1">
      <c r="A52" s="771" t="s">
        <v>2517</v>
      </c>
      <c r="B52" s="2347" t="s">
        <v>2440</v>
      </c>
      <c r="C52" s="789">
        <f ca="1">ROUND(IF(F52="押一",C48/12*F11,IF(F52="押二",C48/12*2*F11,IF(F52="押三",C48/12*3*F11,C53*F11))),0)</f>
        <v>0</v>
      </c>
      <c r="D52" s="2354" t="s">
        <v>2939</v>
      </c>
      <c r="E52" s="2351" t="s">
        <v>2445</v>
      </c>
      <c r="F52" s="2465"/>
      <c r="I52" s="2802" t="s">
        <v>2406</v>
      </c>
      <c r="J52" s="2241">
        <v>0.08</v>
      </c>
      <c r="K52" s="2802" t="s">
        <v>2405</v>
      </c>
      <c r="L52" s="2241"/>
      <c r="M52" s="3261"/>
      <c r="O52" s="2257" t="s">
        <v>2371</v>
      </c>
      <c r="P52" s="2255" t="s">
        <v>2372</v>
      </c>
      <c r="Q52" s="2258">
        <f>J52</f>
        <v>0.08</v>
      </c>
      <c r="R52" s="2259"/>
    </row>
    <row r="53" spans="1:18" s="1943" customFormat="1" ht="39.75" customHeight="1" thickBot="1">
      <c r="A53" s="776"/>
      <c r="B53" s="2348" t="s">
        <v>2554</v>
      </c>
      <c r="C53" s="2352"/>
      <c r="D53" s="2354"/>
      <c r="E53" s="2351"/>
      <c r="F53" s="790"/>
      <c r="I53" s="2803" t="s">
        <v>2942</v>
      </c>
      <c r="J53" s="2856">
        <f ca="1">IF(M47="住宅",IF(D1="——",MAX(J51,L48),MAX(J51,L48-'数据-取费表'!B20)),IF(D1="——",MIN(J51,L48),MIN(J51,L48-'数据-取费表'!B20)))</f>
        <v>20.329999999999998</v>
      </c>
      <c r="K53" s="3592" t="s">
        <v>2931</v>
      </c>
      <c r="L53" s="3593"/>
      <c r="M53" s="3261"/>
      <c r="O53" s="2257" t="s">
        <v>2373</v>
      </c>
      <c r="P53" s="2255" t="s">
        <v>2374</v>
      </c>
      <c r="Q53" s="2256">
        <f ca="1">J53</f>
        <v>20.329999999999998</v>
      </c>
      <c r="R53" s="2255" t="s">
        <v>2375</v>
      </c>
    </row>
    <row r="54" spans="1:18" s="1943" customFormat="1" ht="18" customHeight="1" thickBot="1">
      <c r="A54" s="2390" t="s">
        <v>2448</v>
      </c>
      <c r="B54" s="2391" t="s">
        <v>2441</v>
      </c>
      <c r="C54" s="2392"/>
      <c r="D54" s="2354"/>
      <c r="E54" s="2351"/>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1"/>
      <c r="O54" s="2254" t="s">
        <v>2376</v>
      </c>
      <c r="P54" s="2255" t="s">
        <v>2393</v>
      </c>
      <c r="Q54" s="2256">
        <f ca="1">Q48+Q49</f>
        <v>518756</v>
      </c>
      <c r="R54" s="2259" t="s">
        <v>2377</v>
      </c>
    </row>
    <row r="55" spans="1:18" s="1943" customFormat="1" ht="18" customHeight="1" thickTop="1" thickBot="1">
      <c r="A55" s="787">
        <v>2</v>
      </c>
      <c r="B55" s="788" t="s">
        <v>638</v>
      </c>
      <c r="C55" s="789">
        <f ca="1">C13</f>
        <v>433215</v>
      </c>
      <c r="D55" s="785"/>
      <c r="E55" s="785"/>
      <c r="F55" s="790"/>
      <c r="I55" s="2814" t="s">
        <v>2340</v>
      </c>
      <c r="J55" s="2786" t="e">
        <f ca="1">ROUND(IF(J47="钢混",J57/J50,1-(1-2%)*(J50-J57)/J50),3)</f>
        <v>#VALUE!</v>
      </c>
      <c r="K55" s="2815" t="s">
        <v>2341</v>
      </c>
      <c r="L55" s="2242"/>
      <c r="M55" s="3261"/>
      <c r="O55" s="2260" t="s">
        <v>2396</v>
      </c>
      <c r="P55" s="1527"/>
      <c r="Q55" s="1535"/>
      <c r="R55" s="1527"/>
    </row>
    <row r="56" spans="1:18" s="1943" customFormat="1" ht="42.75" customHeight="1" thickBot="1">
      <c r="A56" s="1579"/>
      <c r="B56" s="2112" t="s">
        <v>2290</v>
      </c>
      <c r="C56" s="53">
        <f ca="1">C29</f>
        <v>433215</v>
      </c>
      <c r="D56" s="2481"/>
      <c r="E56" s="774"/>
      <c r="F56" s="799"/>
      <c r="I56" s="2816" t="s">
        <v>2342</v>
      </c>
      <c r="J56" s="2826" t="s">
        <v>1669</v>
      </c>
      <c r="K56" s="2797" t="s">
        <v>2347</v>
      </c>
      <c r="L56" s="1823" t="str">
        <f ca="1">IF(L48&lt;J51,"——",L48-J51)</f>
        <v>——</v>
      </c>
      <c r="M56" s="3261"/>
      <c r="O56" s="2251" t="s">
        <v>2360</v>
      </c>
      <c r="P56" s="2252" t="s">
        <v>2361</v>
      </c>
      <c r="Q56" s="2253" t="s">
        <v>2362</v>
      </c>
      <c r="R56" s="2252" t="s">
        <v>2363</v>
      </c>
    </row>
    <row r="57" spans="1:18" s="1943" customFormat="1" ht="28.5" customHeight="1" thickBot="1">
      <c r="A57" s="787" t="s">
        <v>1739</v>
      </c>
      <c r="B57" s="788" t="s">
        <v>645</v>
      </c>
      <c r="C57" s="789">
        <f ca="1">ROUND(C58+C63+C64+C65,0)</f>
        <v>3166</v>
      </c>
      <c r="D57" s="26" t="s">
        <v>1741</v>
      </c>
      <c r="E57" s="2482"/>
      <c r="F57" s="56"/>
      <c r="I57" s="2817" t="s">
        <v>2343</v>
      </c>
      <c r="J57" s="2818" t="str">
        <f ca="1">IF(OR(M47="住宅",J51&lt;L48,J56="是"),"——",J51-L48)</f>
        <v>——</v>
      </c>
      <c r="K57" s="2797" t="s">
        <v>2348</v>
      </c>
      <c r="L57" s="1823" t="str">
        <f ca="1">IF(L48&lt;J51,"——",IF(L55="比较法",L49,IF(L55="基准地价",L50,L51)))</f>
        <v>——</v>
      </c>
      <c r="M57" s="3261"/>
      <c r="O57" s="2254" t="s">
        <v>2364</v>
      </c>
      <c r="P57" s="2255" t="s">
        <v>2394</v>
      </c>
      <c r="Q57" s="2256">
        <f ca="1">C40+J29</f>
        <v>518756</v>
      </c>
      <c r="R57" s="2255" t="s">
        <v>2365</v>
      </c>
    </row>
    <row r="58" spans="1:18" s="1943" customFormat="1" ht="28.5" customHeight="1" thickBot="1">
      <c r="A58" s="1578" t="s">
        <v>1815</v>
      </c>
      <c r="B58" s="774" t="s">
        <v>650</v>
      </c>
      <c r="C58" s="3017">
        <f ca="1">ROUND(IF(AND(项目基本情况!B11="自然人",项目基本情况!B10="北京市"),C48*F58/(1+'数据-取费表'!C42),C59+C60+C61),0)</f>
        <v>133</v>
      </c>
      <c r="D58" s="2480" t="s">
        <v>651</v>
      </c>
      <c r="E58" s="2481" t="s">
        <v>684</v>
      </c>
      <c r="F58" s="3016" t="str">
        <f>IF(项目基本情况!B11="企业","——",IF('数据-取费表'!B10="住宅",IF(F48*F49*F50/12/(1+'数据-取费表'!F30)&gt;100000,4%,2.5%),IF(F48*F49*F50/12/(1+'数据-取费表'!F30)&gt;100000,12%,7%)))</f>
        <v>——</v>
      </c>
      <c r="I58" s="2817" t="s">
        <v>2344</v>
      </c>
      <c r="J58" s="2787" t="e">
        <f ca="1">IF(J55&lt;0.4,0.4,J55)</f>
        <v>#VALUE!</v>
      </c>
      <c r="K58" s="2797" t="s">
        <v>2349</v>
      </c>
      <c r="L58" s="1823" t="e">
        <f ca="1">ROUND(POWER(1+L52,L47-L48)*(POWER(1+L52,L48)-1)/(POWER(1+L52,L47)-1),4)</f>
        <v>#DIV/0!</v>
      </c>
      <c r="M58" s="3261"/>
      <c r="O58" s="2254" t="s">
        <v>2366</v>
      </c>
      <c r="P58" s="2255" t="s">
        <v>2397</v>
      </c>
      <c r="Q58" s="2256">
        <f ca="1">L60</f>
        <v>0</v>
      </c>
      <c r="R58" s="2259" t="s">
        <v>2399</v>
      </c>
    </row>
    <row r="59" spans="1:18" s="1943" customFormat="1" ht="28.5" customHeight="1" thickBot="1">
      <c r="A59" s="1577" t="s">
        <v>1822</v>
      </c>
      <c r="B59" s="774" t="s">
        <v>654</v>
      </c>
      <c r="C59" s="53">
        <f ca="1">ROUND(C47*F59/1.05,1)</f>
        <v>0</v>
      </c>
      <c r="D59" s="2481" t="s">
        <v>1747</v>
      </c>
      <c r="E59" s="774" t="s">
        <v>1738</v>
      </c>
      <c r="F59" s="799">
        <f t="shared" ref="F59:F65" si="0">F32</f>
        <v>5.5000000000000007E-2</v>
      </c>
      <c r="I59" s="2817" t="s">
        <v>2345</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1"/>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1" t="str">
        <f>D33</f>
        <v>按租金收入计税</v>
      </c>
      <c r="E60" s="774" t="s">
        <v>1738</v>
      </c>
      <c r="F60" s="799">
        <f t="shared" si="0"/>
        <v>0.12</v>
      </c>
      <c r="I60" s="2819" t="s">
        <v>2346</v>
      </c>
      <c r="J60" s="2820" t="str">
        <f ca="1">IF(OR(M47="住宅",J51&lt;L48,J56="是"),"0",ROUND(J59/(1+J52)^J53,0))</f>
        <v>0</v>
      </c>
      <c r="K60" s="2821" t="s">
        <v>2351</v>
      </c>
      <c r="L60" s="2820">
        <f ca="1">IF(OR(M47="住宅",L48&lt;J51),0,ROUND(L57*(L58/L59-1),0))</f>
        <v>0</v>
      </c>
      <c r="M60" s="3261"/>
      <c r="O60" s="2257" t="s">
        <v>2369</v>
      </c>
      <c r="P60" s="2255" t="s">
        <v>2378</v>
      </c>
      <c r="Q60" s="2258">
        <f>L52</f>
        <v>0</v>
      </c>
      <c r="R60" s="2259"/>
    </row>
    <row r="61" spans="1:18" s="1943" customFormat="1" ht="18" customHeight="1" thickBot="1">
      <c r="A61" s="1580" t="s">
        <v>1824</v>
      </c>
      <c r="B61" s="339" t="s">
        <v>662</v>
      </c>
      <c r="C61" s="54">
        <f ca="1">ROUND(F61*F62/10000,1)</f>
        <v>133.30000000000001</v>
      </c>
      <c r="D61" s="803" t="s">
        <v>663</v>
      </c>
      <c r="E61" s="774" t="s">
        <v>664</v>
      </c>
      <c r="F61" s="632">
        <f t="shared" si="0"/>
        <v>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266666.3</v>
      </c>
      <c r="I62" s="2822" t="s">
        <v>2352</v>
      </c>
      <c r="J62" s="2823" t="s">
        <v>2353</v>
      </c>
      <c r="K62" s="2823" t="s">
        <v>2354</v>
      </c>
      <c r="L62" s="2823" t="s">
        <v>2335</v>
      </c>
      <c r="M62" s="2824"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2599.3000000000002</v>
      </c>
      <c r="D63" s="2481" t="s">
        <v>1794</v>
      </c>
      <c r="E63" s="774" t="s">
        <v>1738</v>
      </c>
      <c r="F63" s="806">
        <f t="shared" ca="1" si="0"/>
        <v>6.0000000000000001E-3</v>
      </c>
      <c r="I63" s="2822" t="s">
        <v>2355</v>
      </c>
      <c r="J63" s="2823">
        <v>70</v>
      </c>
      <c r="K63" s="2823">
        <v>50</v>
      </c>
      <c r="L63" s="2823">
        <v>80</v>
      </c>
      <c r="M63" s="2825">
        <v>0.02</v>
      </c>
      <c r="O63" s="2254" t="s">
        <v>2376</v>
      </c>
      <c r="P63" s="2255" t="s">
        <v>2393</v>
      </c>
      <c r="Q63" s="2256">
        <f ca="1">Q57+Q58</f>
        <v>518756</v>
      </c>
      <c r="R63" s="2259" t="s">
        <v>2377</v>
      </c>
    </row>
    <row r="64" spans="1:18" s="1943" customFormat="1" ht="16.5" thickBot="1">
      <c r="A64" s="1578" t="s">
        <v>1881</v>
      </c>
      <c r="B64" s="774" t="s">
        <v>673</v>
      </c>
      <c r="C64" s="53">
        <f ca="1">ROUND(C55*F64,1)</f>
        <v>433.2</v>
      </c>
      <c r="D64" s="2481" t="s">
        <v>674</v>
      </c>
      <c r="E64" s="774" t="s">
        <v>1738</v>
      </c>
      <c r="F64" s="807">
        <f t="shared" ca="1" si="0"/>
        <v>1E-3</v>
      </c>
      <c r="I64" s="2822" t="s">
        <v>2356</v>
      </c>
      <c r="J64" s="2823">
        <v>50</v>
      </c>
      <c r="K64" s="2823">
        <v>35</v>
      </c>
      <c r="L64" s="2823">
        <v>60</v>
      </c>
      <c r="M64" s="835">
        <v>0</v>
      </c>
      <c r="O64" s="2260" t="s">
        <v>2400</v>
      </c>
      <c r="P64" s="1527"/>
      <c r="Q64" s="1535"/>
      <c r="R64" s="1527"/>
    </row>
    <row r="65" spans="1:18" s="1943" customFormat="1" ht="15.75" thickBot="1">
      <c r="A65" s="1578" t="s">
        <v>1882</v>
      </c>
      <c r="B65" s="774" t="s">
        <v>660</v>
      </c>
      <c r="C65" s="53">
        <f ca="1">ROUND(C47*F65,1)</f>
        <v>0</v>
      </c>
      <c r="D65" s="2481" t="s">
        <v>677</v>
      </c>
      <c r="E65" s="774" t="s">
        <v>1738</v>
      </c>
      <c r="F65" s="784">
        <f t="shared" ca="1" si="0"/>
        <v>0.01</v>
      </c>
      <c r="I65" s="2822" t="s">
        <v>2357</v>
      </c>
      <c r="J65" s="2823">
        <v>40</v>
      </c>
      <c r="K65" s="2823">
        <v>30</v>
      </c>
      <c r="L65" s="2823">
        <v>50</v>
      </c>
      <c r="M65" s="2825">
        <v>0.02</v>
      </c>
      <c r="O65" s="2251" t="s">
        <v>2360</v>
      </c>
      <c r="P65" s="2252" t="s">
        <v>2361</v>
      </c>
      <c r="Q65" s="2253" t="s">
        <v>2362</v>
      </c>
      <c r="R65" s="2252" t="s">
        <v>2363</v>
      </c>
    </row>
    <row r="66" spans="1:18" s="1943" customFormat="1" ht="24.75" thickBot="1">
      <c r="A66" s="787" t="s">
        <v>1767</v>
      </c>
      <c r="B66" s="2723" t="s">
        <v>2801</v>
      </c>
      <c r="C66" s="789">
        <f ca="1">C47-C57</f>
        <v>-3166</v>
      </c>
      <c r="D66" s="2480" t="s">
        <v>694</v>
      </c>
      <c r="E66" s="2479"/>
      <c r="F66" s="809"/>
      <c r="K66" s="1969"/>
      <c r="O66" s="2254" t="s">
        <v>2364</v>
      </c>
      <c r="P66" s="2255" t="s">
        <v>2394</v>
      </c>
      <c r="Q66" s="2256">
        <f ca="1">C40+J29</f>
        <v>518756</v>
      </c>
      <c r="R66" s="2255" t="s">
        <v>2365</v>
      </c>
    </row>
    <row r="67" spans="1:18" s="1943" customFormat="1" ht="20.25" thickBot="1">
      <c r="A67" s="771" t="s">
        <v>1771</v>
      </c>
      <c r="B67" s="2113" t="s">
        <v>2289</v>
      </c>
      <c r="C67" s="773">
        <f ca="1">ROUND(C66*(1-((1+F69)/(1+F67))^F68)/(F67-F69),0)</f>
        <v>-36627</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20.329999999999998</v>
      </c>
      <c r="O68" s="2257" t="s">
        <v>2368</v>
      </c>
      <c r="P68" s="2255" t="s">
        <v>2398</v>
      </c>
      <c r="Q68" s="2261">
        <f ca="1">L51</f>
        <v>138254</v>
      </c>
      <c r="R68" s="2262" t="s">
        <v>2401</v>
      </c>
    </row>
    <row r="69" spans="1:18" ht="20.25" thickBot="1">
      <c r="A69" s="780"/>
      <c r="B69" s="781"/>
      <c r="C69" s="782"/>
      <c r="D69" s="805"/>
      <c r="E69" s="774" t="s">
        <v>704</v>
      </c>
      <c r="F69" s="2227"/>
      <c r="O69" s="2257" t="s">
        <v>2369</v>
      </c>
      <c r="P69" s="2263" t="s">
        <v>2383</v>
      </c>
      <c r="Q69" s="2256">
        <f ca="1">ROUND(Q70-Q71*Q72,0)</f>
        <v>7923</v>
      </c>
      <c r="R69" s="2259"/>
    </row>
    <row r="70" spans="1:18" ht="15.75" thickBot="1">
      <c r="A70" s="812" t="s">
        <v>1778</v>
      </c>
      <c r="B70" s="813" t="s">
        <v>1801</v>
      </c>
      <c r="C70" s="814">
        <f ca="1">ROUND(C67*10000/F70,0)</f>
        <v>-319</v>
      </c>
      <c r="D70" s="815" t="s">
        <v>1802</v>
      </c>
      <c r="E70" s="816" t="s">
        <v>1803</v>
      </c>
      <c r="F70" s="817">
        <f ca="1">F43</f>
        <v>1146665.0900000001</v>
      </c>
      <c r="O70" s="2257" t="s">
        <v>2384</v>
      </c>
      <c r="P70" s="2263" t="s">
        <v>2385</v>
      </c>
      <c r="Q70" s="2256">
        <f ca="1">C39</f>
        <v>38248</v>
      </c>
      <c r="R70" s="2255" t="s">
        <v>2365</v>
      </c>
    </row>
    <row r="71" spans="1:18" ht="15.75" thickBot="1">
      <c r="O71" s="2257" t="s">
        <v>2386</v>
      </c>
      <c r="P71" s="2263" t="s">
        <v>2387</v>
      </c>
      <c r="Q71" s="2256">
        <f ca="1">C13</f>
        <v>433215</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518756</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4" t="s">
        <v>2452</v>
      </c>
      <c r="B1" s="3595"/>
      <c r="C1" s="3596"/>
      <c r="D1" s="3597">
        <f>SUM(I10,I15,I20,I21,I23)</f>
        <v>0</v>
      </c>
      <c r="E1" s="3597"/>
      <c r="F1" s="3597"/>
      <c r="G1" s="3597"/>
      <c r="H1" s="3597"/>
      <c r="I1" s="3598"/>
    </row>
    <row r="2" spans="1:9">
      <c r="A2" s="3599" t="s">
        <v>2453</v>
      </c>
      <c r="B2" s="3600" t="s">
        <v>2454</v>
      </c>
      <c r="C2" s="3600"/>
      <c r="D2" s="2360" t="s">
        <v>2455</v>
      </c>
      <c r="E2" s="2360" t="s">
        <v>2456</v>
      </c>
      <c r="F2" s="2360" t="s">
        <v>2457</v>
      </c>
      <c r="G2" s="2360" t="s">
        <v>2458</v>
      </c>
      <c r="H2" s="2360" t="s">
        <v>2459</v>
      </c>
      <c r="I2" s="2361" t="s">
        <v>2460</v>
      </c>
    </row>
    <row r="3" spans="1:9">
      <c r="A3" s="3599"/>
      <c r="B3" s="3600" t="s">
        <v>2461</v>
      </c>
      <c r="C3" s="3600"/>
      <c r="D3" s="2362"/>
      <c r="E3" s="2360"/>
      <c r="F3" s="2363"/>
      <c r="G3" s="2363"/>
      <c r="H3" s="2364"/>
      <c r="I3" s="2365">
        <f>ROUND(D3*E3*F3*G3*H3/10000,0)</f>
        <v>0</v>
      </c>
    </row>
    <row r="4" spans="1:9">
      <c r="A4" s="3599"/>
      <c r="B4" s="3600" t="s">
        <v>2462</v>
      </c>
      <c r="C4" s="3600"/>
      <c r="D4" s="2362"/>
      <c r="E4" s="2360"/>
      <c r="F4" s="2363"/>
      <c r="G4" s="2363"/>
      <c r="H4" s="2364"/>
      <c r="I4" s="2365">
        <f t="shared" ref="I4:I9" si="0">ROUND(D4*E4*F4*G4*H4/10000,0)</f>
        <v>0</v>
      </c>
    </row>
    <row r="5" spans="1:9">
      <c r="A5" s="3599"/>
      <c r="B5" s="3600" t="s">
        <v>2463</v>
      </c>
      <c r="C5" s="3600"/>
      <c r="D5" s="2362"/>
      <c r="E5" s="2360"/>
      <c r="F5" s="2363"/>
      <c r="G5" s="2363"/>
      <c r="H5" s="2364"/>
      <c r="I5" s="2365">
        <f t="shared" si="0"/>
        <v>0</v>
      </c>
    </row>
    <row r="6" spans="1:9">
      <c r="A6" s="3599"/>
      <c r="B6" s="3600" t="s">
        <v>2464</v>
      </c>
      <c r="C6" s="3600"/>
      <c r="D6" s="2362"/>
      <c r="E6" s="2360"/>
      <c r="F6" s="2363"/>
      <c r="G6" s="2363"/>
      <c r="H6" s="2364"/>
      <c r="I6" s="2365">
        <f t="shared" si="0"/>
        <v>0</v>
      </c>
    </row>
    <row r="7" spans="1:9">
      <c r="A7" s="3599"/>
      <c r="B7" s="3600" t="s">
        <v>2465</v>
      </c>
      <c r="C7" s="3600"/>
      <c r="D7" s="2362"/>
      <c r="E7" s="2360"/>
      <c r="F7" s="2363"/>
      <c r="G7" s="2363"/>
      <c r="H7" s="2364"/>
      <c r="I7" s="2365">
        <f t="shared" si="0"/>
        <v>0</v>
      </c>
    </row>
    <row r="8" spans="1:9">
      <c r="A8" s="3599"/>
      <c r="B8" s="3600" t="s">
        <v>2466</v>
      </c>
      <c r="C8" s="3600"/>
      <c r="D8" s="2362"/>
      <c r="E8" s="2360"/>
      <c r="F8" s="2363"/>
      <c r="G8" s="2363"/>
      <c r="H8" s="2364"/>
      <c r="I8" s="2365">
        <f t="shared" si="0"/>
        <v>0</v>
      </c>
    </row>
    <row r="9" spans="1:9">
      <c r="A9" s="3599"/>
      <c r="B9" s="3600" t="s">
        <v>2467</v>
      </c>
      <c r="C9" s="3600"/>
      <c r="D9" s="2362"/>
      <c r="E9" s="2360"/>
      <c r="F9" s="2363"/>
      <c r="G9" s="2363"/>
      <c r="H9" s="2364"/>
      <c r="I9" s="2365">
        <f t="shared" si="0"/>
        <v>0</v>
      </c>
    </row>
    <row r="10" spans="1:9">
      <c r="A10" s="3599"/>
      <c r="B10" s="3601" t="s">
        <v>2468</v>
      </c>
      <c r="C10" s="3601"/>
      <c r="D10" s="2366">
        <v>527</v>
      </c>
      <c r="E10" s="2366" t="e">
        <f>ROUND(D1*10000/D10/H9,0)</f>
        <v>#DIV/0!</v>
      </c>
      <c r="F10" s="2367"/>
      <c r="G10" s="2367"/>
      <c r="H10" s="2368"/>
      <c r="I10" s="2369">
        <f>SUM(I3:I9)</f>
        <v>0</v>
      </c>
    </row>
    <row r="11" spans="1:9" ht="14.25">
      <c r="A11" s="3599" t="s">
        <v>2469</v>
      </c>
      <c r="B11" s="3600" t="s">
        <v>2470</v>
      </c>
      <c r="C11" s="3600"/>
      <c r="D11" s="2362" t="s">
        <v>2471</v>
      </c>
      <c r="E11" s="2362" t="s">
        <v>2472</v>
      </c>
      <c r="F11" s="2363" t="s">
        <v>2473</v>
      </c>
      <c r="G11" s="2363" t="s">
        <v>2474</v>
      </c>
      <c r="H11" s="2370" t="s">
        <v>2475</v>
      </c>
      <c r="I11" s="2361" t="s">
        <v>2476</v>
      </c>
    </row>
    <row r="12" spans="1:9">
      <c r="A12" s="3599"/>
      <c r="B12" s="3600" t="s">
        <v>2477</v>
      </c>
      <c r="C12" s="3600"/>
      <c r="D12" s="2362"/>
      <c r="E12" s="2362"/>
      <c r="F12" s="2363"/>
      <c r="G12" s="2364"/>
      <c r="H12" s="2371"/>
      <c r="I12" s="2361">
        <f>ROUND(D12*E12*F12*G12/10000,0)</f>
        <v>0</v>
      </c>
    </row>
    <row r="13" spans="1:9">
      <c r="A13" s="3599"/>
      <c r="B13" s="3600" t="s">
        <v>2478</v>
      </c>
      <c r="C13" s="3600"/>
      <c r="D13" s="2362"/>
      <c r="E13" s="2362"/>
      <c r="F13" s="2363"/>
      <c r="G13" s="2364"/>
      <c r="H13" s="2371"/>
      <c r="I13" s="2361">
        <f>ROUND(D13*E13*F13*G13/10000,0)</f>
        <v>0</v>
      </c>
    </row>
    <row r="14" spans="1:9">
      <c r="A14" s="3599"/>
      <c r="B14" s="3600" t="s">
        <v>2479</v>
      </c>
      <c r="C14" s="3600"/>
      <c r="D14" s="2362"/>
      <c r="E14" s="2362"/>
      <c r="F14" s="2363"/>
      <c r="G14" s="2364"/>
      <c r="H14" s="2371"/>
      <c r="I14" s="2361">
        <f>ROUND(D14*E14*F14*G14/10000,0)</f>
        <v>0</v>
      </c>
    </row>
    <row r="15" spans="1:9">
      <c r="A15" s="3599"/>
      <c r="B15" s="3601" t="s">
        <v>2468</v>
      </c>
      <c r="C15" s="3601"/>
      <c r="D15" s="2366"/>
      <c r="E15" s="2366">
        <f>SUM(E12:E14)</f>
        <v>0</v>
      </c>
      <c r="F15" s="2367"/>
      <c r="G15" s="2364"/>
      <c r="H15" s="2371"/>
      <c r="I15" s="2372">
        <f>SUM(I12:I14)</f>
        <v>0</v>
      </c>
    </row>
    <row r="16" spans="1:9" ht="24">
      <c r="A16" s="3599" t="s">
        <v>2480</v>
      </c>
      <c r="B16" s="3600" t="s">
        <v>2481</v>
      </c>
      <c r="C16" s="3600"/>
      <c r="D16" s="2362" t="s">
        <v>2482</v>
      </c>
      <c r="E16" s="2373" t="s">
        <v>2483</v>
      </c>
      <c r="F16" s="2363" t="s">
        <v>2484</v>
      </c>
      <c r="G16" s="2364" t="s">
        <v>2474</v>
      </c>
      <c r="H16" s="2370" t="s">
        <v>2475</v>
      </c>
      <c r="I16" s="2361" t="s">
        <v>2476</v>
      </c>
    </row>
    <row r="17" spans="1:9" ht="14.25">
      <c r="A17" s="3599"/>
      <c r="B17" s="3600" t="s">
        <v>2485</v>
      </c>
      <c r="C17" s="3600"/>
      <c r="D17" s="2362"/>
      <c r="E17" s="2362"/>
      <c r="F17" s="2363"/>
      <c r="G17" s="2364"/>
      <c r="H17" s="2374"/>
      <c r="I17" s="2375">
        <f>ROUND(D17*E17*F17*G17/10000,0)</f>
        <v>0</v>
      </c>
    </row>
    <row r="18" spans="1:9" ht="14.25">
      <c r="A18" s="3599"/>
      <c r="B18" s="3600" t="s">
        <v>2486</v>
      </c>
      <c r="C18" s="3600"/>
      <c r="D18" s="2362"/>
      <c r="E18" s="2362"/>
      <c r="F18" s="2363"/>
      <c r="G18" s="2364"/>
      <c r="H18" s="2374"/>
      <c r="I18" s="2375">
        <f>ROUND(D18*E18*F18*G18/10000,0)</f>
        <v>0</v>
      </c>
    </row>
    <row r="19" spans="1:9" ht="14.25">
      <c r="A19" s="3599"/>
      <c r="B19" s="3600" t="s">
        <v>2487</v>
      </c>
      <c r="C19" s="3600"/>
      <c r="D19" s="2362"/>
      <c r="E19" s="2362"/>
      <c r="F19" s="2363"/>
      <c r="G19" s="2364"/>
      <c r="H19" s="2374"/>
      <c r="I19" s="2375">
        <f>ROUND(D19*E19*F19*G19/10000,0)</f>
        <v>0</v>
      </c>
    </row>
    <row r="20" spans="1:9">
      <c r="A20" s="3599"/>
      <c r="B20" s="3601" t="s">
        <v>2468</v>
      </c>
      <c r="C20" s="3601"/>
      <c r="D20" s="2366">
        <f>SUM(D17:D19)</f>
        <v>0</v>
      </c>
      <c r="E20" s="2366"/>
      <c r="F20" s="2367"/>
      <c r="G20" s="2364"/>
      <c r="H20" s="2371"/>
      <c r="I20" s="2372">
        <f>SUM(I17:I19)</f>
        <v>0</v>
      </c>
    </row>
    <row r="21" spans="1:9">
      <c r="A21" s="3599" t="s">
        <v>2488</v>
      </c>
      <c r="B21" s="3603"/>
      <c r="C21" s="3603"/>
      <c r="D21" s="3603"/>
      <c r="E21" s="3603"/>
      <c r="F21" s="3603"/>
      <c r="G21" s="3603"/>
      <c r="H21" s="2376">
        <v>0.1</v>
      </c>
      <c r="I21" s="2369">
        <f>ROUND(I10*H21,0)</f>
        <v>0</v>
      </c>
    </row>
    <row r="22" spans="1:9" ht="14.25">
      <c r="A22" s="3604" t="s">
        <v>2489</v>
      </c>
      <c r="B22" s="3605"/>
      <c r="C22" s="3606"/>
      <c r="D22" s="2377" t="s">
        <v>2490</v>
      </c>
      <c r="E22" s="2377" t="s">
        <v>2491</v>
      </c>
      <c r="F22" s="2378" t="s">
        <v>2492</v>
      </c>
      <c r="G22" s="2378" t="s">
        <v>2493</v>
      </c>
      <c r="H22" s="2370" t="s">
        <v>2494</v>
      </c>
      <c r="I22" s="2361" t="s">
        <v>2495</v>
      </c>
    </row>
    <row r="23" spans="1:9" ht="14.25" thickBot="1">
      <c r="A23" s="3607"/>
      <c r="B23" s="3608"/>
      <c r="C23" s="3609"/>
      <c r="D23" s="2379"/>
      <c r="E23" s="2379"/>
      <c r="F23" s="2379"/>
      <c r="G23" s="2380"/>
      <c r="H23" s="2381"/>
      <c r="I23" s="2382">
        <f>ROUND(E23*D23*F23*(1-G23)/10000,0)</f>
        <v>0</v>
      </c>
    </row>
    <row r="26" spans="1:9">
      <c r="A26" s="2383" t="s">
        <v>2496</v>
      </c>
      <c r="B26" s="2383"/>
      <c r="C26" s="2383"/>
      <c r="D26" s="2383"/>
      <c r="E26" s="3610">
        <f>C27-C30-C31-C32</f>
        <v>0</v>
      </c>
      <c r="F26" s="3610"/>
      <c r="G26" s="3610"/>
      <c r="H26" s="2754" t="s">
        <v>2822</v>
      </c>
    </row>
    <row r="27" spans="1:9">
      <c r="A27" s="2384">
        <v>1</v>
      </c>
      <c r="B27" s="2385" t="s">
        <v>2497</v>
      </c>
      <c r="C27" s="2385"/>
      <c r="D27" s="2385"/>
      <c r="E27" s="3611"/>
      <c r="F27" s="3611"/>
      <c r="G27" s="3611"/>
    </row>
    <row r="28" spans="1:9">
      <c r="A28" s="2386" t="s">
        <v>2498</v>
      </c>
      <c r="B28" s="2385" t="s">
        <v>2499</v>
      </c>
      <c r="C28" s="2385"/>
      <c r="D28" s="2385"/>
      <c r="E28" s="3611"/>
      <c r="F28" s="3611"/>
      <c r="G28" s="3611"/>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02"/>
      <c r="F32" s="3602"/>
      <c r="G32" s="3602"/>
    </row>
    <row r="33" spans="1:7" hidden="1">
      <c r="A33" s="3612" t="s">
        <v>2507</v>
      </c>
      <c r="B33" s="3613"/>
      <c r="C33" s="3613"/>
      <c r="D33" s="3614"/>
      <c r="E33" s="3610"/>
      <c r="F33" s="3610"/>
      <c r="G33" s="3610"/>
    </row>
    <row r="34" spans="1:7" hidden="1">
      <c r="A34" s="2388">
        <v>1</v>
      </c>
      <c r="B34" s="2385" t="s">
        <v>2508</v>
      </c>
      <c r="C34" s="2385"/>
      <c r="D34" s="2385"/>
      <c r="E34" s="3611"/>
      <c r="F34" s="3611"/>
      <c r="G34" s="3611"/>
    </row>
    <row r="35" spans="1:7" hidden="1">
      <c r="A35" s="2388">
        <v>2</v>
      </c>
      <c r="B35" s="2385" t="s">
        <v>2509</v>
      </c>
      <c r="C35" s="2385"/>
      <c r="D35" s="2385"/>
      <c r="E35" s="3611"/>
      <c r="F35" s="3611"/>
      <c r="G35" s="3611"/>
    </row>
    <row r="36" spans="1:7" hidden="1">
      <c r="A36" s="2388">
        <v>3</v>
      </c>
      <c r="B36" s="2385" t="s">
        <v>2510</v>
      </c>
      <c r="C36" s="2385"/>
      <c r="D36" s="2385"/>
      <c r="E36" s="3611"/>
      <c r="F36" s="3611"/>
      <c r="G36" s="3611"/>
    </row>
    <row r="37" spans="1:7" hidden="1">
      <c r="A37" s="2388">
        <v>4</v>
      </c>
      <c r="B37" s="2385" t="s">
        <v>2511</v>
      </c>
      <c r="C37" s="2385"/>
      <c r="D37" s="2385"/>
      <c r="E37" s="3611"/>
      <c r="F37" s="3611"/>
      <c r="G37" s="3611"/>
    </row>
    <row r="38" spans="1:7" hidden="1">
      <c r="A38" s="3612" t="s">
        <v>2512</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6"/>
      <c r="D2" s="3266"/>
      <c r="E2" s="3266"/>
      <c r="F2" s="3266"/>
      <c r="G2" s="3266"/>
    </row>
    <row r="3" spans="1:25" s="1943" customFormat="1" ht="18" customHeight="1">
      <c r="A3" s="1331" t="s">
        <v>1676</v>
      </c>
      <c r="B3" s="419">
        <f ca="1">ROUND(B2*10000/'数据-汇总表'!E3,0)</f>
        <v>0</v>
      </c>
      <c r="C3" s="3266"/>
      <c r="D3" s="3266"/>
      <c r="E3" s="3266"/>
      <c r="F3" s="3266"/>
      <c r="G3" s="3266"/>
    </row>
    <row r="4" spans="1:25" s="1943" customFormat="1" ht="18" customHeight="1">
      <c r="A4" s="420" t="s">
        <v>462</v>
      </c>
      <c r="B4" s="421">
        <f ca="1">ROUND(B2*10000/'数据-汇总表'!D3,0)</f>
        <v>0</v>
      </c>
      <c r="C4" s="3219"/>
      <c r="D4" s="3266"/>
      <c r="E4" s="3266"/>
      <c r="F4" s="3266"/>
      <c r="G4" s="3266"/>
    </row>
    <row r="5" spans="1:25" s="1943" customFormat="1" ht="18" customHeight="1" thickBot="1">
      <c r="A5" s="423"/>
      <c r="B5" s="424">
        <f ca="1">ROUND(B2/('数据-汇总表'!D3/666.67),0)</f>
        <v>0</v>
      </c>
      <c r="C5" s="425" t="s">
        <v>463</v>
      </c>
      <c r="D5" s="3266"/>
      <c r="E5" s="3266"/>
      <c r="F5" s="3266"/>
      <c r="G5" s="3266"/>
    </row>
    <row r="6" spans="1:25" s="2065" customFormat="1" ht="13.5" customHeight="1">
      <c r="A6" s="735"/>
      <c r="B6" s="736" t="s">
        <v>598</v>
      </c>
      <c r="C6" s="737" t="s">
        <v>599</v>
      </c>
      <c r="D6" s="737" t="s">
        <v>600</v>
      </c>
      <c r="E6" s="738" t="s">
        <v>601</v>
      </c>
      <c r="F6" s="738" t="s">
        <v>602</v>
      </c>
      <c r="G6" s="3265"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69">
        <f t="shared" ref="C8:C9" si="0">ROUND(D8*E8/10000,0)</f>
        <v>0</v>
      </c>
      <c r="D8" s="3269">
        <v>0</v>
      </c>
      <c r="E8" s="3270">
        <v>0</v>
      </c>
      <c r="F8" s="741"/>
      <c r="G8" s="742"/>
    </row>
    <row r="9" spans="1:25" s="2065" customFormat="1" ht="13.5" customHeight="1">
      <c r="A9" s="2324" t="s">
        <v>2424</v>
      </c>
      <c r="B9" s="2327" t="s">
        <v>2426</v>
      </c>
      <c r="C9" s="3269">
        <f t="shared" si="0"/>
        <v>0</v>
      </c>
      <c r="D9" s="3269">
        <v>0</v>
      </c>
      <c r="E9" s="3270">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69">
        <f>'数据-汇总表'!E5</f>
        <v>0</v>
      </c>
      <c r="E12" s="3269">
        <f>'数据-取费表'!B27</f>
        <v>75</v>
      </c>
      <c r="F12" s="746"/>
      <c r="G12" s="749"/>
    </row>
    <row r="13" spans="1:25" s="2065" customFormat="1" ht="13.5" customHeight="1">
      <c r="A13" s="2330" t="s">
        <v>2430</v>
      </c>
      <c r="B13" s="747" t="s">
        <v>606</v>
      </c>
      <c r="C13" s="748">
        <f>ROUND(D13*E13/10000,0)</f>
        <v>8600</v>
      </c>
      <c r="D13" s="3269">
        <f>'数据-汇总表'!E6</f>
        <v>1146665.0900000001</v>
      </c>
      <c r="E13" s="3269">
        <f>'数据-取费表'!B28</f>
        <v>75</v>
      </c>
      <c r="F13" s="746"/>
      <c r="G13" s="749"/>
    </row>
    <row r="14" spans="1:25" s="2065" customFormat="1" ht="13.5" customHeight="1">
      <c r="A14" s="2324" t="s">
        <v>2424</v>
      </c>
      <c r="B14" s="2329" t="s">
        <v>2427</v>
      </c>
      <c r="C14" s="3271">
        <f t="shared" ref="C14:C15" si="1">ROUND(D14*E14/10000,0)</f>
        <v>0</v>
      </c>
      <c r="D14" s="3269">
        <v>0</v>
      </c>
      <c r="E14" s="3270">
        <v>0</v>
      </c>
      <c r="F14" s="2328"/>
      <c r="G14" s="2331" t="s">
        <v>2432</v>
      </c>
    </row>
    <row r="15" spans="1:25" s="2065" customFormat="1" ht="13.5" customHeight="1">
      <c r="A15" s="2324" t="s">
        <v>2429</v>
      </c>
      <c r="B15" s="2329" t="s">
        <v>2428</v>
      </c>
      <c r="C15" s="3271">
        <f t="shared" si="1"/>
        <v>0</v>
      </c>
      <c r="D15" s="3269">
        <v>0</v>
      </c>
      <c r="E15" s="3270">
        <v>0</v>
      </c>
      <c r="F15" s="2328"/>
      <c r="G15" s="2331" t="s">
        <v>2433</v>
      </c>
    </row>
    <row r="16" spans="1:25" s="2066" customFormat="1" ht="48">
      <c r="A16" s="2324">
        <v>3</v>
      </c>
      <c r="B16" s="739" t="s">
        <v>609</v>
      </c>
      <c r="C16" s="3271">
        <f t="shared" ref="C16" si="2">ROUND(D16*E16/10000,0)</f>
        <v>0</v>
      </c>
      <c r="D16" s="3269">
        <v>0</v>
      </c>
      <c r="E16" s="3270">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0.71299999999999997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8" customFormat="1">
      <c r="A24" s="3267"/>
      <c r="D24" s="1885"/>
      <c r="E24" s="1885"/>
    </row>
    <row r="25" spans="1:25" s="3268" customFormat="1">
      <c r="A25" s="3267"/>
      <c r="D25" s="1885"/>
      <c r="E25" s="1885"/>
    </row>
    <row r="26" spans="1:25" s="3268" customFormat="1">
      <c r="A26" s="3267"/>
      <c r="D26" s="1885"/>
      <c r="E26" s="1885"/>
    </row>
    <row r="27" spans="1:25" s="3268" customFormat="1">
      <c r="A27" s="3267"/>
      <c r="D27" s="1885"/>
      <c r="E27" s="1885"/>
    </row>
    <row r="28" spans="1:25" s="3268" customFormat="1">
      <c r="A28" s="3267"/>
      <c r="D28" s="1885"/>
      <c r="E28" s="1885"/>
    </row>
    <row r="29" spans="1:25" s="3268" customFormat="1">
      <c r="A29" s="3267"/>
      <c r="D29" s="1885"/>
      <c r="E29" s="1885"/>
    </row>
    <row r="30" spans="1:25" s="3268" customFormat="1">
      <c r="A30" s="3267"/>
      <c r="D30" s="1885"/>
      <c r="E30" s="1885"/>
    </row>
    <row r="31" spans="1:25" s="3268" customFormat="1">
      <c r="A31" s="3267"/>
      <c r="D31" s="1885"/>
      <c r="E31" s="1885"/>
    </row>
    <row r="32" spans="1:25" s="3268" customFormat="1">
      <c r="A32" s="3267"/>
      <c r="D32" s="1885"/>
      <c r="E32" s="1885"/>
    </row>
    <row r="33" spans="1:5" s="3268" customFormat="1">
      <c r="A33" s="3267"/>
      <c r="D33" s="1885"/>
      <c r="E33" s="1885"/>
    </row>
    <row r="34" spans="1:5" s="3268" customFormat="1">
      <c r="A34" s="3267"/>
      <c r="D34" s="1885"/>
      <c r="E34" s="1885"/>
    </row>
    <row r="35" spans="1:5" s="3268" customFormat="1">
      <c r="A35" s="3267"/>
      <c r="D35" s="1885"/>
      <c r="E35" s="1885"/>
    </row>
    <row r="36" spans="1:5" s="3268" customFormat="1">
      <c r="A36" s="3267"/>
      <c r="D36" s="1885"/>
      <c r="E36" s="1885"/>
    </row>
    <row r="37" spans="1:5" s="3268" customFormat="1">
      <c r="A37" s="3267"/>
      <c r="D37" s="1885"/>
      <c r="E37" s="1885"/>
    </row>
    <row r="38" spans="1:5" s="3268" customFormat="1">
      <c r="A38" s="3267"/>
      <c r="D38" s="1885"/>
      <c r="E38" s="1885"/>
    </row>
    <row r="39" spans="1:5" s="3268" customFormat="1">
      <c r="A39" s="3267"/>
      <c r="D39" s="1885"/>
      <c r="E39" s="1885"/>
    </row>
    <row r="40" spans="1:5" s="3268" customFormat="1">
      <c r="A40" s="3267"/>
      <c r="D40" s="1885"/>
      <c r="E40" s="1885"/>
    </row>
    <row r="41" spans="1:5" s="3268" customFormat="1">
      <c r="A41" s="3267"/>
      <c r="D41" s="1885"/>
      <c r="E41" s="1885"/>
    </row>
    <row r="42" spans="1:5" s="3268" customFormat="1">
      <c r="A42" s="3267"/>
      <c r="D42" s="1885"/>
      <c r="E42" s="1885"/>
    </row>
    <row r="43" spans="1:5" s="3268" customFormat="1">
      <c r="A43" s="3267"/>
      <c r="D43" s="1885"/>
      <c r="E43" s="1885"/>
    </row>
    <row r="44" spans="1:5" s="3268" customFormat="1">
      <c r="A44" s="3267"/>
      <c r="D44" s="1885"/>
      <c r="E44" s="1885"/>
    </row>
    <row r="45" spans="1:5" s="3268" customFormat="1">
      <c r="A45" s="3267"/>
      <c r="D45" s="1885"/>
      <c r="E45" s="1885"/>
    </row>
    <row r="46" spans="1:5" s="3268" customFormat="1">
      <c r="A46" s="3267"/>
      <c r="D46" s="1885"/>
      <c r="E46" s="1885"/>
    </row>
    <row r="47" spans="1:5" s="3268" customFormat="1">
      <c r="A47" s="3267"/>
      <c r="D47" s="1885"/>
      <c r="E47" s="1885"/>
    </row>
    <row r="48" spans="1:5" s="3268" customFormat="1">
      <c r="A48" s="3267"/>
      <c r="D48" s="1885"/>
      <c r="E48" s="1885"/>
    </row>
    <row r="49" spans="1:5" s="3268" customFormat="1">
      <c r="A49" s="3267"/>
      <c r="D49" s="1885"/>
      <c r="E49" s="1885"/>
    </row>
    <row r="50" spans="1:5" s="3268" customFormat="1">
      <c r="A50" s="3267"/>
      <c r="D50" s="1885"/>
      <c r="E50" s="1885"/>
    </row>
    <row r="51" spans="1:5" s="3268" customFormat="1">
      <c r="A51" s="3267"/>
      <c r="D51" s="1885"/>
      <c r="E51" s="1885"/>
    </row>
    <row r="52" spans="1:5" s="3268" customFormat="1">
      <c r="A52" s="3267"/>
      <c r="D52" s="1885"/>
      <c r="E52" s="1885"/>
    </row>
    <row r="53" spans="1:5" s="3268" customFormat="1">
      <c r="A53" s="3267"/>
      <c r="D53" s="1885"/>
      <c r="E53" s="1885"/>
    </row>
    <row r="54" spans="1:5" s="3268" customFormat="1">
      <c r="A54" s="3267"/>
      <c r="D54" s="1885"/>
      <c r="E54" s="1885"/>
    </row>
    <row r="55" spans="1:5" s="3268" customFormat="1">
      <c r="A55" s="3267"/>
      <c r="D55" s="1885"/>
      <c r="E55" s="1885"/>
    </row>
    <row r="56" spans="1:5" s="3268" customFormat="1">
      <c r="A56" s="3267"/>
      <c r="D56" s="1885"/>
      <c r="E56" s="1885"/>
    </row>
    <row r="57" spans="1:5" s="3268" customFormat="1">
      <c r="A57" s="3267"/>
      <c r="D57" s="1885"/>
      <c r="E57" s="1885"/>
    </row>
    <row r="58" spans="1:5" s="3268" customFormat="1">
      <c r="A58" s="3267"/>
      <c r="D58" s="1885"/>
      <c r="E58" s="1885"/>
    </row>
    <row r="59" spans="1:5" s="3268" customFormat="1">
      <c r="A59" s="3267"/>
      <c r="D59" s="1885"/>
      <c r="E59" s="1885"/>
    </row>
    <row r="60" spans="1:5" s="3268" customFormat="1">
      <c r="A60" s="3267"/>
      <c r="D60" s="1885"/>
      <c r="E60" s="1885"/>
    </row>
    <row r="61" spans="1:5" s="3268" customFormat="1">
      <c r="A61" s="3267"/>
      <c r="D61" s="1885"/>
      <c r="E61" s="1885"/>
    </row>
    <row r="62" spans="1:5" s="3268" customFormat="1">
      <c r="A62" s="3267"/>
      <c r="D62" s="1885"/>
      <c r="E62" s="1885"/>
    </row>
    <row r="63" spans="1:5" s="3268" customFormat="1">
      <c r="A63" s="3267"/>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10"/>
      <c r="F1" s="2524"/>
      <c r="G1" s="1532" t="s">
        <v>715</v>
      </c>
      <c r="H1" s="500"/>
      <c r="I1" s="500"/>
      <c r="J1" s="500"/>
      <c r="K1" s="501"/>
      <c r="L1" s="3208"/>
      <c r="M1" s="3209"/>
      <c r="N1" s="3209"/>
      <c r="O1" s="3209"/>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4" t="s">
        <v>516</v>
      </c>
      <c r="D4" s="3505"/>
      <c r="E4" s="3538" t="s">
        <v>517</v>
      </c>
      <c r="F4" s="3539"/>
      <c r="G4" s="3504" t="s">
        <v>518</v>
      </c>
      <c r="H4" s="3505"/>
      <c r="I4" s="3504" t="s">
        <v>519</v>
      </c>
      <c r="J4" s="3505"/>
      <c r="K4" s="842" t="s">
        <v>520</v>
      </c>
      <c r="L4" s="2016"/>
      <c r="M4" s="2017"/>
      <c r="N4" s="2017"/>
      <c r="O4" s="2017"/>
      <c r="P4" s="3506" t="s">
        <v>521</v>
      </c>
      <c r="Q4" s="3507"/>
      <c r="R4" s="3512" t="s">
        <v>517</v>
      </c>
      <c r="S4" s="3513"/>
      <c r="T4" s="3512" t="s">
        <v>518</v>
      </c>
      <c r="U4" s="3513"/>
      <c r="V4" s="3499" t="s">
        <v>519</v>
      </c>
      <c r="W4" s="3499"/>
      <c r="X4" s="1502"/>
      <c r="Y4" s="3512" t="s">
        <v>521</v>
      </c>
      <c r="Z4" s="3513"/>
      <c r="AA4" s="3501" t="s">
        <v>517</v>
      </c>
      <c r="AB4" s="3501" t="s">
        <v>518</v>
      </c>
      <c r="AC4" s="3501" t="s">
        <v>519</v>
      </c>
    </row>
    <row r="5" spans="1:29" ht="15">
      <c r="A5" s="509"/>
      <c r="B5" s="510"/>
      <c r="C5" s="3520" t="s">
        <v>2897</v>
      </c>
      <c r="D5" s="3521"/>
      <c r="E5" s="3540" t="s">
        <v>2898</v>
      </c>
      <c r="F5" s="3541"/>
      <c r="G5" s="3520" t="s">
        <v>2899</v>
      </c>
      <c r="H5" s="3521"/>
      <c r="I5" s="3520" t="s">
        <v>2900</v>
      </c>
      <c r="J5" s="3521"/>
      <c r="K5" s="843"/>
      <c r="L5" s="2016"/>
      <c r="M5" s="2017"/>
      <c r="N5" s="2017"/>
      <c r="O5" s="2017"/>
      <c r="P5" s="3508"/>
      <c r="Q5" s="3509"/>
      <c r="R5" s="3514"/>
      <c r="S5" s="3515"/>
      <c r="T5" s="3514"/>
      <c r="U5" s="3515"/>
      <c r="V5" s="3499"/>
      <c r="W5" s="3499"/>
      <c r="X5" s="1502"/>
      <c r="Y5" s="3514"/>
      <c r="Z5" s="3515"/>
      <c r="AA5" s="3502"/>
      <c r="AB5" s="3502"/>
      <c r="AC5" s="3502"/>
    </row>
    <row r="6" spans="1:29" ht="15.75" thickBot="1">
      <c r="A6" s="511"/>
      <c r="B6" s="512"/>
      <c r="C6" s="3518" t="s">
        <v>2901</v>
      </c>
      <c r="D6" s="3519"/>
      <c r="E6" s="3536" t="s">
        <v>2901</v>
      </c>
      <c r="F6" s="3537"/>
      <c r="G6" s="3518" t="s">
        <v>2901</v>
      </c>
      <c r="H6" s="3519"/>
      <c r="I6" s="3518" t="s">
        <v>2901</v>
      </c>
      <c r="J6" s="3519"/>
      <c r="K6" s="843" t="s">
        <v>522</v>
      </c>
      <c r="L6" s="2016"/>
      <c r="M6" s="2017"/>
      <c r="N6" s="2017"/>
      <c r="O6" s="2017"/>
      <c r="P6" s="3510"/>
      <c r="Q6" s="3511"/>
      <c r="R6" s="3514"/>
      <c r="S6" s="3515"/>
      <c r="T6" s="3516"/>
      <c r="U6" s="3517"/>
      <c r="V6" s="3499"/>
      <c r="W6" s="3499"/>
      <c r="X6" s="1502"/>
      <c r="Y6" s="3516"/>
      <c r="Z6" s="3517"/>
      <c r="AA6" s="3503"/>
      <c r="AB6" s="3503"/>
      <c r="AC6" s="3503"/>
    </row>
    <row r="7" spans="1:29" s="1203" customFormat="1" ht="15.75" thickBot="1">
      <c r="A7" s="2629"/>
      <c r="B7" s="2636" t="s">
        <v>523</v>
      </c>
      <c r="C7" s="513">
        <f>'数据-取费表'!B2</f>
        <v>44499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29" t="s">
        <v>524</v>
      </c>
      <c r="Q7" s="3531"/>
      <c r="R7" s="1503" t="s">
        <v>13</v>
      </c>
      <c r="S7" s="1504">
        <f t="shared" ref="S7:S15" si="0">F7</f>
        <v>0</v>
      </c>
      <c r="T7" s="1503" t="s">
        <v>13</v>
      </c>
      <c r="U7" s="1504">
        <f t="shared" ref="U7:U15" si="1">H7</f>
        <v>0</v>
      </c>
      <c r="V7" s="1503" t="s">
        <v>13</v>
      </c>
      <c r="W7" s="1504">
        <f t="shared" ref="W7:W15"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29" t="s">
        <v>527</v>
      </c>
      <c r="Q8" s="3530"/>
      <c r="R8" s="1503" t="s">
        <v>13</v>
      </c>
      <c r="S8" s="1504">
        <f t="shared" si="0"/>
        <v>0</v>
      </c>
      <c r="T8" s="1503" t="s">
        <v>13</v>
      </c>
      <c r="U8" s="1504">
        <f t="shared" si="1"/>
        <v>0</v>
      </c>
      <c r="V8" s="1503" t="s">
        <v>13</v>
      </c>
      <c r="W8" s="1504">
        <f t="shared" si="2"/>
        <v>0</v>
      </c>
      <c r="X8" s="1505"/>
      <c r="Y8" s="3529" t="s">
        <v>527</v>
      </c>
      <c r="Z8" s="3530"/>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8" t="s">
        <v>529</v>
      </c>
      <c r="Q9" s="1134" t="str">
        <f t="shared" ref="Q9:Q15" si="6">B9</f>
        <v>用途</v>
      </c>
      <c r="R9" s="1503" t="s">
        <v>8</v>
      </c>
      <c r="S9" s="1504">
        <f t="shared" si="0"/>
        <v>100</v>
      </c>
      <c r="T9" s="1503" t="s">
        <v>8</v>
      </c>
      <c r="U9" s="1504">
        <f t="shared" si="1"/>
        <v>100</v>
      </c>
      <c r="V9" s="1503" t="s">
        <v>8</v>
      </c>
      <c r="W9" s="1504">
        <f t="shared" si="2"/>
        <v>100</v>
      </c>
      <c r="X9" s="1505"/>
      <c r="Y9" s="3444"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98"/>
      <c r="Q11" s="1134" t="str">
        <f t="shared" si="6"/>
        <v>容积率</v>
      </c>
      <c r="R11" s="1503" t="s">
        <v>11</v>
      </c>
      <c r="S11" s="1504" t="e">
        <f t="shared" si="0"/>
        <v>#N/A</v>
      </c>
      <c r="T11" s="1503" t="s">
        <v>11</v>
      </c>
      <c r="U11" s="1504" t="e">
        <f t="shared" si="1"/>
        <v>#N/A</v>
      </c>
      <c r="V11" s="1503" t="s">
        <v>11</v>
      </c>
      <c r="W11" s="1504" t="e">
        <f t="shared" si="2"/>
        <v>#N/A</v>
      </c>
      <c r="X11" s="1505"/>
      <c r="Y11" s="344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8"/>
      <c r="Q12" s="1134">
        <f t="shared" si="6"/>
        <v>111</v>
      </c>
      <c r="R12" s="1503" t="s">
        <v>11</v>
      </c>
      <c r="S12" s="1504">
        <f t="shared" si="0"/>
        <v>100</v>
      </c>
      <c r="T12" s="1503" t="s">
        <v>11</v>
      </c>
      <c r="U12" s="1504">
        <f t="shared" si="1"/>
        <v>100</v>
      </c>
      <c r="V12" s="1503" t="s">
        <v>11</v>
      </c>
      <c r="W12" s="1504">
        <f t="shared" si="2"/>
        <v>100</v>
      </c>
      <c r="X12" s="1505"/>
      <c r="Y12" s="3444"/>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8"/>
      <c r="Q13" s="1134">
        <f t="shared" si="6"/>
        <v>111</v>
      </c>
      <c r="R13" s="1503" t="s">
        <v>11</v>
      </c>
      <c r="S13" s="1504">
        <f t="shared" si="0"/>
        <v>100</v>
      </c>
      <c r="T13" s="1503" t="s">
        <v>11</v>
      </c>
      <c r="U13" s="1504">
        <f t="shared" si="1"/>
        <v>100</v>
      </c>
      <c r="V13" s="1503" t="s">
        <v>11</v>
      </c>
      <c r="W13" s="1504">
        <f t="shared" si="2"/>
        <v>100</v>
      </c>
      <c r="X13" s="1505"/>
      <c r="Y13" s="3444"/>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8"/>
      <c r="Q14" s="1134">
        <f t="shared" si="6"/>
        <v>111</v>
      </c>
      <c r="R14" s="1503" t="s">
        <v>11</v>
      </c>
      <c r="S14" s="1504">
        <f t="shared" si="0"/>
        <v>100</v>
      </c>
      <c r="T14" s="1503" t="s">
        <v>11</v>
      </c>
      <c r="U14" s="1504">
        <f t="shared" si="1"/>
        <v>100</v>
      </c>
      <c r="V14" s="1503" t="s">
        <v>11</v>
      </c>
      <c r="W14" s="1504">
        <f t="shared" si="2"/>
        <v>100</v>
      </c>
      <c r="X14" s="1505"/>
      <c r="Y14" s="3444"/>
      <c r="Z14" s="1133">
        <f t="shared" si="7"/>
        <v>111</v>
      </c>
      <c r="AA14" s="1506">
        <f t="shared" si="3"/>
        <v>1</v>
      </c>
      <c r="AB14" s="1506">
        <f t="shared" si="4"/>
        <v>1</v>
      </c>
      <c r="AC14" s="1506">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32" t="s">
        <v>534</v>
      </c>
      <c r="Q15" s="1507" t="str">
        <f t="shared" si="6"/>
        <v>居住社区成熟度</v>
      </c>
      <c r="R15" s="1508" t="s">
        <v>11</v>
      </c>
      <c r="S15" s="1509">
        <f t="shared" si="0"/>
        <v>100</v>
      </c>
      <c r="T15" s="1508" t="s">
        <v>11</v>
      </c>
      <c r="U15" s="1509">
        <f t="shared" si="1"/>
        <v>100</v>
      </c>
      <c r="V15" s="1508" t="s">
        <v>11</v>
      </c>
      <c r="W15" s="1509">
        <f t="shared" si="2"/>
        <v>100</v>
      </c>
      <c r="X15" s="1502"/>
      <c r="Y15" s="3532"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33"/>
      <c r="Q16" s="1507"/>
      <c r="R16" s="1508"/>
      <c r="S16" s="1509"/>
      <c r="T16" s="1508"/>
      <c r="U16" s="1509"/>
      <c r="V16" s="1508"/>
      <c r="W16" s="1509"/>
      <c r="X16" s="1502"/>
      <c r="Y16" s="353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33"/>
      <c r="Q17" s="1507" t="str">
        <f>B17</f>
        <v>交通便捷度</v>
      </c>
      <c r="R17" s="1508" t="s">
        <v>11</v>
      </c>
      <c r="S17" s="1509">
        <f>F17</f>
        <v>100</v>
      </c>
      <c r="T17" s="1508" t="s">
        <v>11</v>
      </c>
      <c r="U17" s="1509">
        <f>H17</f>
        <v>100</v>
      </c>
      <c r="V17" s="1508" t="s">
        <v>11</v>
      </c>
      <c r="W17" s="1509">
        <f>J17</f>
        <v>100</v>
      </c>
      <c r="X17" s="1502"/>
      <c r="Y17" s="353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33"/>
      <c r="Q18" s="1507"/>
      <c r="R18" s="1508"/>
      <c r="S18" s="1509"/>
      <c r="T18" s="1508"/>
      <c r="U18" s="1509"/>
      <c r="V18" s="1508"/>
      <c r="W18" s="1509"/>
      <c r="X18" s="1502"/>
      <c r="Y18" s="3533"/>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33"/>
      <c r="Q19" s="1507" t="str">
        <f>B19</f>
        <v>公共配套设施</v>
      </c>
      <c r="R19" s="1508" t="s">
        <v>11</v>
      </c>
      <c r="S19" s="1509">
        <f>F19</f>
        <v>100</v>
      </c>
      <c r="T19" s="1508" t="s">
        <v>11</v>
      </c>
      <c r="U19" s="1509">
        <f>H19</f>
        <v>100</v>
      </c>
      <c r="V19" s="1508" t="s">
        <v>11</v>
      </c>
      <c r="W19" s="1509">
        <f>J19</f>
        <v>100</v>
      </c>
      <c r="X19" s="1502"/>
      <c r="Y19" s="353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33"/>
      <c r="Q20" s="1507"/>
      <c r="R20" s="1508"/>
      <c r="S20" s="1509"/>
      <c r="T20" s="1508"/>
      <c r="U20" s="1509"/>
      <c r="V20" s="1508"/>
      <c r="W20" s="1509"/>
      <c r="X20" s="1502"/>
      <c r="Y20" s="3533"/>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33"/>
      <c r="Q21" s="2429" t="str">
        <f>B21</f>
        <v>基础设施水平</v>
      </c>
      <c r="R21" s="1508" t="s">
        <v>11</v>
      </c>
      <c r="S21" s="1509">
        <f>F21</f>
        <v>100</v>
      </c>
      <c r="T21" s="1508" t="s">
        <v>11</v>
      </c>
      <c r="U21" s="1509">
        <f>H21</f>
        <v>100</v>
      </c>
      <c r="V21" s="1508" t="s">
        <v>11</v>
      </c>
      <c r="W21" s="1509">
        <f>J21</f>
        <v>100</v>
      </c>
      <c r="X21" s="2431"/>
      <c r="Y21" s="353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5"/>
      <c r="M22" s="2017"/>
      <c r="N22" s="2017"/>
      <c r="O22" s="2024"/>
      <c r="P22" s="3533"/>
      <c r="Q22" s="2429"/>
      <c r="R22" s="1508"/>
      <c r="S22" s="1509"/>
      <c r="T22" s="1508"/>
      <c r="U22" s="1509"/>
      <c r="V22" s="1508"/>
      <c r="W22" s="1509"/>
      <c r="X22" s="2431"/>
      <c r="Y22" s="3533"/>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33"/>
      <c r="Q23" s="1507" t="str">
        <f>B23</f>
        <v>自然及人文环境</v>
      </c>
      <c r="R23" s="1508" t="s">
        <v>11</v>
      </c>
      <c r="S23" s="1509">
        <f>F23</f>
        <v>100</v>
      </c>
      <c r="T23" s="1508" t="s">
        <v>11</v>
      </c>
      <c r="U23" s="1509">
        <f>H23</f>
        <v>100</v>
      </c>
      <c r="V23" s="1508" t="s">
        <v>11</v>
      </c>
      <c r="W23" s="1509">
        <f>J23</f>
        <v>100</v>
      </c>
      <c r="X23" s="1502"/>
      <c r="Y23" s="353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33"/>
      <c r="Q24" s="1507"/>
      <c r="R24" s="1508"/>
      <c r="S24" s="1509"/>
      <c r="T24" s="1508"/>
      <c r="U24" s="1509"/>
      <c r="V24" s="1508"/>
      <c r="W24" s="1509"/>
      <c r="X24" s="1502"/>
      <c r="Y24" s="3533"/>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33"/>
      <c r="Q25" s="1507" t="str">
        <f t="shared" ref="Q25:Q46" si="11">B25</f>
        <v>楼层-1</v>
      </c>
      <c r="R25" s="1508" t="s">
        <v>11</v>
      </c>
      <c r="S25" s="1509">
        <f>F25</f>
        <v>100</v>
      </c>
      <c r="T25" s="1508" t="s">
        <v>11</v>
      </c>
      <c r="U25" s="1509">
        <f>H25</f>
        <v>100</v>
      </c>
      <c r="V25" s="1508" t="s">
        <v>11</v>
      </c>
      <c r="W25" s="1509">
        <f>J25</f>
        <v>100</v>
      </c>
      <c r="X25" s="1502"/>
      <c r="Y25" s="3533"/>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33"/>
      <c r="Q26" s="1507" t="str">
        <f t="shared" si="11"/>
        <v>朝向</v>
      </c>
      <c r="R26" s="1508" t="s">
        <v>11</v>
      </c>
      <c r="S26" s="1509">
        <f>F26</f>
        <v>100</v>
      </c>
      <c r="T26" s="1508" t="s">
        <v>11</v>
      </c>
      <c r="U26" s="1509">
        <f>H26</f>
        <v>100</v>
      </c>
      <c r="V26" s="1508" t="s">
        <v>11</v>
      </c>
      <c r="W26" s="1509">
        <f>J26</f>
        <v>100</v>
      </c>
      <c r="X26" s="1502"/>
      <c r="Y26" s="3533"/>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33"/>
      <c r="Q27" s="1134" t="str">
        <f t="shared" si="11"/>
        <v>道路级别</v>
      </c>
      <c r="R27" s="1503" t="s">
        <v>11</v>
      </c>
      <c r="S27" s="1504">
        <f>F27</f>
        <v>100</v>
      </c>
      <c r="T27" s="1503" t="s">
        <v>11</v>
      </c>
      <c r="U27" s="1504">
        <f>H27</f>
        <v>100</v>
      </c>
      <c r="V27" s="1503" t="s">
        <v>11</v>
      </c>
      <c r="W27" s="1504">
        <f>J27</f>
        <v>100</v>
      </c>
      <c r="X27" s="1505"/>
      <c r="Y27" s="3533"/>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3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33"/>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33"/>
      <c r="Q29" s="1507">
        <f t="shared" si="11"/>
        <v>111</v>
      </c>
      <c r="R29" s="1508" t="s">
        <v>11</v>
      </c>
      <c r="S29" s="1509">
        <f t="shared" si="12"/>
        <v>100</v>
      </c>
      <c r="T29" s="1508" t="s">
        <v>11</v>
      </c>
      <c r="U29" s="1509">
        <f t="shared" si="13"/>
        <v>100</v>
      </c>
      <c r="V29" s="1508" t="s">
        <v>11</v>
      </c>
      <c r="W29" s="1509">
        <f t="shared" si="14"/>
        <v>100</v>
      </c>
      <c r="X29" s="1502"/>
      <c r="Y29" s="353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33"/>
      <c r="Q30" s="1507">
        <f t="shared" si="11"/>
        <v>111</v>
      </c>
      <c r="R30" s="1508" t="s">
        <v>11</v>
      </c>
      <c r="S30" s="1509">
        <f t="shared" si="12"/>
        <v>100</v>
      </c>
      <c r="T30" s="1508" t="s">
        <v>11</v>
      </c>
      <c r="U30" s="1509">
        <f t="shared" si="13"/>
        <v>100</v>
      </c>
      <c r="V30" s="1508" t="s">
        <v>11</v>
      </c>
      <c r="W30" s="1509">
        <f t="shared" si="14"/>
        <v>100</v>
      </c>
      <c r="X30" s="1502"/>
      <c r="Y30" s="3533"/>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33"/>
      <c r="Q31" s="1507">
        <f t="shared" si="11"/>
        <v>111</v>
      </c>
      <c r="R31" s="1508" t="s">
        <v>11</v>
      </c>
      <c r="S31" s="1509">
        <f t="shared" si="12"/>
        <v>100</v>
      </c>
      <c r="T31" s="1508" t="s">
        <v>11</v>
      </c>
      <c r="U31" s="1509">
        <f t="shared" si="13"/>
        <v>100</v>
      </c>
      <c r="V31" s="1508" t="s">
        <v>11</v>
      </c>
      <c r="W31" s="1509">
        <f t="shared" si="14"/>
        <v>100</v>
      </c>
      <c r="X31" s="1502"/>
      <c r="Y31" s="3533"/>
      <c r="Z31" s="1510">
        <f t="shared" si="15"/>
        <v>111</v>
      </c>
      <c r="AA31" s="1511">
        <f t="shared" si="3"/>
        <v>1</v>
      </c>
      <c r="AB31" s="1511">
        <f t="shared" si="4"/>
        <v>1</v>
      </c>
      <c r="AC31" s="1511">
        <f t="shared" si="5"/>
        <v>1</v>
      </c>
    </row>
    <row r="32" spans="1:29" ht="15">
      <c r="A32" s="2624"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34" t="s">
        <v>544</v>
      </c>
      <c r="Q32" s="1507" t="str">
        <f t="shared" si="11"/>
        <v>建筑类型</v>
      </c>
      <c r="R32" s="1508" t="s">
        <v>11</v>
      </c>
      <c r="S32" s="1509">
        <f t="shared" si="12"/>
        <v>100</v>
      </c>
      <c r="T32" s="1508" t="s">
        <v>11</v>
      </c>
      <c r="U32" s="1509">
        <f t="shared" si="13"/>
        <v>100</v>
      </c>
      <c r="V32" s="1508" t="s">
        <v>11</v>
      </c>
      <c r="W32" s="1509">
        <f t="shared" si="14"/>
        <v>100</v>
      </c>
      <c r="X32" s="1502"/>
      <c r="Y32" s="3535"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35"/>
      <c r="Q33" s="1536" t="str">
        <f t="shared" si="11"/>
        <v>项目建筑规模</v>
      </c>
      <c r="R33" s="1512" t="s">
        <v>11</v>
      </c>
      <c r="S33" s="1513" t="e">
        <f t="shared" si="12"/>
        <v>#N/A</v>
      </c>
      <c r="T33" s="1512" t="s">
        <v>11</v>
      </c>
      <c r="U33" s="1513" t="e">
        <f t="shared" si="13"/>
        <v>#N/A</v>
      </c>
      <c r="V33" s="1512" t="s">
        <v>11</v>
      </c>
      <c r="W33" s="1513" t="e">
        <f t="shared" si="14"/>
        <v>#N/A</v>
      </c>
      <c r="X33" s="1514"/>
      <c r="Y33" s="353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35"/>
      <c r="Q34" s="1507" t="str">
        <f t="shared" si="11"/>
        <v>建筑结构</v>
      </c>
      <c r="R34" s="1508" t="s">
        <v>11</v>
      </c>
      <c r="S34" s="1509">
        <f t="shared" si="12"/>
        <v>100</v>
      </c>
      <c r="T34" s="1508" t="s">
        <v>11</v>
      </c>
      <c r="U34" s="1509">
        <f t="shared" si="13"/>
        <v>100</v>
      </c>
      <c r="V34" s="1508" t="s">
        <v>11</v>
      </c>
      <c r="W34" s="1509">
        <f t="shared" si="14"/>
        <v>100</v>
      </c>
      <c r="X34" s="1502"/>
      <c r="Y34" s="3535"/>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35"/>
      <c r="Q35" s="1507" t="str">
        <f t="shared" si="11"/>
        <v>建筑品质</v>
      </c>
      <c r="R35" s="1508" t="s">
        <v>11</v>
      </c>
      <c r="S35" s="1509">
        <f t="shared" si="12"/>
        <v>100</v>
      </c>
      <c r="T35" s="1508" t="s">
        <v>11</v>
      </c>
      <c r="U35" s="1509">
        <f t="shared" si="13"/>
        <v>100</v>
      </c>
      <c r="V35" s="1508" t="s">
        <v>11</v>
      </c>
      <c r="W35" s="1509">
        <f t="shared" si="14"/>
        <v>100</v>
      </c>
      <c r="X35" s="1502"/>
      <c r="Y35" s="3535"/>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35"/>
      <c r="Q36" s="1507" t="str">
        <f t="shared" si="11"/>
        <v>公共部分装修</v>
      </c>
      <c r="R36" s="1508" t="s">
        <v>11</v>
      </c>
      <c r="S36" s="1509">
        <f t="shared" si="12"/>
        <v>100</v>
      </c>
      <c r="T36" s="1508" t="s">
        <v>11</v>
      </c>
      <c r="U36" s="1509">
        <f t="shared" si="13"/>
        <v>100</v>
      </c>
      <c r="V36" s="1508" t="s">
        <v>11</v>
      </c>
      <c r="W36" s="1509">
        <f t="shared" si="14"/>
        <v>100</v>
      </c>
      <c r="X36" s="1502"/>
      <c r="Y36" s="3535"/>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35"/>
      <c r="Q37" s="1134" t="str">
        <f t="shared" si="11"/>
        <v>成新度</v>
      </c>
      <c r="R37" s="1503" t="s">
        <v>11</v>
      </c>
      <c r="S37" s="1504" t="e">
        <f t="shared" si="12"/>
        <v>#N/A</v>
      </c>
      <c r="T37" s="1503" t="s">
        <v>11</v>
      </c>
      <c r="U37" s="1504" t="e">
        <f t="shared" si="13"/>
        <v>#N/A</v>
      </c>
      <c r="V37" s="1503" t="s">
        <v>11</v>
      </c>
      <c r="W37" s="1504" t="e">
        <f t="shared" si="14"/>
        <v>#N/A</v>
      </c>
      <c r="X37" s="1505"/>
      <c r="Y37" s="3535"/>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35" t="s">
        <v>544</v>
      </c>
      <c r="Q38" s="1507" t="str">
        <f t="shared" si="11"/>
        <v>物业管理</v>
      </c>
      <c r="R38" s="1508" t="s">
        <v>11</v>
      </c>
      <c r="S38" s="1509">
        <f t="shared" si="12"/>
        <v>100</v>
      </c>
      <c r="T38" s="1508" t="s">
        <v>11</v>
      </c>
      <c r="U38" s="1509">
        <f t="shared" si="13"/>
        <v>100</v>
      </c>
      <c r="V38" s="1508" t="s">
        <v>11</v>
      </c>
      <c r="W38" s="1509">
        <f t="shared" si="14"/>
        <v>100</v>
      </c>
      <c r="X38" s="1502"/>
      <c r="Y38" s="3535"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35"/>
      <c r="Q39" s="1507" t="str">
        <f t="shared" si="11"/>
        <v>市政基础设施</v>
      </c>
      <c r="R39" s="1508" t="s">
        <v>11</v>
      </c>
      <c r="S39" s="1509">
        <f t="shared" si="12"/>
        <v>100</v>
      </c>
      <c r="T39" s="1508" t="s">
        <v>11</v>
      </c>
      <c r="U39" s="1509">
        <f t="shared" si="13"/>
        <v>100</v>
      </c>
      <c r="V39" s="1508" t="s">
        <v>11</v>
      </c>
      <c r="W39" s="1509">
        <f t="shared" si="14"/>
        <v>100</v>
      </c>
      <c r="X39" s="1502"/>
      <c r="Y39" s="3535"/>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35"/>
      <c r="Q40" s="1507" t="str">
        <f t="shared" si="11"/>
        <v>房型</v>
      </c>
      <c r="R40" s="1508" t="s">
        <v>11</v>
      </c>
      <c r="S40" s="1509">
        <f t="shared" si="12"/>
        <v>100</v>
      </c>
      <c r="T40" s="1508" t="s">
        <v>11</v>
      </c>
      <c r="U40" s="1509">
        <f t="shared" si="13"/>
        <v>100</v>
      </c>
      <c r="V40" s="1508" t="s">
        <v>11</v>
      </c>
      <c r="W40" s="1509">
        <f t="shared" si="14"/>
        <v>100</v>
      </c>
      <c r="X40" s="1502"/>
      <c r="Y40" s="3535"/>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35"/>
      <c r="Q41" s="1536" t="str">
        <f t="shared" si="11"/>
        <v>单套/主力户型建筑面积</v>
      </c>
      <c r="R41" s="1512" t="s">
        <v>11</v>
      </c>
      <c r="S41" s="1513">
        <f t="shared" si="12"/>
        <v>100</v>
      </c>
      <c r="T41" s="1512" t="s">
        <v>11</v>
      </c>
      <c r="U41" s="1513">
        <f t="shared" si="13"/>
        <v>100</v>
      </c>
      <c r="V41" s="1512" t="s">
        <v>11</v>
      </c>
      <c r="W41" s="1513">
        <f t="shared" si="14"/>
        <v>100</v>
      </c>
      <c r="X41" s="1514"/>
      <c r="Y41" s="3535"/>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35"/>
      <c r="Q42" s="1507" t="str">
        <f t="shared" si="11"/>
        <v>内部装修</v>
      </c>
      <c r="R42" s="1508" t="s">
        <v>11</v>
      </c>
      <c r="S42" s="1509">
        <f t="shared" si="12"/>
        <v>100</v>
      </c>
      <c r="T42" s="1508" t="s">
        <v>11</v>
      </c>
      <c r="U42" s="1509">
        <f t="shared" si="13"/>
        <v>100</v>
      </c>
      <c r="V42" s="1508" t="s">
        <v>11</v>
      </c>
      <c r="W42" s="1509">
        <f t="shared" si="14"/>
        <v>100</v>
      </c>
      <c r="X42" s="1502"/>
      <c r="Y42" s="3535"/>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35"/>
      <c r="Q43" s="1507" t="str">
        <f t="shared" si="11"/>
        <v>内部装修维护情况</v>
      </c>
      <c r="R43" s="1508" t="s">
        <v>11</v>
      </c>
      <c r="S43" s="1509">
        <f t="shared" si="12"/>
        <v>100</v>
      </c>
      <c r="T43" s="1508" t="s">
        <v>11</v>
      </c>
      <c r="U43" s="1509">
        <f t="shared" si="13"/>
        <v>100</v>
      </c>
      <c r="V43" s="1508" t="s">
        <v>11</v>
      </c>
      <c r="W43" s="1509">
        <f t="shared" si="14"/>
        <v>100</v>
      </c>
      <c r="X43" s="1502"/>
      <c r="Y43" s="353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35"/>
      <c r="Q44" s="1134">
        <f t="shared" si="11"/>
        <v>111</v>
      </c>
      <c r="R44" s="1503" t="s">
        <v>11</v>
      </c>
      <c r="S44" s="1504">
        <f t="shared" si="12"/>
        <v>100</v>
      </c>
      <c r="T44" s="1503" t="s">
        <v>11</v>
      </c>
      <c r="U44" s="1504">
        <f t="shared" si="13"/>
        <v>100</v>
      </c>
      <c r="V44" s="1503" t="s">
        <v>11</v>
      </c>
      <c r="W44" s="1504">
        <f t="shared" si="14"/>
        <v>100</v>
      </c>
      <c r="X44" s="1505"/>
      <c r="Y44" s="353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35"/>
      <c r="Q45" s="1507">
        <f t="shared" si="11"/>
        <v>111</v>
      </c>
      <c r="R45" s="1508" t="s">
        <v>11</v>
      </c>
      <c r="S45" s="1509">
        <f t="shared" si="12"/>
        <v>100</v>
      </c>
      <c r="T45" s="1508" t="s">
        <v>11</v>
      </c>
      <c r="U45" s="1509">
        <f t="shared" si="13"/>
        <v>100</v>
      </c>
      <c r="V45" s="1508" t="s">
        <v>11</v>
      </c>
      <c r="W45" s="1509">
        <f t="shared" si="14"/>
        <v>100</v>
      </c>
      <c r="X45" s="1502"/>
      <c r="Y45" s="3535"/>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7"/>
      <c r="Q46" s="1507">
        <f t="shared" si="11"/>
        <v>111</v>
      </c>
      <c r="R46" s="1508" t="s">
        <v>10</v>
      </c>
      <c r="S46" s="1509">
        <f t="shared" si="12"/>
        <v>100</v>
      </c>
      <c r="T46" s="1508" t="s">
        <v>10</v>
      </c>
      <c r="U46" s="1509">
        <f t="shared" si="13"/>
        <v>100</v>
      </c>
      <c r="V46" s="1508" t="s">
        <v>10</v>
      </c>
      <c r="W46" s="1509">
        <f t="shared" si="14"/>
        <v>100</v>
      </c>
      <c r="X46" s="1502"/>
      <c r="Y46" s="3617"/>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7"/>
      <c r="M47" s="2028"/>
      <c r="N47" s="2017"/>
      <c r="O47" s="2028"/>
      <c r="P47" s="3498" t="str">
        <f>A47</f>
        <v>成交单价（元/平方米）</v>
      </c>
      <c r="Q47" s="3498"/>
      <c r="R47" s="3616">
        <f>E47</f>
        <v>0</v>
      </c>
      <c r="S47" s="3616"/>
      <c r="T47" s="3616">
        <f>G47</f>
        <v>0</v>
      </c>
      <c r="U47" s="3616"/>
      <c r="V47" s="3616">
        <f>I47</f>
        <v>0</v>
      </c>
      <c r="W47" s="3616"/>
      <c r="X47" s="1497"/>
      <c r="Y47" s="1516"/>
      <c r="Z47" s="1497"/>
      <c r="AA47" s="1497"/>
      <c r="AB47" s="1497"/>
      <c r="AC47" s="1497"/>
    </row>
    <row r="48" spans="1:29" ht="15.75" thickBot="1">
      <c r="A48" s="609" t="s">
        <v>2740</v>
      </c>
      <c r="B48" s="877"/>
      <c r="C48" s="2476" t="e">
        <f>R49</f>
        <v>#DIV/0!</v>
      </c>
      <c r="D48" s="3012" t="s">
        <v>2971</v>
      </c>
      <c r="E48" s="2477" t="e">
        <f>R48</f>
        <v>#DIV/0!</v>
      </c>
      <c r="F48" s="3013"/>
      <c r="G48" s="2476" t="e">
        <f>T48</f>
        <v>#DIV/0!</v>
      </c>
      <c r="H48" s="3013"/>
      <c r="I48" s="2477" t="e">
        <f>V48</f>
        <v>#DIV/0!</v>
      </c>
      <c r="J48" s="3013"/>
      <c r="K48" s="3021">
        <f>F48+H48+J48</f>
        <v>0</v>
      </c>
      <c r="L48" s="2027"/>
      <c r="M48" s="2028"/>
      <c r="N48" s="2028"/>
      <c r="O48" s="2028"/>
      <c r="P48" s="3498" t="str">
        <f>A48</f>
        <v>比较价格（元/平方米）</v>
      </c>
      <c r="Q48" s="3498"/>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7"/>
      <c r="M49" s="2028"/>
      <c r="N49" s="2028"/>
      <c r="O49" s="2028"/>
      <c r="P49" s="3495" t="str">
        <f>A49</f>
        <v>估价对象XX用房的比较价格（楼面单价，元/平方米）</v>
      </c>
      <c r="Q49" s="3496"/>
      <c r="R49" s="3615" t="e">
        <f>IF(F1="售价",ROUND(IF(D48="简单平均",AVERAGE(R48:V48),R48*F48+T48*H48+V48*J48),0),ROUND(IF(D48="简单平均",AVERAGE(R48:V48),R48*F48+T48*H48+V48*J48),1))</f>
        <v>#DIV/0!</v>
      </c>
      <c r="S49" s="3615"/>
      <c r="T49" s="3615"/>
      <c r="U49" s="3615"/>
      <c r="V49" s="3615"/>
      <c r="W49" s="3615"/>
      <c r="X49" s="1497"/>
      <c r="Y49" s="1497"/>
      <c r="Z49" s="1497"/>
      <c r="AA49" s="1497"/>
      <c r="AB49" s="1497"/>
      <c r="AC49" s="1497"/>
    </row>
    <row r="50" spans="1:29">
      <c r="A50" s="3212"/>
      <c r="B50" s="3212"/>
      <c r="C50" s="3212"/>
      <c r="D50" s="3212"/>
      <c r="E50" s="3212"/>
      <c r="F50" s="3212"/>
      <c r="G50" s="3214"/>
      <c r="H50" s="3212"/>
      <c r="I50" s="3212"/>
      <c r="J50" s="3212"/>
      <c r="K50" s="3215"/>
      <c r="L50" s="2032"/>
      <c r="M50" s="2028"/>
      <c r="N50" s="2028"/>
      <c r="O50" s="2028"/>
      <c r="P50" s="2028"/>
      <c r="Q50" s="2028"/>
      <c r="R50" s="2028"/>
      <c r="S50" s="2028"/>
      <c r="T50" s="2028"/>
      <c r="U50" s="2028"/>
      <c r="V50" s="2028"/>
      <c r="W50" s="2028"/>
      <c r="X50" s="2028"/>
      <c r="Y50" s="2028"/>
      <c r="Z50" s="2028"/>
      <c r="AA50" s="2028"/>
      <c r="AB50" s="2028"/>
      <c r="AC50" s="2028"/>
    </row>
    <row r="51" spans="1:29">
      <c r="A51" s="3212"/>
      <c r="B51" s="3212"/>
      <c r="C51" s="3212"/>
      <c r="D51" s="3212"/>
      <c r="E51" s="3212"/>
      <c r="F51" s="3212"/>
      <c r="G51" s="3212"/>
      <c r="H51" s="3212"/>
      <c r="I51" s="3212"/>
      <c r="J51" s="3212"/>
      <c r="K51" s="3215"/>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1" t="str">
        <f>YEAR(C7)&amp;"-"&amp;MONTH(C7)</f>
        <v>2021-10</v>
      </c>
      <c r="D58" s="2521">
        <f>EDATE(C58,-1)</f>
        <v>44440</v>
      </c>
      <c r="E58" s="2521">
        <f t="shared" ref="E58:O58" si="16">EDATE(D58,-1)</f>
        <v>44409</v>
      </c>
      <c r="F58" s="2521">
        <f t="shared" si="16"/>
        <v>44378</v>
      </c>
      <c r="G58" s="2521">
        <f t="shared" si="16"/>
        <v>44348</v>
      </c>
      <c r="H58" s="2521">
        <f t="shared" si="16"/>
        <v>44317</v>
      </c>
      <c r="I58" s="2521">
        <f t="shared" si="16"/>
        <v>44287</v>
      </c>
      <c r="J58" s="2521">
        <f t="shared" si="16"/>
        <v>44256</v>
      </c>
      <c r="K58" s="2521">
        <f t="shared" si="16"/>
        <v>44228</v>
      </c>
      <c r="L58" s="2521">
        <f t="shared" si="16"/>
        <v>44197</v>
      </c>
      <c r="M58" s="2521">
        <f t="shared" si="16"/>
        <v>44166</v>
      </c>
      <c r="N58" s="2521">
        <f t="shared" si="16"/>
        <v>44136</v>
      </c>
      <c r="O58" s="2521">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4"/>
      <c r="G1" s="1532" t="s">
        <v>715</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04" t="s">
        <v>516</v>
      </c>
      <c r="D4" s="3505"/>
      <c r="E4" s="3538" t="s">
        <v>517</v>
      </c>
      <c r="F4" s="3539"/>
      <c r="G4" s="3504" t="s">
        <v>518</v>
      </c>
      <c r="H4" s="3505"/>
      <c r="I4" s="3504" t="s">
        <v>519</v>
      </c>
      <c r="J4" s="3505"/>
      <c r="K4" s="508" t="s">
        <v>520</v>
      </c>
      <c r="L4" s="2016"/>
      <c r="M4" s="2017"/>
      <c r="N4" s="2017"/>
      <c r="O4" s="2017"/>
      <c r="P4" s="3506" t="s">
        <v>521</v>
      </c>
      <c r="Q4" s="3507"/>
      <c r="R4" s="3512" t="s">
        <v>517</v>
      </c>
      <c r="S4" s="3513"/>
      <c r="T4" s="3512" t="s">
        <v>518</v>
      </c>
      <c r="U4" s="3513"/>
      <c r="V4" s="3499" t="s">
        <v>519</v>
      </c>
      <c r="W4" s="3499"/>
      <c r="X4" s="1502"/>
      <c r="Y4" s="3512" t="s">
        <v>521</v>
      </c>
      <c r="Z4" s="3513"/>
      <c r="AA4" s="3501" t="s">
        <v>517</v>
      </c>
      <c r="AB4" s="3499" t="s">
        <v>518</v>
      </c>
      <c r="AC4" s="3501" t="s">
        <v>519</v>
      </c>
    </row>
    <row r="5" spans="1:29" ht="15">
      <c r="A5" s="509"/>
      <c r="B5" s="510"/>
      <c r="C5" s="3520" t="s">
        <v>2897</v>
      </c>
      <c r="D5" s="3521"/>
      <c r="E5" s="3540" t="s">
        <v>2898</v>
      </c>
      <c r="F5" s="3541"/>
      <c r="G5" s="3520" t="s">
        <v>2899</v>
      </c>
      <c r="H5" s="3521"/>
      <c r="I5" s="3520" t="s">
        <v>2900</v>
      </c>
      <c r="J5" s="3521"/>
      <c r="K5" s="508"/>
      <c r="L5" s="2016"/>
      <c r="M5" s="2017"/>
      <c r="N5" s="2017"/>
      <c r="O5" s="2017"/>
      <c r="P5" s="3508"/>
      <c r="Q5" s="3509"/>
      <c r="R5" s="3514"/>
      <c r="S5" s="3515"/>
      <c r="T5" s="3514"/>
      <c r="U5" s="3515"/>
      <c r="V5" s="3499"/>
      <c r="W5" s="3499"/>
      <c r="X5" s="1502"/>
      <c r="Y5" s="3514"/>
      <c r="Z5" s="3515"/>
      <c r="AA5" s="3502"/>
      <c r="AB5" s="3499"/>
      <c r="AC5" s="3502"/>
    </row>
    <row r="6" spans="1:29" ht="15.75" thickBot="1">
      <c r="A6" s="511"/>
      <c r="B6" s="512"/>
      <c r="C6" s="3518" t="s">
        <v>2901</v>
      </c>
      <c r="D6" s="3519"/>
      <c r="E6" s="3536" t="s">
        <v>2901</v>
      </c>
      <c r="F6" s="3537"/>
      <c r="G6" s="3518" t="s">
        <v>2901</v>
      </c>
      <c r="H6" s="3519"/>
      <c r="I6" s="3518" t="s">
        <v>2901</v>
      </c>
      <c r="J6" s="3519"/>
      <c r="K6" s="508" t="s">
        <v>522</v>
      </c>
      <c r="L6" s="2016"/>
      <c r="M6" s="2017"/>
      <c r="N6" s="2017"/>
      <c r="O6" s="2017"/>
      <c r="P6" s="3510"/>
      <c r="Q6" s="3511"/>
      <c r="R6" s="3514"/>
      <c r="S6" s="3515"/>
      <c r="T6" s="3516"/>
      <c r="U6" s="3517"/>
      <c r="V6" s="3499"/>
      <c r="W6" s="3499"/>
      <c r="X6" s="1502"/>
      <c r="Y6" s="3516"/>
      <c r="Z6" s="3517"/>
      <c r="AA6" s="3503"/>
      <c r="AB6" s="3499"/>
      <c r="AC6" s="3503"/>
    </row>
    <row r="7" spans="1:29" s="1203" customFormat="1" ht="15.75" thickBot="1">
      <c r="A7" s="2629"/>
      <c r="B7" s="2636" t="s">
        <v>523</v>
      </c>
      <c r="C7" s="513">
        <f>'数据-取费表'!B2</f>
        <v>44499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29" t="s">
        <v>524</v>
      </c>
      <c r="Q7" s="3531"/>
      <c r="R7" s="1503" t="s">
        <v>8</v>
      </c>
      <c r="S7" s="1504">
        <f t="shared" ref="S7:S15" si="0">F7</f>
        <v>0</v>
      </c>
      <c r="T7" s="1503" t="s">
        <v>8</v>
      </c>
      <c r="U7" s="1504">
        <f t="shared" ref="U7:U15" si="1">H7</f>
        <v>0</v>
      </c>
      <c r="V7" s="1503" t="s">
        <v>8</v>
      </c>
      <c r="W7" s="1504">
        <f t="shared" ref="W7:W15"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29" t="s">
        <v>527</v>
      </c>
      <c r="Q8" s="3530"/>
      <c r="R8" s="1503" t="s">
        <v>8</v>
      </c>
      <c r="S8" s="1504">
        <f t="shared" si="0"/>
        <v>0</v>
      </c>
      <c r="T8" s="1503" t="s">
        <v>8</v>
      </c>
      <c r="U8" s="1504">
        <f t="shared" si="1"/>
        <v>0</v>
      </c>
      <c r="V8" s="1503" t="s">
        <v>8</v>
      </c>
      <c r="W8" s="1504">
        <f t="shared" si="2"/>
        <v>0</v>
      </c>
      <c r="X8" s="1505"/>
      <c r="Y8" s="3529" t="s">
        <v>527</v>
      </c>
      <c r="Z8" s="3530"/>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8" t="s">
        <v>529</v>
      </c>
      <c r="Q9" s="1134" t="str">
        <f t="shared" ref="Q9:Q15" si="6">B9</f>
        <v>用途</v>
      </c>
      <c r="R9" s="1503" t="s">
        <v>8</v>
      </c>
      <c r="S9" s="1504">
        <f t="shared" si="0"/>
        <v>100</v>
      </c>
      <c r="T9" s="1503" t="s">
        <v>8</v>
      </c>
      <c r="U9" s="1504">
        <f t="shared" si="1"/>
        <v>100</v>
      </c>
      <c r="V9" s="1503" t="s">
        <v>8</v>
      </c>
      <c r="W9" s="1504">
        <f t="shared" si="2"/>
        <v>100</v>
      </c>
      <c r="X9" s="1505"/>
      <c r="Y9" s="3444"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8"/>
      <c r="Q11" s="1134" t="str">
        <f t="shared" si="6"/>
        <v>容积率</v>
      </c>
      <c r="R11" s="1503" t="s">
        <v>8</v>
      </c>
      <c r="S11" s="1504" t="e">
        <f t="shared" si="0"/>
        <v>#N/A</v>
      </c>
      <c r="T11" s="1503" t="s">
        <v>8</v>
      </c>
      <c r="U11" s="1504" t="e">
        <f t="shared" si="1"/>
        <v>#N/A</v>
      </c>
      <c r="V11" s="1503" t="s">
        <v>8</v>
      </c>
      <c r="W11" s="1504" t="e">
        <f t="shared" si="2"/>
        <v>#N/A</v>
      </c>
      <c r="X11" s="1505"/>
      <c r="Y11" s="344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8"/>
      <c r="Q12" s="1134">
        <f t="shared" si="6"/>
        <v>111</v>
      </c>
      <c r="R12" s="1503" t="s">
        <v>8</v>
      </c>
      <c r="S12" s="1504">
        <f t="shared" si="0"/>
        <v>100</v>
      </c>
      <c r="T12" s="1503" t="s">
        <v>8</v>
      </c>
      <c r="U12" s="1504">
        <f t="shared" si="1"/>
        <v>100</v>
      </c>
      <c r="V12" s="1503" t="s">
        <v>8</v>
      </c>
      <c r="W12" s="1504">
        <f t="shared" si="2"/>
        <v>100</v>
      </c>
      <c r="X12" s="1505"/>
      <c r="Y12" s="3444"/>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8"/>
      <c r="Q13" s="1134">
        <f t="shared" si="6"/>
        <v>111</v>
      </c>
      <c r="R13" s="1503" t="s">
        <v>8</v>
      </c>
      <c r="S13" s="1504">
        <f t="shared" si="0"/>
        <v>100</v>
      </c>
      <c r="T13" s="1503" t="s">
        <v>8</v>
      </c>
      <c r="U13" s="1504">
        <f t="shared" si="1"/>
        <v>100</v>
      </c>
      <c r="V13" s="1503" t="s">
        <v>8</v>
      </c>
      <c r="W13" s="1504">
        <f t="shared" si="2"/>
        <v>100</v>
      </c>
      <c r="X13" s="1505"/>
      <c r="Y13" s="3444"/>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8"/>
      <c r="Q14" s="1134">
        <f t="shared" si="6"/>
        <v>111</v>
      </c>
      <c r="R14" s="1503" t="s">
        <v>8</v>
      </c>
      <c r="S14" s="1504">
        <f t="shared" si="0"/>
        <v>100</v>
      </c>
      <c r="T14" s="1503" t="s">
        <v>8</v>
      </c>
      <c r="U14" s="1504">
        <f t="shared" si="1"/>
        <v>100</v>
      </c>
      <c r="V14" s="1503" t="s">
        <v>8</v>
      </c>
      <c r="W14" s="1504">
        <f t="shared" si="2"/>
        <v>100</v>
      </c>
      <c r="X14" s="1505"/>
      <c r="Y14" s="3444"/>
      <c r="Z14" s="1133">
        <f t="shared" si="7"/>
        <v>111</v>
      </c>
      <c r="AA14" s="1506">
        <f t="shared" si="3"/>
        <v>1</v>
      </c>
      <c r="AB14" s="1506">
        <f t="shared" si="4"/>
        <v>1</v>
      </c>
      <c r="AC14" s="1506">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32" t="s">
        <v>534</v>
      </c>
      <c r="Q15" s="1507" t="str">
        <f t="shared" si="6"/>
        <v>商业繁华度</v>
      </c>
      <c r="R15" s="1508" t="s">
        <v>8</v>
      </c>
      <c r="S15" s="1509">
        <f t="shared" si="0"/>
        <v>100</v>
      </c>
      <c r="T15" s="1508" t="s">
        <v>8</v>
      </c>
      <c r="U15" s="1509">
        <f t="shared" si="1"/>
        <v>100</v>
      </c>
      <c r="V15" s="1508" t="s">
        <v>8</v>
      </c>
      <c r="W15" s="1509">
        <f t="shared" si="2"/>
        <v>100</v>
      </c>
      <c r="X15" s="1502"/>
      <c r="Y15" s="353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3"/>
      <c r="Q16" s="1507"/>
      <c r="R16" s="1508"/>
      <c r="S16" s="1509"/>
      <c r="T16" s="1508"/>
      <c r="U16" s="1509"/>
      <c r="V16" s="1508"/>
      <c r="W16" s="1509"/>
      <c r="X16" s="1502"/>
      <c r="Y16" s="353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33"/>
      <c r="Q17" s="1507" t="str">
        <f>B17</f>
        <v>交通便捷度</v>
      </c>
      <c r="R17" s="1508" t="s">
        <v>8</v>
      </c>
      <c r="S17" s="1509">
        <f>F17</f>
        <v>100</v>
      </c>
      <c r="T17" s="1508" t="s">
        <v>8</v>
      </c>
      <c r="U17" s="1509">
        <f>H17</f>
        <v>100</v>
      </c>
      <c r="V17" s="1508" t="s">
        <v>8</v>
      </c>
      <c r="W17" s="1509">
        <f>J17</f>
        <v>100</v>
      </c>
      <c r="X17" s="1502"/>
      <c r="Y17" s="353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3"/>
      <c r="Q18" s="1507"/>
      <c r="R18" s="1508"/>
      <c r="S18" s="1509"/>
      <c r="T18" s="1508"/>
      <c r="U18" s="1509"/>
      <c r="V18" s="1508"/>
      <c r="W18" s="1509"/>
      <c r="X18" s="1502"/>
      <c r="Y18" s="3533"/>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33"/>
      <c r="Q19" s="1507" t="str">
        <f>B19</f>
        <v>公共配套设施</v>
      </c>
      <c r="R19" s="1508" t="s">
        <v>8</v>
      </c>
      <c r="S19" s="1509">
        <f>F19</f>
        <v>100</v>
      </c>
      <c r="T19" s="1508" t="s">
        <v>8</v>
      </c>
      <c r="U19" s="1509">
        <f>H19</f>
        <v>100</v>
      </c>
      <c r="V19" s="1508" t="s">
        <v>8</v>
      </c>
      <c r="W19" s="1509">
        <f>J19</f>
        <v>100</v>
      </c>
      <c r="X19" s="1502"/>
      <c r="Y19" s="353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33"/>
      <c r="Q20" s="1507"/>
      <c r="R20" s="1508"/>
      <c r="S20" s="1509"/>
      <c r="T20" s="1508"/>
      <c r="U20" s="1509"/>
      <c r="V20" s="1508"/>
      <c r="W20" s="1509"/>
      <c r="X20" s="1502"/>
      <c r="Y20" s="3533"/>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33"/>
      <c r="Q21" s="2429" t="str">
        <f>B21</f>
        <v>基础设施水平</v>
      </c>
      <c r="R21" s="1508" t="s">
        <v>8</v>
      </c>
      <c r="S21" s="1509">
        <f>F21</f>
        <v>100</v>
      </c>
      <c r="T21" s="1508" t="s">
        <v>8</v>
      </c>
      <c r="U21" s="1509">
        <f>H21</f>
        <v>100</v>
      </c>
      <c r="V21" s="1508" t="s">
        <v>8</v>
      </c>
      <c r="W21" s="1509">
        <f>J21</f>
        <v>100</v>
      </c>
      <c r="X21" s="2431"/>
      <c r="Y21" s="353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5"/>
      <c r="M22" s="2017"/>
      <c r="N22" s="2017"/>
      <c r="O22" s="2024"/>
      <c r="P22" s="3533"/>
      <c r="Q22" s="2429"/>
      <c r="R22" s="1508"/>
      <c r="S22" s="1509"/>
      <c r="T22" s="1508"/>
      <c r="U22" s="1509"/>
      <c r="V22" s="1508"/>
      <c r="W22" s="1509"/>
      <c r="X22" s="2431"/>
      <c r="Y22" s="3533"/>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33"/>
      <c r="Q23" s="1507" t="str">
        <f>B23</f>
        <v>自然及人文环境</v>
      </c>
      <c r="R23" s="1508" t="s">
        <v>8</v>
      </c>
      <c r="S23" s="1509">
        <f>F23</f>
        <v>100</v>
      </c>
      <c r="T23" s="1508" t="s">
        <v>8</v>
      </c>
      <c r="U23" s="1509">
        <f>H23</f>
        <v>100</v>
      </c>
      <c r="V23" s="1508" t="s">
        <v>8</v>
      </c>
      <c r="W23" s="1509">
        <f>J23</f>
        <v>100</v>
      </c>
      <c r="X23" s="1502"/>
      <c r="Y23" s="353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33"/>
      <c r="Q24" s="1507"/>
      <c r="R24" s="1508"/>
      <c r="S24" s="1509"/>
      <c r="T24" s="1508"/>
      <c r="U24" s="1509"/>
      <c r="V24" s="1508"/>
      <c r="W24" s="1509"/>
      <c r="X24" s="1502"/>
      <c r="Y24" s="353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33"/>
      <c r="Q25" s="1507" t="str">
        <f t="shared" ref="Q25:Q46" si="11">B25</f>
        <v>临街状况</v>
      </c>
      <c r="R25" s="1508" t="s">
        <v>8</v>
      </c>
      <c r="S25" s="1509">
        <f>F25</f>
        <v>100</v>
      </c>
      <c r="T25" s="1508" t="s">
        <v>8</v>
      </c>
      <c r="U25" s="1509">
        <f>H25</f>
        <v>100</v>
      </c>
      <c r="V25" s="1508" t="s">
        <v>8</v>
      </c>
      <c r="W25" s="1509">
        <f>J25</f>
        <v>100</v>
      </c>
      <c r="X25" s="1502"/>
      <c r="Y25" s="353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33"/>
      <c r="Q26" s="1507" t="str">
        <f t="shared" si="11"/>
        <v>平面位置/可视性</v>
      </c>
      <c r="R26" s="1508" t="s">
        <v>8</v>
      </c>
      <c r="S26" s="1509">
        <f>F26</f>
        <v>100</v>
      </c>
      <c r="T26" s="1508" t="s">
        <v>8</v>
      </c>
      <c r="U26" s="1509">
        <f>H26</f>
        <v>100</v>
      </c>
      <c r="V26" s="1508" t="s">
        <v>8</v>
      </c>
      <c r="W26" s="1509">
        <f>J26</f>
        <v>100</v>
      </c>
      <c r="X26" s="1502"/>
      <c r="Y26" s="353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33"/>
      <c r="Q27" s="1134" t="str">
        <f t="shared" si="11"/>
        <v>人流量</v>
      </c>
      <c r="R27" s="1503" t="s">
        <v>8</v>
      </c>
      <c r="S27" s="1504">
        <f>F27</f>
        <v>100</v>
      </c>
      <c r="T27" s="1503" t="s">
        <v>8</v>
      </c>
      <c r="U27" s="1504">
        <f>H27</f>
        <v>100</v>
      </c>
      <c r="V27" s="1503" t="s">
        <v>8</v>
      </c>
      <c r="W27" s="1504">
        <f>J27</f>
        <v>100</v>
      </c>
      <c r="X27" s="1505"/>
      <c r="Y27" s="353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3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3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33"/>
      <c r="Q29" s="1507">
        <f t="shared" si="11"/>
        <v>111</v>
      </c>
      <c r="R29" s="1508" t="s">
        <v>8</v>
      </c>
      <c r="S29" s="1509">
        <f t="shared" si="12"/>
        <v>100</v>
      </c>
      <c r="T29" s="1508" t="s">
        <v>8</v>
      </c>
      <c r="U29" s="1509">
        <f t="shared" si="13"/>
        <v>100</v>
      </c>
      <c r="V29" s="1508" t="s">
        <v>8</v>
      </c>
      <c r="W29" s="1509">
        <f t="shared" si="14"/>
        <v>100</v>
      </c>
      <c r="X29" s="1502"/>
      <c r="Y29" s="353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33"/>
      <c r="Q30" s="1507">
        <f t="shared" si="11"/>
        <v>111</v>
      </c>
      <c r="R30" s="1508" t="s">
        <v>8</v>
      </c>
      <c r="S30" s="1509">
        <f t="shared" si="12"/>
        <v>100</v>
      </c>
      <c r="T30" s="1508" t="s">
        <v>8</v>
      </c>
      <c r="U30" s="1509">
        <f t="shared" si="13"/>
        <v>100</v>
      </c>
      <c r="V30" s="1508" t="s">
        <v>8</v>
      </c>
      <c r="W30" s="1509">
        <f t="shared" si="14"/>
        <v>100</v>
      </c>
      <c r="X30" s="1502"/>
      <c r="Y30" s="353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33"/>
      <c r="Q31" s="1507">
        <f t="shared" si="11"/>
        <v>111</v>
      </c>
      <c r="R31" s="1508" t="s">
        <v>8</v>
      </c>
      <c r="S31" s="1509">
        <f t="shared" si="12"/>
        <v>100</v>
      </c>
      <c r="T31" s="1508" t="s">
        <v>8</v>
      </c>
      <c r="U31" s="1509">
        <f t="shared" si="13"/>
        <v>100</v>
      </c>
      <c r="V31" s="1508" t="s">
        <v>8</v>
      </c>
      <c r="W31" s="1509">
        <f t="shared" si="14"/>
        <v>100</v>
      </c>
      <c r="X31" s="1502"/>
      <c r="Y31" s="3533"/>
      <c r="Z31" s="1510">
        <f t="shared" si="15"/>
        <v>111</v>
      </c>
      <c r="AA31" s="1511">
        <f t="shared" si="3"/>
        <v>1</v>
      </c>
      <c r="AB31" s="1511">
        <f t="shared" si="4"/>
        <v>1</v>
      </c>
      <c r="AC31" s="1511">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34" t="s">
        <v>544</v>
      </c>
      <c r="Q32" s="1507" t="str">
        <f t="shared" si="11"/>
        <v>商业类型</v>
      </c>
      <c r="R32" s="1508" t="s">
        <v>8</v>
      </c>
      <c r="S32" s="1509">
        <f t="shared" si="12"/>
        <v>100</v>
      </c>
      <c r="T32" s="1508" t="s">
        <v>8</v>
      </c>
      <c r="U32" s="1509">
        <f t="shared" si="13"/>
        <v>100</v>
      </c>
      <c r="V32" s="1508" t="s">
        <v>8</v>
      </c>
      <c r="W32" s="1509">
        <f t="shared" si="14"/>
        <v>100</v>
      </c>
      <c r="X32" s="1502"/>
      <c r="Y32" s="353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35"/>
      <c r="Q33" s="1536" t="str">
        <f t="shared" si="11"/>
        <v>项目建筑规模</v>
      </c>
      <c r="R33" s="1512" t="s">
        <v>8</v>
      </c>
      <c r="S33" s="1513" t="e">
        <f t="shared" si="12"/>
        <v>#N/A</v>
      </c>
      <c r="T33" s="1512" t="s">
        <v>8</v>
      </c>
      <c r="U33" s="1513" t="e">
        <f t="shared" si="13"/>
        <v>#N/A</v>
      </c>
      <c r="V33" s="1512" t="s">
        <v>8</v>
      </c>
      <c r="W33" s="1513" t="e">
        <f t="shared" si="14"/>
        <v>#N/A</v>
      </c>
      <c r="X33" s="1514"/>
      <c r="Y33" s="353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35"/>
      <c r="Q34" s="1507" t="str">
        <f t="shared" si="11"/>
        <v>建筑结构</v>
      </c>
      <c r="R34" s="1508" t="s">
        <v>8</v>
      </c>
      <c r="S34" s="1509">
        <f t="shared" si="12"/>
        <v>100</v>
      </c>
      <c r="T34" s="1508" t="s">
        <v>8</v>
      </c>
      <c r="U34" s="1509">
        <f t="shared" si="13"/>
        <v>100</v>
      </c>
      <c r="V34" s="1508" t="s">
        <v>8</v>
      </c>
      <c r="W34" s="1509">
        <f t="shared" si="14"/>
        <v>100</v>
      </c>
      <c r="X34" s="1502"/>
      <c r="Y34" s="353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35"/>
      <c r="Q35" s="1507" t="str">
        <f t="shared" si="11"/>
        <v>公共部分装修</v>
      </c>
      <c r="R35" s="1508" t="s">
        <v>8</v>
      </c>
      <c r="S35" s="1509">
        <f t="shared" si="12"/>
        <v>100</v>
      </c>
      <c r="T35" s="1508" t="s">
        <v>8</v>
      </c>
      <c r="U35" s="1509">
        <f t="shared" si="13"/>
        <v>100</v>
      </c>
      <c r="V35" s="1508" t="s">
        <v>8</v>
      </c>
      <c r="W35" s="1509">
        <f t="shared" si="14"/>
        <v>100</v>
      </c>
      <c r="X35" s="1502"/>
      <c r="Y35" s="353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35"/>
      <c r="Q36" s="1507" t="str">
        <f t="shared" si="11"/>
        <v>成新度</v>
      </c>
      <c r="R36" s="1508" t="s">
        <v>8</v>
      </c>
      <c r="S36" s="1509" t="e">
        <f t="shared" si="12"/>
        <v>#N/A</v>
      </c>
      <c r="T36" s="1508" t="s">
        <v>8</v>
      </c>
      <c r="U36" s="1509" t="e">
        <f t="shared" si="13"/>
        <v>#N/A</v>
      </c>
      <c r="V36" s="1508" t="s">
        <v>8</v>
      </c>
      <c r="W36" s="1509" t="e">
        <f t="shared" si="14"/>
        <v>#N/A</v>
      </c>
      <c r="X36" s="1502"/>
      <c r="Y36" s="3535"/>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35"/>
      <c r="Q37" s="1134" t="str">
        <f t="shared" si="11"/>
        <v>市政基础设施</v>
      </c>
      <c r="R37" s="1503" t="s">
        <v>8</v>
      </c>
      <c r="S37" s="1504">
        <f t="shared" si="12"/>
        <v>100</v>
      </c>
      <c r="T37" s="1503" t="s">
        <v>8</v>
      </c>
      <c r="U37" s="1504">
        <f t="shared" si="13"/>
        <v>100</v>
      </c>
      <c r="V37" s="1503" t="s">
        <v>8</v>
      </c>
      <c r="W37" s="1504">
        <f t="shared" si="14"/>
        <v>100</v>
      </c>
      <c r="X37" s="1505"/>
      <c r="Y37" s="353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35" t="s">
        <v>760</v>
      </c>
      <c r="Q38" s="1507" t="str">
        <f t="shared" si="11"/>
        <v>业态</v>
      </c>
      <c r="R38" s="1508" t="s">
        <v>8</v>
      </c>
      <c r="S38" s="1509">
        <f t="shared" si="12"/>
        <v>100</v>
      </c>
      <c r="T38" s="1508" t="s">
        <v>8</v>
      </c>
      <c r="U38" s="1509">
        <f t="shared" si="13"/>
        <v>100</v>
      </c>
      <c r="V38" s="1508" t="s">
        <v>8</v>
      </c>
      <c r="W38" s="1509">
        <f t="shared" si="14"/>
        <v>100</v>
      </c>
      <c r="X38" s="1502"/>
      <c r="Y38" s="353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35"/>
      <c r="Q39" s="1507" t="str">
        <f t="shared" si="11"/>
        <v>层高</v>
      </c>
      <c r="R39" s="1508" t="s">
        <v>8</v>
      </c>
      <c r="S39" s="1509">
        <f t="shared" si="12"/>
        <v>100</v>
      </c>
      <c r="T39" s="1508" t="s">
        <v>8</v>
      </c>
      <c r="U39" s="1509">
        <f t="shared" si="13"/>
        <v>100</v>
      </c>
      <c r="V39" s="1508" t="s">
        <v>8</v>
      </c>
      <c r="W39" s="1509">
        <f t="shared" si="14"/>
        <v>100</v>
      </c>
      <c r="X39" s="1502"/>
      <c r="Y39" s="353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35"/>
      <c r="Q40" s="1507" t="str">
        <f t="shared" si="11"/>
        <v>单套建筑面积</v>
      </c>
      <c r="R40" s="1508" t="s">
        <v>8</v>
      </c>
      <c r="S40" s="1509">
        <f t="shared" si="12"/>
        <v>100</v>
      </c>
      <c r="T40" s="1508" t="s">
        <v>8</v>
      </c>
      <c r="U40" s="1509">
        <f t="shared" si="13"/>
        <v>100</v>
      </c>
      <c r="V40" s="1508" t="s">
        <v>8</v>
      </c>
      <c r="W40" s="1509">
        <f t="shared" si="14"/>
        <v>100</v>
      </c>
      <c r="X40" s="1502"/>
      <c r="Y40" s="353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35"/>
      <c r="Q41" s="1536" t="str">
        <f t="shared" si="11"/>
        <v>进深比</v>
      </c>
      <c r="R41" s="1512" t="s">
        <v>8</v>
      </c>
      <c r="S41" s="1513">
        <f t="shared" si="12"/>
        <v>100</v>
      </c>
      <c r="T41" s="1512" t="s">
        <v>8</v>
      </c>
      <c r="U41" s="1513">
        <f t="shared" si="13"/>
        <v>100</v>
      </c>
      <c r="V41" s="1512" t="s">
        <v>8</v>
      </c>
      <c r="W41" s="1513">
        <f t="shared" si="14"/>
        <v>100</v>
      </c>
      <c r="X41" s="1514"/>
      <c r="Y41" s="353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35"/>
      <c r="Q42" s="1507" t="str">
        <f t="shared" si="11"/>
        <v>内部装修</v>
      </c>
      <c r="R42" s="1508" t="s">
        <v>8</v>
      </c>
      <c r="S42" s="1509">
        <f t="shared" si="12"/>
        <v>100</v>
      </c>
      <c r="T42" s="1508" t="s">
        <v>8</v>
      </c>
      <c r="U42" s="1509">
        <f t="shared" si="13"/>
        <v>100</v>
      </c>
      <c r="V42" s="1508" t="s">
        <v>8</v>
      </c>
      <c r="W42" s="1509">
        <f t="shared" si="14"/>
        <v>100</v>
      </c>
      <c r="X42" s="1502"/>
      <c r="Y42" s="353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35"/>
      <c r="Q43" s="1507" t="str">
        <f t="shared" si="11"/>
        <v>内部装修维护情况</v>
      </c>
      <c r="R43" s="1508" t="s">
        <v>8</v>
      </c>
      <c r="S43" s="1509">
        <f t="shared" si="12"/>
        <v>100</v>
      </c>
      <c r="T43" s="1508" t="s">
        <v>8</v>
      </c>
      <c r="U43" s="1509">
        <f t="shared" si="13"/>
        <v>100</v>
      </c>
      <c r="V43" s="1508" t="s">
        <v>8</v>
      </c>
      <c r="W43" s="1509">
        <f t="shared" si="14"/>
        <v>100</v>
      </c>
      <c r="X43" s="1502"/>
      <c r="Y43" s="353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35"/>
      <c r="Q44" s="1134">
        <f t="shared" si="11"/>
        <v>111</v>
      </c>
      <c r="R44" s="1503" t="s">
        <v>8</v>
      </c>
      <c r="S44" s="1504">
        <f t="shared" si="12"/>
        <v>100</v>
      </c>
      <c r="T44" s="1503" t="s">
        <v>8</v>
      </c>
      <c r="U44" s="1504">
        <f t="shared" si="13"/>
        <v>100</v>
      </c>
      <c r="V44" s="1503" t="s">
        <v>8</v>
      </c>
      <c r="W44" s="1504">
        <f t="shared" si="14"/>
        <v>100</v>
      </c>
      <c r="X44" s="1505"/>
      <c r="Y44" s="353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35"/>
      <c r="Q45" s="1507">
        <f t="shared" si="11"/>
        <v>111</v>
      </c>
      <c r="R45" s="1508" t="s">
        <v>8</v>
      </c>
      <c r="S45" s="1509">
        <f t="shared" si="12"/>
        <v>100</v>
      </c>
      <c r="T45" s="1508" t="s">
        <v>8</v>
      </c>
      <c r="U45" s="1509">
        <f t="shared" si="13"/>
        <v>100</v>
      </c>
      <c r="V45" s="1508" t="s">
        <v>8</v>
      </c>
      <c r="W45" s="1509">
        <f t="shared" si="14"/>
        <v>100</v>
      </c>
      <c r="X45" s="1502"/>
      <c r="Y45" s="353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7"/>
      <c r="Q46" s="1507">
        <f t="shared" si="11"/>
        <v>111</v>
      </c>
      <c r="R46" s="1508" t="s">
        <v>8</v>
      </c>
      <c r="S46" s="1509">
        <f t="shared" si="12"/>
        <v>100</v>
      </c>
      <c r="T46" s="1508" t="s">
        <v>8</v>
      </c>
      <c r="U46" s="1509">
        <f t="shared" si="13"/>
        <v>100</v>
      </c>
      <c r="V46" s="1508" t="s">
        <v>8</v>
      </c>
      <c r="W46" s="1509">
        <f t="shared" si="14"/>
        <v>100</v>
      </c>
      <c r="X46" s="1502"/>
      <c r="Y46" s="361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7"/>
      <c r="M47" s="2028"/>
      <c r="N47" s="2017"/>
      <c r="O47" s="2028"/>
      <c r="P47" s="3498" t="str">
        <f>A47</f>
        <v>成交单价（元/平方米）</v>
      </c>
      <c r="Q47" s="3498"/>
      <c r="R47" s="3616">
        <f>E47</f>
        <v>0</v>
      </c>
      <c r="S47" s="3616"/>
      <c r="T47" s="3616">
        <f>G47</f>
        <v>0</v>
      </c>
      <c r="U47" s="3616"/>
      <c r="V47" s="3616">
        <f>I47</f>
        <v>0</v>
      </c>
      <c r="W47" s="3616"/>
      <c r="X47" s="1497"/>
      <c r="Y47" s="1516"/>
      <c r="Z47" s="1497"/>
      <c r="AA47" s="1497"/>
      <c r="AB47" s="1497"/>
      <c r="AC47" s="1497"/>
    </row>
    <row r="48" spans="1:29" ht="15.75" thickBot="1">
      <c r="A48" s="609" t="s">
        <v>2740</v>
      </c>
      <c r="B48" s="877"/>
      <c r="C48" s="2476" t="e">
        <f>R49</f>
        <v>#DIV/0!</v>
      </c>
      <c r="D48" s="3012" t="s">
        <v>2971</v>
      </c>
      <c r="E48" s="2477" t="e">
        <f>R48</f>
        <v>#DIV/0!</v>
      </c>
      <c r="F48" s="3013"/>
      <c r="G48" s="2476" t="e">
        <f>T48</f>
        <v>#DIV/0!</v>
      </c>
      <c r="H48" s="3013"/>
      <c r="I48" s="2477" t="e">
        <f>V48</f>
        <v>#DIV/0!</v>
      </c>
      <c r="J48" s="3013"/>
      <c r="K48" s="3021">
        <f>F48+H48+J48</f>
        <v>0</v>
      </c>
      <c r="L48" s="2027"/>
      <c r="M48" s="2028"/>
      <c r="N48" s="2017"/>
      <c r="O48" s="2028"/>
      <c r="P48" s="3498" t="str">
        <f>A48</f>
        <v>比较价格（元/平方米）</v>
      </c>
      <c r="Q48" s="3498"/>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7"/>
      <c r="M49" s="2028"/>
      <c r="N49" s="2017"/>
      <c r="O49" s="2028"/>
      <c r="P49" s="3495" t="str">
        <f>A49</f>
        <v>估价对象XX用房的比较价格（楼面单价，元/平方米）</v>
      </c>
      <c r="Q49" s="3496"/>
      <c r="R49" s="3615" t="e">
        <f>IF(F1="售价",ROUND(IF(D48="简单平均",AVERAGE(R48:V48),R48*F48+T48*H48+V48*J48),0),ROUND(IF(D48="简单平均",AVERAGE(R48:V48),R48*F48+T48*H48+V48*J48),1))</f>
        <v>#DIV/0!</v>
      </c>
      <c r="S49" s="3615"/>
      <c r="T49" s="3615"/>
      <c r="U49" s="3615"/>
      <c r="V49" s="3615"/>
      <c r="W49" s="3615"/>
      <c r="X49" s="1497"/>
      <c r="Y49" s="1497"/>
      <c r="Z49" s="1497"/>
      <c r="AA49" s="1497"/>
      <c r="AB49" s="1497"/>
      <c r="AC49" s="1497"/>
    </row>
    <row r="50" spans="1:29">
      <c r="A50" s="3212"/>
      <c r="B50" s="3212"/>
      <c r="C50" s="3212"/>
      <c r="D50" s="3212"/>
      <c r="E50" s="3212"/>
      <c r="F50" s="3212"/>
      <c r="G50" s="3214"/>
      <c r="H50" s="3212"/>
      <c r="I50" s="3212"/>
      <c r="J50" s="3212"/>
      <c r="K50" s="3215"/>
      <c r="L50" s="2032"/>
      <c r="M50" s="2028"/>
      <c r="N50" s="2028"/>
      <c r="O50" s="2028"/>
      <c r="P50" s="2028"/>
      <c r="Q50" s="2028"/>
      <c r="R50" s="2028"/>
      <c r="S50" s="2028"/>
      <c r="T50" s="2028"/>
      <c r="U50" s="2028"/>
      <c r="V50" s="2028"/>
      <c r="W50" s="2028"/>
      <c r="X50" s="2028"/>
      <c r="Y50" s="2028"/>
      <c r="Z50" s="2028"/>
      <c r="AA50" s="2028"/>
      <c r="AB50" s="2028"/>
      <c r="AC50" s="2028"/>
    </row>
    <row r="51" spans="1:29">
      <c r="A51" s="3212"/>
      <c r="B51" s="3212"/>
      <c r="C51" s="3212"/>
      <c r="D51" s="3212"/>
      <c r="E51" s="3212"/>
      <c r="F51" s="3212"/>
      <c r="G51" s="3212"/>
      <c r="H51" s="3212"/>
      <c r="I51" s="3212"/>
      <c r="J51" s="3212"/>
      <c r="K51" s="3215"/>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19" t="str">
        <f>YEAR(C7)&amp;"-"&amp;MONTH(C7)</f>
        <v>2021-10</v>
      </c>
      <c r="D58" s="2521">
        <f>EDATE(C58,-1)</f>
        <v>44440</v>
      </c>
      <c r="E58" s="2521">
        <f t="shared" ref="E58:O58" si="16">EDATE(D58,-1)</f>
        <v>44409</v>
      </c>
      <c r="F58" s="2521">
        <f t="shared" si="16"/>
        <v>44378</v>
      </c>
      <c r="G58" s="2521">
        <f t="shared" si="16"/>
        <v>44348</v>
      </c>
      <c r="H58" s="2521">
        <f t="shared" si="16"/>
        <v>44317</v>
      </c>
      <c r="I58" s="2521">
        <f t="shared" si="16"/>
        <v>44287</v>
      </c>
      <c r="J58" s="2521">
        <f t="shared" si="16"/>
        <v>44256</v>
      </c>
      <c r="K58" s="2521">
        <f t="shared" si="16"/>
        <v>44228</v>
      </c>
      <c r="L58" s="2521">
        <f t="shared" si="16"/>
        <v>44197</v>
      </c>
      <c r="M58" s="2521">
        <f t="shared" si="16"/>
        <v>44166</v>
      </c>
      <c r="N58" s="2521">
        <f t="shared" si="16"/>
        <v>44136</v>
      </c>
      <c r="O58" s="2521">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8"/>
      <c r="M1" s="3209"/>
      <c r="N1" s="3209"/>
      <c r="O1" s="3209"/>
      <c r="P1" s="3272"/>
      <c r="Q1" s="2015"/>
      <c r="R1" s="2015"/>
      <c r="S1" s="2015"/>
      <c r="T1" s="2015"/>
      <c r="U1" s="2015"/>
      <c r="V1" s="2015"/>
      <c r="W1" s="2015"/>
      <c r="X1" s="2015"/>
      <c r="Y1" s="2015"/>
      <c r="Z1" s="2015"/>
      <c r="AA1" s="2015"/>
      <c r="AB1" s="2015"/>
      <c r="AC1" s="3210"/>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2"/>
      <c r="Q2" s="2015"/>
      <c r="R2" s="2015"/>
      <c r="S2" s="2015"/>
      <c r="T2" s="2015"/>
      <c r="U2" s="2015"/>
      <c r="V2" s="2015"/>
      <c r="W2" s="2015"/>
      <c r="X2" s="2015"/>
      <c r="Y2" s="2015"/>
      <c r="Z2" s="2015"/>
      <c r="AA2" s="2015"/>
      <c r="AB2" s="2015"/>
      <c r="AC2" s="3210"/>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2"/>
      <c r="Q3" s="2015"/>
      <c r="R3" s="2015"/>
      <c r="S3" s="2015"/>
      <c r="T3" s="2015"/>
      <c r="U3" s="2015"/>
      <c r="V3" s="2015"/>
      <c r="W3" s="2015"/>
      <c r="X3" s="2015"/>
      <c r="Y3" s="2015"/>
      <c r="Z3" s="2015"/>
      <c r="AA3" s="2015"/>
      <c r="AB3" s="2015"/>
      <c r="AC3" s="3210"/>
    </row>
    <row r="4" spans="1:29" ht="15">
      <c r="A4" s="506" t="s">
        <v>515</v>
      </c>
      <c r="B4" s="507"/>
      <c r="C4" s="3504" t="s">
        <v>516</v>
      </c>
      <c r="D4" s="3505"/>
      <c r="E4" s="3538" t="s">
        <v>517</v>
      </c>
      <c r="F4" s="3539"/>
      <c r="G4" s="3504" t="s">
        <v>518</v>
      </c>
      <c r="H4" s="3505"/>
      <c r="I4" s="3504" t="s">
        <v>519</v>
      </c>
      <c r="J4" s="3505"/>
      <c r="K4" s="508" t="s">
        <v>520</v>
      </c>
      <c r="L4" s="2016"/>
      <c r="M4" s="2017"/>
      <c r="N4" s="2017"/>
      <c r="O4" s="2017"/>
      <c r="P4" s="3619" t="s">
        <v>521</v>
      </c>
      <c r="Q4" s="3507"/>
      <c r="R4" s="3512" t="s">
        <v>517</v>
      </c>
      <c r="S4" s="3513"/>
      <c r="T4" s="3512" t="s">
        <v>518</v>
      </c>
      <c r="U4" s="3513"/>
      <c r="V4" s="3499" t="s">
        <v>519</v>
      </c>
      <c r="W4" s="3499"/>
      <c r="X4" s="1502"/>
      <c r="Y4" s="3512" t="s">
        <v>521</v>
      </c>
      <c r="Z4" s="3513"/>
      <c r="AA4" s="3501" t="s">
        <v>517</v>
      </c>
      <c r="AB4" s="3501" t="s">
        <v>518</v>
      </c>
      <c r="AC4" s="3501" t="s">
        <v>519</v>
      </c>
    </row>
    <row r="5" spans="1:29" ht="15">
      <c r="A5" s="509"/>
      <c r="B5" s="510"/>
      <c r="C5" s="3520" t="s">
        <v>2897</v>
      </c>
      <c r="D5" s="3521"/>
      <c r="E5" s="3540" t="s">
        <v>2898</v>
      </c>
      <c r="F5" s="3541"/>
      <c r="G5" s="3520" t="s">
        <v>2899</v>
      </c>
      <c r="H5" s="3521"/>
      <c r="I5" s="3520" t="s">
        <v>2900</v>
      </c>
      <c r="J5" s="3521"/>
      <c r="K5" s="508"/>
      <c r="L5" s="2016"/>
      <c r="M5" s="2017"/>
      <c r="N5" s="2017"/>
      <c r="O5" s="2017"/>
      <c r="P5" s="3620"/>
      <c r="Q5" s="3509"/>
      <c r="R5" s="3514"/>
      <c r="S5" s="3515"/>
      <c r="T5" s="3514"/>
      <c r="U5" s="3515"/>
      <c r="V5" s="3499"/>
      <c r="W5" s="3499"/>
      <c r="X5" s="1502"/>
      <c r="Y5" s="3514"/>
      <c r="Z5" s="3515"/>
      <c r="AA5" s="3502"/>
      <c r="AB5" s="3502"/>
      <c r="AC5" s="3502"/>
    </row>
    <row r="6" spans="1:29" ht="15.75" thickBot="1">
      <c r="A6" s="511"/>
      <c r="B6" s="512"/>
      <c r="C6" s="3518" t="s">
        <v>2901</v>
      </c>
      <c r="D6" s="3519"/>
      <c r="E6" s="3536" t="s">
        <v>2901</v>
      </c>
      <c r="F6" s="3537"/>
      <c r="G6" s="3518" t="s">
        <v>2901</v>
      </c>
      <c r="H6" s="3519"/>
      <c r="I6" s="3518" t="s">
        <v>2901</v>
      </c>
      <c r="J6" s="3519"/>
      <c r="K6" s="508" t="s">
        <v>522</v>
      </c>
      <c r="L6" s="2016"/>
      <c r="M6" s="2017"/>
      <c r="N6" s="2017"/>
      <c r="O6" s="2017"/>
      <c r="P6" s="3621"/>
      <c r="Q6" s="3511"/>
      <c r="R6" s="3514"/>
      <c r="S6" s="3515"/>
      <c r="T6" s="3516"/>
      <c r="U6" s="3517"/>
      <c r="V6" s="3499"/>
      <c r="W6" s="3499"/>
      <c r="X6" s="1502"/>
      <c r="Y6" s="3516"/>
      <c r="Z6" s="3517"/>
      <c r="AA6" s="3503"/>
      <c r="AB6" s="3503"/>
      <c r="AC6" s="3503"/>
    </row>
    <row r="7" spans="1:29" s="1203" customFormat="1" ht="15.75" thickBot="1">
      <c r="A7" s="2629"/>
      <c r="B7" s="2636" t="s">
        <v>523</v>
      </c>
      <c r="C7" s="513">
        <f>'数据-取费表'!B2</f>
        <v>44499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31" t="s">
        <v>524</v>
      </c>
      <c r="Q7" s="3531"/>
      <c r="R7" s="1503" t="s">
        <v>8</v>
      </c>
      <c r="S7" s="1504">
        <f t="shared" ref="S7:S15" si="0">F7</f>
        <v>0</v>
      </c>
      <c r="T7" s="1503" t="s">
        <v>8</v>
      </c>
      <c r="U7" s="1504">
        <f t="shared" ref="U7:U15" si="1">H7</f>
        <v>0</v>
      </c>
      <c r="V7" s="1503" t="s">
        <v>8</v>
      </c>
      <c r="W7" s="1504">
        <f t="shared" ref="W7:W15"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31" t="s">
        <v>527</v>
      </c>
      <c r="Q8" s="3530"/>
      <c r="R8" s="1503" t="s">
        <v>8</v>
      </c>
      <c r="S8" s="1504">
        <f t="shared" si="0"/>
        <v>0</v>
      </c>
      <c r="T8" s="1503" t="s">
        <v>8</v>
      </c>
      <c r="U8" s="1504">
        <f t="shared" si="1"/>
        <v>0</v>
      </c>
      <c r="V8" s="1503" t="s">
        <v>8</v>
      </c>
      <c r="W8" s="1504">
        <f t="shared" si="2"/>
        <v>0</v>
      </c>
      <c r="X8" s="1505"/>
      <c r="Y8" s="3529" t="s">
        <v>527</v>
      </c>
      <c r="Z8" s="3530"/>
      <c r="AA8" s="1506" t="e">
        <f t="shared" ref="AA8:AA47" si="3">D8/F8</f>
        <v>#DIV/0!</v>
      </c>
      <c r="AB8" s="1506" t="e">
        <f t="shared" ref="AB8:AB47" si="4">D8/H8</f>
        <v>#DIV/0!</v>
      </c>
      <c r="AC8" s="1506"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8" t="s">
        <v>529</v>
      </c>
      <c r="Q9" s="1134" t="str">
        <f t="shared" ref="Q9:Q15" si="6">B9</f>
        <v>用途</v>
      </c>
      <c r="R9" s="1503" t="s">
        <v>8</v>
      </c>
      <c r="S9" s="1504">
        <f t="shared" si="0"/>
        <v>100</v>
      </c>
      <c r="T9" s="1503" t="s">
        <v>8</v>
      </c>
      <c r="U9" s="1504">
        <f t="shared" si="1"/>
        <v>100</v>
      </c>
      <c r="V9" s="1503" t="s">
        <v>8</v>
      </c>
      <c r="W9" s="1504">
        <f t="shared" si="2"/>
        <v>100</v>
      </c>
      <c r="X9" s="1505"/>
      <c r="Y9" s="3444"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8"/>
      <c r="Q11" s="1134" t="str">
        <f t="shared" si="6"/>
        <v>容积率</v>
      </c>
      <c r="R11" s="1503" t="s">
        <v>8</v>
      </c>
      <c r="S11" s="1504" t="e">
        <f t="shared" si="0"/>
        <v>#N/A</v>
      </c>
      <c r="T11" s="1503" t="s">
        <v>8</v>
      </c>
      <c r="U11" s="1504" t="e">
        <f t="shared" si="1"/>
        <v>#N/A</v>
      </c>
      <c r="V11" s="1503" t="s">
        <v>8</v>
      </c>
      <c r="W11" s="1504" t="e">
        <f t="shared" si="2"/>
        <v>#N/A</v>
      </c>
      <c r="X11" s="1505"/>
      <c r="Y11" s="344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8"/>
      <c r="Q12" s="1134">
        <f t="shared" si="6"/>
        <v>111</v>
      </c>
      <c r="R12" s="1503" t="s">
        <v>8</v>
      </c>
      <c r="S12" s="1504">
        <f t="shared" si="0"/>
        <v>100</v>
      </c>
      <c r="T12" s="1503" t="s">
        <v>8</v>
      </c>
      <c r="U12" s="1504">
        <f t="shared" si="1"/>
        <v>100</v>
      </c>
      <c r="V12" s="1503" t="s">
        <v>8</v>
      </c>
      <c r="W12" s="1504">
        <f t="shared" si="2"/>
        <v>100</v>
      </c>
      <c r="X12" s="1505"/>
      <c r="Y12" s="3444"/>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8"/>
      <c r="Q13" s="1134">
        <f t="shared" si="6"/>
        <v>111</v>
      </c>
      <c r="R13" s="1503" t="s">
        <v>8</v>
      </c>
      <c r="S13" s="1504">
        <f t="shared" si="0"/>
        <v>100</v>
      </c>
      <c r="T13" s="1503" t="s">
        <v>8</v>
      </c>
      <c r="U13" s="1504">
        <f t="shared" si="1"/>
        <v>100</v>
      </c>
      <c r="V13" s="1503" t="s">
        <v>8</v>
      </c>
      <c r="W13" s="1504">
        <f t="shared" si="2"/>
        <v>100</v>
      </c>
      <c r="X13" s="1505"/>
      <c r="Y13" s="3444"/>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8"/>
      <c r="Q14" s="1134">
        <f t="shared" si="6"/>
        <v>111</v>
      </c>
      <c r="R14" s="1503" t="s">
        <v>8</v>
      </c>
      <c r="S14" s="1504">
        <f t="shared" si="0"/>
        <v>100</v>
      </c>
      <c r="T14" s="1503" t="s">
        <v>8</v>
      </c>
      <c r="U14" s="1504">
        <f t="shared" si="1"/>
        <v>100</v>
      </c>
      <c r="V14" s="1503" t="s">
        <v>8</v>
      </c>
      <c r="W14" s="1504">
        <f t="shared" si="2"/>
        <v>100</v>
      </c>
      <c r="X14" s="1505"/>
      <c r="Y14" s="3444"/>
      <c r="Z14" s="1133">
        <f t="shared" si="7"/>
        <v>111</v>
      </c>
      <c r="AA14" s="1506">
        <f t="shared" si="3"/>
        <v>1</v>
      </c>
      <c r="AB14" s="1506">
        <f t="shared" si="4"/>
        <v>1</v>
      </c>
      <c r="AC14" s="1506">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32" t="s">
        <v>534</v>
      </c>
      <c r="Q15" s="1507" t="str">
        <f t="shared" si="6"/>
        <v>办公集聚程度</v>
      </c>
      <c r="R15" s="1508" t="s">
        <v>8</v>
      </c>
      <c r="S15" s="1509">
        <f t="shared" si="0"/>
        <v>100</v>
      </c>
      <c r="T15" s="1508" t="s">
        <v>8</v>
      </c>
      <c r="U15" s="1509">
        <f t="shared" si="1"/>
        <v>100</v>
      </c>
      <c r="V15" s="1508" t="s">
        <v>8</v>
      </c>
      <c r="W15" s="1509">
        <f t="shared" si="2"/>
        <v>100</v>
      </c>
      <c r="X15" s="1502"/>
      <c r="Y15" s="353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33"/>
      <c r="Q16" s="1507"/>
      <c r="R16" s="1508"/>
      <c r="S16" s="1509"/>
      <c r="T16" s="1508"/>
      <c r="U16" s="1509"/>
      <c r="V16" s="1508"/>
      <c r="W16" s="1509"/>
      <c r="X16" s="1502"/>
      <c r="Y16" s="3533"/>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33"/>
      <c r="Q17" s="1507" t="str">
        <f>B17</f>
        <v>交通便捷度</v>
      </c>
      <c r="R17" s="1508" t="s">
        <v>8</v>
      </c>
      <c r="S17" s="1509">
        <f>F17</f>
        <v>100</v>
      </c>
      <c r="T17" s="1508" t="s">
        <v>8</v>
      </c>
      <c r="U17" s="1509">
        <f>H17</f>
        <v>100</v>
      </c>
      <c r="V17" s="1508" t="s">
        <v>8</v>
      </c>
      <c r="W17" s="1509">
        <f>J17</f>
        <v>100</v>
      </c>
      <c r="X17" s="1502"/>
      <c r="Y17" s="353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33"/>
      <c r="Q18" s="1507"/>
      <c r="R18" s="1508"/>
      <c r="S18" s="1509"/>
      <c r="T18" s="1508"/>
      <c r="U18" s="1509"/>
      <c r="V18" s="1508"/>
      <c r="W18" s="1509"/>
      <c r="X18" s="1502"/>
      <c r="Y18" s="3533"/>
      <c r="Z18" s="1510"/>
      <c r="AA18" s="1511">
        <v>1</v>
      </c>
      <c r="AB18" s="1511">
        <v>1</v>
      </c>
      <c r="AC18" s="1511">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33"/>
      <c r="Q19" s="1507" t="str">
        <f>B19</f>
        <v>公共配套设施</v>
      </c>
      <c r="R19" s="1508" t="s">
        <v>8</v>
      </c>
      <c r="S19" s="1509">
        <f>F19</f>
        <v>100</v>
      </c>
      <c r="T19" s="1508" t="s">
        <v>8</v>
      </c>
      <c r="U19" s="1509">
        <f>H19</f>
        <v>100</v>
      </c>
      <c r="V19" s="1508" t="s">
        <v>8</v>
      </c>
      <c r="W19" s="1509">
        <f>J19</f>
        <v>100</v>
      </c>
      <c r="X19" s="1502"/>
      <c r="Y19" s="353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33"/>
      <c r="Q20" s="1507"/>
      <c r="R20" s="1508"/>
      <c r="S20" s="1509"/>
      <c r="T20" s="1508"/>
      <c r="U20" s="1509"/>
      <c r="V20" s="1508"/>
      <c r="W20" s="1509"/>
      <c r="X20" s="1502"/>
      <c r="Y20" s="3533"/>
      <c r="Z20" s="1510"/>
      <c r="AA20" s="1511">
        <v>1</v>
      </c>
      <c r="AB20" s="1511">
        <v>1</v>
      </c>
      <c r="AC20" s="1511">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33"/>
      <c r="Q21" s="2429" t="str">
        <f>B21</f>
        <v>基础设施水平</v>
      </c>
      <c r="R21" s="1508" t="s">
        <v>8</v>
      </c>
      <c r="S21" s="1509">
        <f>F21</f>
        <v>100</v>
      </c>
      <c r="T21" s="1508" t="s">
        <v>8</v>
      </c>
      <c r="U21" s="1509">
        <f>H21</f>
        <v>100</v>
      </c>
      <c r="V21" s="1508" t="s">
        <v>8</v>
      </c>
      <c r="W21" s="1509">
        <f>J21</f>
        <v>100</v>
      </c>
      <c r="X21" s="2431"/>
      <c r="Y21" s="3533"/>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5"/>
      <c r="M22" s="2017"/>
      <c r="N22" s="2017"/>
      <c r="O22" s="2017"/>
      <c r="P22" s="3533"/>
      <c r="Q22" s="2429"/>
      <c r="R22" s="1508"/>
      <c r="S22" s="1509"/>
      <c r="T22" s="1508"/>
      <c r="U22" s="1509"/>
      <c r="V22" s="1508"/>
      <c r="W22" s="1509"/>
      <c r="X22" s="2431"/>
      <c r="Y22" s="3533"/>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33"/>
      <c r="Q23" s="1507" t="str">
        <f>B23</f>
        <v>环境质量</v>
      </c>
      <c r="R23" s="1508" t="s">
        <v>8</v>
      </c>
      <c r="S23" s="1509">
        <f>F23</f>
        <v>100</v>
      </c>
      <c r="T23" s="1508" t="s">
        <v>8</v>
      </c>
      <c r="U23" s="1509">
        <f>H23</f>
        <v>100</v>
      </c>
      <c r="V23" s="1508" t="s">
        <v>8</v>
      </c>
      <c r="W23" s="1509">
        <f>J23</f>
        <v>100</v>
      </c>
      <c r="X23" s="1502"/>
      <c r="Y23" s="353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33"/>
      <c r="Q24" s="1507"/>
      <c r="R24" s="1508"/>
      <c r="S24" s="1509"/>
      <c r="T24" s="1508"/>
      <c r="U24" s="1509"/>
      <c r="V24" s="1508"/>
      <c r="W24" s="1509"/>
      <c r="X24" s="1502"/>
      <c r="Y24" s="353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33"/>
      <c r="Q25" s="1507" t="str">
        <f>B25</f>
        <v>毗邻道路的类型与等级</v>
      </c>
      <c r="R25" s="1508" t="s">
        <v>8</v>
      </c>
      <c r="S25" s="1509">
        <f>F25</f>
        <v>100</v>
      </c>
      <c r="T25" s="1508" t="s">
        <v>8</v>
      </c>
      <c r="U25" s="1509">
        <f>H25</f>
        <v>100</v>
      </c>
      <c r="V25" s="1508" t="s">
        <v>8</v>
      </c>
      <c r="W25" s="1509">
        <f>J25</f>
        <v>100</v>
      </c>
      <c r="X25" s="1502"/>
      <c r="Y25" s="353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33"/>
      <c r="Q26" s="1507"/>
      <c r="R26" s="1508"/>
      <c r="S26" s="1509"/>
      <c r="T26" s="1508"/>
      <c r="U26" s="1509"/>
      <c r="V26" s="1508"/>
      <c r="W26" s="1509"/>
      <c r="X26" s="1502"/>
      <c r="Y26" s="353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33"/>
      <c r="Q27" s="1507" t="str">
        <f t="shared" ref="Q27:Q47" si="11">B27</f>
        <v>楼层</v>
      </c>
      <c r="R27" s="1508" t="s">
        <v>8</v>
      </c>
      <c r="S27" s="1509">
        <f>F27</f>
        <v>100</v>
      </c>
      <c r="T27" s="1508" t="s">
        <v>8</v>
      </c>
      <c r="U27" s="1509">
        <f>H27</f>
        <v>100</v>
      </c>
      <c r="V27" s="1508" t="s">
        <v>8</v>
      </c>
      <c r="W27" s="1509">
        <f>J27</f>
        <v>100</v>
      </c>
      <c r="X27" s="1502"/>
      <c r="Y27" s="353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33"/>
      <c r="Q28" s="1134" t="str">
        <f t="shared" si="11"/>
        <v>朝向</v>
      </c>
      <c r="R28" s="1503" t="s">
        <v>8</v>
      </c>
      <c r="S28" s="1504">
        <f>F28</f>
        <v>100</v>
      </c>
      <c r="T28" s="1503" t="s">
        <v>8</v>
      </c>
      <c r="U28" s="1504">
        <f>H28</f>
        <v>100</v>
      </c>
      <c r="V28" s="1503" t="s">
        <v>8</v>
      </c>
      <c r="W28" s="1504">
        <f>J28</f>
        <v>100</v>
      </c>
      <c r="X28" s="1505"/>
      <c r="Y28" s="353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33"/>
      <c r="Q29" s="1507">
        <f t="shared" si="11"/>
        <v>111</v>
      </c>
      <c r="R29" s="1508" t="s">
        <v>8</v>
      </c>
      <c r="S29" s="1509">
        <f t="shared" ref="S29:S47" si="12">F29</f>
        <v>100</v>
      </c>
      <c r="T29" s="1508" t="s">
        <v>8</v>
      </c>
      <c r="U29" s="1509">
        <f t="shared" ref="U29:U47" si="13">H29</f>
        <v>100</v>
      </c>
      <c r="V29" s="1508" t="s">
        <v>8</v>
      </c>
      <c r="W29" s="1509">
        <f t="shared" ref="W29:W47" si="14">J29</f>
        <v>100</v>
      </c>
      <c r="X29" s="1502"/>
      <c r="Y29" s="353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33"/>
      <c r="Q30" s="1507">
        <f t="shared" si="11"/>
        <v>111</v>
      </c>
      <c r="R30" s="1508" t="s">
        <v>8</v>
      </c>
      <c r="S30" s="1509">
        <f t="shared" si="12"/>
        <v>100</v>
      </c>
      <c r="T30" s="1508" t="s">
        <v>8</v>
      </c>
      <c r="U30" s="1509">
        <f t="shared" si="13"/>
        <v>100</v>
      </c>
      <c r="V30" s="1508" t="s">
        <v>8</v>
      </c>
      <c r="W30" s="1509">
        <f t="shared" si="14"/>
        <v>100</v>
      </c>
      <c r="X30" s="1502"/>
      <c r="Y30" s="353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33"/>
      <c r="Q31" s="1507">
        <f t="shared" si="11"/>
        <v>111</v>
      </c>
      <c r="R31" s="1508" t="s">
        <v>8</v>
      </c>
      <c r="S31" s="1509">
        <f t="shared" si="12"/>
        <v>100</v>
      </c>
      <c r="T31" s="1508" t="s">
        <v>8</v>
      </c>
      <c r="U31" s="1509">
        <f t="shared" si="13"/>
        <v>100</v>
      </c>
      <c r="V31" s="1508" t="s">
        <v>8</v>
      </c>
      <c r="W31" s="1509">
        <f t="shared" si="14"/>
        <v>100</v>
      </c>
      <c r="X31" s="1502"/>
      <c r="Y31" s="353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33"/>
      <c r="Q32" s="1507">
        <f t="shared" si="11"/>
        <v>111</v>
      </c>
      <c r="R32" s="1508" t="s">
        <v>8</v>
      </c>
      <c r="S32" s="1509">
        <f t="shared" si="12"/>
        <v>100</v>
      </c>
      <c r="T32" s="1508" t="s">
        <v>8</v>
      </c>
      <c r="U32" s="1509">
        <f t="shared" si="13"/>
        <v>100</v>
      </c>
      <c r="V32" s="1508" t="s">
        <v>8</v>
      </c>
      <c r="W32" s="1509">
        <f t="shared" si="14"/>
        <v>100</v>
      </c>
      <c r="X32" s="1502"/>
      <c r="Y32" s="3533"/>
      <c r="Z32" s="1510">
        <f t="shared" si="15"/>
        <v>111</v>
      </c>
      <c r="AA32" s="1511">
        <f t="shared" si="3"/>
        <v>1</v>
      </c>
      <c r="AB32" s="1511">
        <f t="shared" si="4"/>
        <v>1</v>
      </c>
      <c r="AC32" s="1511">
        <f t="shared" si="5"/>
        <v>1</v>
      </c>
    </row>
    <row r="33" spans="1:29" ht="15">
      <c r="A33" s="2624"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34" t="s">
        <v>544</v>
      </c>
      <c r="Q33" s="1507" t="str">
        <f t="shared" si="11"/>
        <v>建筑类型</v>
      </c>
      <c r="R33" s="1508" t="s">
        <v>8</v>
      </c>
      <c r="S33" s="1509">
        <f t="shared" si="12"/>
        <v>100</v>
      </c>
      <c r="T33" s="1508" t="s">
        <v>8</v>
      </c>
      <c r="U33" s="1509">
        <f t="shared" si="13"/>
        <v>100</v>
      </c>
      <c r="V33" s="1508" t="s">
        <v>8</v>
      </c>
      <c r="W33" s="1509">
        <f t="shared" si="14"/>
        <v>100</v>
      </c>
      <c r="X33" s="1502"/>
      <c r="Y33" s="353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35"/>
      <c r="Q34" s="1536" t="str">
        <f t="shared" si="11"/>
        <v>项目建筑规模</v>
      </c>
      <c r="R34" s="1512" t="s">
        <v>8</v>
      </c>
      <c r="S34" s="1513" t="e">
        <f t="shared" si="12"/>
        <v>#N/A</v>
      </c>
      <c r="T34" s="1512" t="s">
        <v>8</v>
      </c>
      <c r="U34" s="1513" t="e">
        <f t="shared" si="13"/>
        <v>#N/A</v>
      </c>
      <c r="V34" s="1512" t="s">
        <v>8</v>
      </c>
      <c r="W34" s="1513" t="e">
        <f t="shared" si="14"/>
        <v>#N/A</v>
      </c>
      <c r="X34" s="1514"/>
      <c r="Y34" s="353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35"/>
      <c r="Q35" s="1507" t="str">
        <f t="shared" si="11"/>
        <v>建筑结构</v>
      </c>
      <c r="R35" s="1508" t="s">
        <v>8</v>
      </c>
      <c r="S35" s="1509">
        <f t="shared" si="12"/>
        <v>100</v>
      </c>
      <c r="T35" s="1508" t="s">
        <v>8</v>
      </c>
      <c r="U35" s="1509">
        <f t="shared" si="13"/>
        <v>100</v>
      </c>
      <c r="V35" s="1508" t="s">
        <v>8</v>
      </c>
      <c r="W35" s="1509">
        <f t="shared" si="14"/>
        <v>100</v>
      </c>
      <c r="X35" s="1502"/>
      <c r="Y35" s="353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35"/>
      <c r="Q36" s="1507" t="str">
        <f t="shared" si="11"/>
        <v>公共部分装修</v>
      </c>
      <c r="R36" s="1508" t="s">
        <v>8</v>
      </c>
      <c r="S36" s="1509">
        <f t="shared" si="12"/>
        <v>100</v>
      </c>
      <c r="T36" s="1508" t="s">
        <v>8</v>
      </c>
      <c r="U36" s="1509">
        <f t="shared" si="13"/>
        <v>100</v>
      </c>
      <c r="V36" s="1508" t="s">
        <v>8</v>
      </c>
      <c r="W36" s="1509">
        <f t="shared" si="14"/>
        <v>100</v>
      </c>
      <c r="X36" s="1502"/>
      <c r="Y36" s="353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35"/>
      <c r="Q37" s="1507" t="str">
        <f t="shared" si="11"/>
        <v>成新度</v>
      </c>
      <c r="R37" s="1508" t="s">
        <v>8</v>
      </c>
      <c r="S37" s="1509" t="e">
        <f t="shared" si="12"/>
        <v>#N/A</v>
      </c>
      <c r="T37" s="1508" t="s">
        <v>8</v>
      </c>
      <c r="U37" s="1509" t="e">
        <f t="shared" si="13"/>
        <v>#N/A</v>
      </c>
      <c r="V37" s="1508" t="s">
        <v>8</v>
      </c>
      <c r="W37" s="1509" t="e">
        <f t="shared" si="14"/>
        <v>#N/A</v>
      </c>
      <c r="X37" s="1502"/>
      <c r="Y37" s="353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35"/>
      <c r="Q38" s="1134" t="str">
        <f t="shared" si="11"/>
        <v>写字楼等级</v>
      </c>
      <c r="R38" s="1503" t="s">
        <v>8</v>
      </c>
      <c r="S38" s="1504">
        <f t="shared" si="12"/>
        <v>100</v>
      </c>
      <c r="T38" s="1503" t="s">
        <v>8</v>
      </c>
      <c r="U38" s="1504">
        <f t="shared" si="13"/>
        <v>100</v>
      </c>
      <c r="V38" s="1503" t="s">
        <v>8</v>
      </c>
      <c r="W38" s="1504">
        <f t="shared" si="14"/>
        <v>100</v>
      </c>
      <c r="X38" s="1505"/>
      <c r="Y38" s="353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35" t="s">
        <v>544</v>
      </c>
      <c r="Q39" s="1507" t="str">
        <f t="shared" si="11"/>
        <v>物业管理</v>
      </c>
      <c r="R39" s="1508" t="s">
        <v>8</v>
      </c>
      <c r="S39" s="1509">
        <f t="shared" si="12"/>
        <v>100</v>
      </c>
      <c r="T39" s="1508" t="s">
        <v>8</v>
      </c>
      <c r="U39" s="1509">
        <f t="shared" si="13"/>
        <v>100</v>
      </c>
      <c r="V39" s="1508" t="s">
        <v>8</v>
      </c>
      <c r="W39" s="1509">
        <f t="shared" si="14"/>
        <v>100</v>
      </c>
      <c r="X39" s="1502"/>
      <c r="Y39" s="3535"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35"/>
      <c r="Q40" s="1507" t="str">
        <f t="shared" si="11"/>
        <v>市政基础设施</v>
      </c>
      <c r="R40" s="1508" t="s">
        <v>8</v>
      </c>
      <c r="S40" s="1509">
        <f t="shared" si="12"/>
        <v>100</v>
      </c>
      <c r="T40" s="1508" t="s">
        <v>8</v>
      </c>
      <c r="U40" s="1509">
        <f t="shared" si="13"/>
        <v>100</v>
      </c>
      <c r="V40" s="1508" t="s">
        <v>8</v>
      </c>
      <c r="W40" s="1509">
        <f t="shared" si="14"/>
        <v>100</v>
      </c>
      <c r="X40" s="1502"/>
      <c r="Y40" s="353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35"/>
      <c r="Q41" s="1507" t="str">
        <f t="shared" si="11"/>
        <v>层高</v>
      </c>
      <c r="R41" s="1508" t="s">
        <v>8</v>
      </c>
      <c r="S41" s="1509">
        <f t="shared" si="12"/>
        <v>100</v>
      </c>
      <c r="T41" s="1508" t="s">
        <v>8</v>
      </c>
      <c r="U41" s="1509">
        <f t="shared" si="13"/>
        <v>100</v>
      </c>
      <c r="V41" s="1508" t="s">
        <v>8</v>
      </c>
      <c r="W41" s="1509">
        <f t="shared" si="14"/>
        <v>100</v>
      </c>
      <c r="X41" s="1502"/>
      <c r="Y41" s="353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35"/>
      <c r="Q42" s="1536" t="str">
        <f t="shared" si="11"/>
        <v>单套建筑面积</v>
      </c>
      <c r="R42" s="1512" t="s">
        <v>8</v>
      </c>
      <c r="S42" s="1513">
        <f t="shared" si="12"/>
        <v>100</v>
      </c>
      <c r="T42" s="1512" t="s">
        <v>8</v>
      </c>
      <c r="U42" s="1513">
        <f t="shared" si="13"/>
        <v>100</v>
      </c>
      <c r="V42" s="1512" t="s">
        <v>8</v>
      </c>
      <c r="W42" s="1513">
        <f t="shared" si="14"/>
        <v>100</v>
      </c>
      <c r="X42" s="1514"/>
      <c r="Y42" s="353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35"/>
      <c r="Q43" s="1507" t="str">
        <f t="shared" si="11"/>
        <v>内部装修</v>
      </c>
      <c r="R43" s="1508" t="s">
        <v>8</v>
      </c>
      <c r="S43" s="1509">
        <f t="shared" si="12"/>
        <v>100</v>
      </c>
      <c r="T43" s="1508" t="s">
        <v>8</v>
      </c>
      <c r="U43" s="1509">
        <f t="shared" si="13"/>
        <v>100</v>
      </c>
      <c r="V43" s="1508" t="s">
        <v>8</v>
      </c>
      <c r="W43" s="1509">
        <f t="shared" si="14"/>
        <v>100</v>
      </c>
      <c r="X43" s="1502"/>
      <c r="Y43" s="353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35"/>
      <c r="Q44" s="1507" t="str">
        <f t="shared" si="11"/>
        <v>内部装修维护情况</v>
      </c>
      <c r="R44" s="1508" t="s">
        <v>8</v>
      </c>
      <c r="S44" s="1509">
        <f t="shared" si="12"/>
        <v>100</v>
      </c>
      <c r="T44" s="1508" t="s">
        <v>8</v>
      </c>
      <c r="U44" s="1509">
        <f t="shared" si="13"/>
        <v>100</v>
      </c>
      <c r="V44" s="1508" t="s">
        <v>8</v>
      </c>
      <c r="W44" s="1509">
        <f t="shared" si="14"/>
        <v>100</v>
      </c>
      <c r="X44" s="1502"/>
      <c r="Y44" s="353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35"/>
      <c r="Q45" s="1134">
        <f t="shared" si="11"/>
        <v>111</v>
      </c>
      <c r="R45" s="1503" t="s">
        <v>8</v>
      </c>
      <c r="S45" s="1504">
        <f t="shared" si="12"/>
        <v>100</v>
      </c>
      <c r="T45" s="1503" t="s">
        <v>8</v>
      </c>
      <c r="U45" s="1504">
        <f t="shared" si="13"/>
        <v>100</v>
      </c>
      <c r="V45" s="1503" t="s">
        <v>8</v>
      </c>
      <c r="W45" s="1504">
        <f t="shared" si="14"/>
        <v>100</v>
      </c>
      <c r="X45" s="1505"/>
      <c r="Y45" s="353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35"/>
      <c r="Q46" s="1507">
        <f t="shared" si="11"/>
        <v>111</v>
      </c>
      <c r="R46" s="1508" t="s">
        <v>8</v>
      </c>
      <c r="S46" s="1509">
        <f t="shared" si="12"/>
        <v>100</v>
      </c>
      <c r="T46" s="1508" t="s">
        <v>8</v>
      </c>
      <c r="U46" s="1509">
        <f t="shared" si="13"/>
        <v>100</v>
      </c>
      <c r="V46" s="1508" t="s">
        <v>8</v>
      </c>
      <c r="W46" s="1509">
        <f t="shared" si="14"/>
        <v>100</v>
      </c>
      <c r="X46" s="1502"/>
      <c r="Y46" s="353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7"/>
      <c r="Q47" s="1507">
        <f t="shared" si="11"/>
        <v>111</v>
      </c>
      <c r="R47" s="1508" t="s">
        <v>8</v>
      </c>
      <c r="S47" s="1509">
        <f t="shared" si="12"/>
        <v>100</v>
      </c>
      <c r="T47" s="1508" t="s">
        <v>8</v>
      </c>
      <c r="U47" s="1509">
        <f t="shared" si="13"/>
        <v>100</v>
      </c>
      <c r="V47" s="1508" t="s">
        <v>8</v>
      </c>
      <c r="W47" s="1509">
        <f t="shared" si="14"/>
        <v>100</v>
      </c>
      <c r="X47" s="1502"/>
      <c r="Y47" s="361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7"/>
      <c r="M48" s="2017"/>
      <c r="N48" s="2017"/>
      <c r="O48" s="2017"/>
      <c r="P48" s="3496" t="str">
        <f>A48</f>
        <v>成交单价（元/平方米）</v>
      </c>
      <c r="Q48" s="3498"/>
      <c r="R48" s="3616">
        <f>E48</f>
        <v>0</v>
      </c>
      <c r="S48" s="3616"/>
      <c r="T48" s="3616">
        <f>G48</f>
        <v>0</v>
      </c>
      <c r="U48" s="3616"/>
      <c r="V48" s="3616">
        <f>I48</f>
        <v>0</v>
      </c>
      <c r="W48" s="3616"/>
      <c r="X48" s="1497"/>
      <c r="Y48" s="1516"/>
      <c r="Z48" s="1497"/>
      <c r="AA48" s="1497"/>
      <c r="AB48" s="1497"/>
      <c r="AC48" s="1497"/>
    </row>
    <row r="49" spans="1:29" ht="15.75" thickBot="1">
      <c r="A49" s="609" t="s">
        <v>2740</v>
      </c>
      <c r="B49" s="877"/>
      <c r="C49" s="2476" t="e">
        <f>R50</f>
        <v>#DIV/0!</v>
      </c>
      <c r="D49" s="3012" t="s">
        <v>2971</v>
      </c>
      <c r="E49" s="2477" t="e">
        <f>R49</f>
        <v>#DIV/0!</v>
      </c>
      <c r="F49" s="3013"/>
      <c r="G49" s="2476" t="e">
        <f>T49</f>
        <v>#DIV/0!</v>
      </c>
      <c r="H49" s="3013"/>
      <c r="I49" s="2477" t="e">
        <f>V49</f>
        <v>#DIV/0!</v>
      </c>
      <c r="J49" s="3013"/>
      <c r="K49" s="3021">
        <f>F49+H49+J49</f>
        <v>0</v>
      </c>
      <c r="L49" s="2027"/>
      <c r="M49" s="2017"/>
      <c r="N49" s="2017"/>
      <c r="O49" s="2017"/>
      <c r="P49" s="3496" t="str">
        <f>A49</f>
        <v>比较价格（元/平方米）</v>
      </c>
      <c r="Q49" s="3498"/>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7"/>
      <c r="M50" s="2017"/>
      <c r="N50" s="2017"/>
      <c r="O50" s="2017"/>
      <c r="P50" s="3618" t="str">
        <f>A50</f>
        <v>估价对象XX用房的比较价格（楼面单价，元/平方米）</v>
      </c>
      <c r="Q50" s="3496"/>
      <c r="R50" s="3615" t="e">
        <f>IF(F1="售价",ROUND(IF(D49="简单平均",AVERAGE(R49:V49),R49*F49+T49*H49+V49*J49),0),ROUND(IF(D49="简单平均",AVERAGE(R49:V49),R49*F49+T49*H49+V49*J49),1))</f>
        <v>#DIV/0!</v>
      </c>
      <c r="S50" s="3615"/>
      <c r="T50" s="3615"/>
      <c r="U50" s="3615"/>
      <c r="V50" s="3615"/>
      <c r="W50" s="3615"/>
      <c r="X50" s="1497"/>
      <c r="Y50" s="1497"/>
      <c r="Z50" s="1497"/>
      <c r="AA50" s="1497"/>
      <c r="AB50" s="1497"/>
      <c r="AC50" s="1497"/>
    </row>
    <row r="51" spans="1:29">
      <c r="A51" s="3212"/>
      <c r="B51" s="3212"/>
      <c r="C51" s="3212"/>
      <c r="D51" s="3212"/>
      <c r="E51" s="3212"/>
      <c r="F51" s="3212"/>
      <c r="G51" s="3214"/>
      <c r="H51" s="3212"/>
      <c r="I51" s="3212"/>
      <c r="J51" s="3212"/>
      <c r="K51" s="3215"/>
      <c r="L51" s="2032"/>
      <c r="M51" s="2028"/>
      <c r="N51" s="2028"/>
      <c r="O51" s="2028"/>
      <c r="P51" s="2089"/>
      <c r="Q51" s="2028"/>
      <c r="R51" s="2028"/>
      <c r="S51" s="2028"/>
      <c r="T51" s="2028"/>
      <c r="U51" s="2028"/>
      <c r="V51" s="2028"/>
      <c r="W51" s="2028"/>
      <c r="X51" s="2028"/>
      <c r="Y51" s="2028"/>
      <c r="Z51" s="2028"/>
      <c r="AA51" s="2028"/>
      <c r="AB51" s="2028"/>
      <c r="AC51" s="2028"/>
    </row>
    <row r="52" spans="1:29">
      <c r="A52" s="3212"/>
      <c r="B52" s="3212"/>
      <c r="C52" s="3212"/>
      <c r="D52" s="3212"/>
      <c r="E52" s="3212"/>
      <c r="F52" s="3212"/>
      <c r="G52" s="3212"/>
      <c r="H52" s="3212"/>
      <c r="I52" s="3212"/>
      <c r="J52" s="3212"/>
      <c r="K52" s="3215"/>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19" t="str">
        <f>YEAR(C7)&amp;"-"&amp;MONTH(C7)</f>
        <v>2021-10</v>
      </c>
      <c r="D59" s="2521">
        <f>EDATE(C59,-1)</f>
        <v>44440</v>
      </c>
      <c r="E59" s="2521">
        <f t="shared" ref="E59:O59" si="16">EDATE(D59,-1)</f>
        <v>44409</v>
      </c>
      <c r="F59" s="2521">
        <f t="shared" si="16"/>
        <v>44378</v>
      </c>
      <c r="G59" s="2521">
        <f t="shared" si="16"/>
        <v>44348</v>
      </c>
      <c r="H59" s="2521">
        <f t="shared" si="16"/>
        <v>44317</v>
      </c>
      <c r="I59" s="2521">
        <f t="shared" si="16"/>
        <v>44287</v>
      </c>
      <c r="J59" s="2521">
        <f t="shared" si="16"/>
        <v>44256</v>
      </c>
      <c r="K59" s="2521">
        <f t="shared" si="16"/>
        <v>44228</v>
      </c>
      <c r="L59" s="2521">
        <f t="shared" si="16"/>
        <v>44197</v>
      </c>
      <c r="M59" s="2521">
        <f t="shared" si="16"/>
        <v>44166</v>
      </c>
      <c r="N59" s="2521">
        <f t="shared" si="16"/>
        <v>44136</v>
      </c>
      <c r="O59" s="2521">
        <f t="shared" si="16"/>
        <v>44105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8"/>
      <c r="M1" s="3209"/>
      <c r="N1" s="3209"/>
      <c r="O1" s="3209"/>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515</v>
      </c>
      <c r="B4" s="507"/>
      <c r="C4" s="3504" t="s">
        <v>516</v>
      </c>
      <c r="D4" s="3505"/>
      <c r="E4" s="3538" t="s">
        <v>517</v>
      </c>
      <c r="F4" s="3539"/>
      <c r="G4" s="3504" t="s">
        <v>518</v>
      </c>
      <c r="H4" s="3505"/>
      <c r="I4" s="3504" t="s">
        <v>519</v>
      </c>
      <c r="J4" s="3505"/>
      <c r="K4" s="508" t="s">
        <v>520</v>
      </c>
      <c r="L4" s="2016"/>
      <c r="M4" s="2017"/>
      <c r="N4" s="2017"/>
      <c r="O4" s="2017"/>
      <c r="P4" s="3506" t="s">
        <v>521</v>
      </c>
      <c r="Q4" s="3507"/>
      <c r="R4" s="3512" t="s">
        <v>517</v>
      </c>
      <c r="S4" s="3513"/>
      <c r="T4" s="3512" t="s">
        <v>518</v>
      </c>
      <c r="U4" s="3513"/>
      <c r="V4" s="3499" t="s">
        <v>519</v>
      </c>
      <c r="W4" s="3499"/>
      <c r="X4" s="1502"/>
      <c r="Y4" s="3512" t="s">
        <v>521</v>
      </c>
      <c r="Z4" s="3513"/>
      <c r="AA4" s="3501" t="s">
        <v>517</v>
      </c>
      <c r="AB4" s="3502" t="s">
        <v>518</v>
      </c>
      <c r="AC4" s="3501" t="s">
        <v>519</v>
      </c>
    </row>
    <row r="5" spans="1:29" ht="15">
      <c r="A5" s="509"/>
      <c r="B5" s="510"/>
      <c r="C5" s="3520" t="s">
        <v>2897</v>
      </c>
      <c r="D5" s="3521"/>
      <c r="E5" s="3540" t="s">
        <v>2898</v>
      </c>
      <c r="F5" s="3541"/>
      <c r="G5" s="3520" t="s">
        <v>2899</v>
      </c>
      <c r="H5" s="3521"/>
      <c r="I5" s="3520" t="s">
        <v>2900</v>
      </c>
      <c r="J5" s="3521"/>
      <c r="K5" s="508"/>
      <c r="L5" s="2016"/>
      <c r="M5" s="2017"/>
      <c r="N5" s="2017"/>
      <c r="O5" s="2017"/>
      <c r="P5" s="3508"/>
      <c r="Q5" s="3509"/>
      <c r="R5" s="3514"/>
      <c r="S5" s="3515"/>
      <c r="T5" s="3514"/>
      <c r="U5" s="3515"/>
      <c r="V5" s="3499"/>
      <c r="W5" s="3499"/>
      <c r="X5" s="1502"/>
      <c r="Y5" s="3514"/>
      <c r="Z5" s="3515"/>
      <c r="AA5" s="3502"/>
      <c r="AB5" s="3502"/>
      <c r="AC5" s="3502"/>
    </row>
    <row r="6" spans="1:29" ht="15.75" thickBot="1">
      <c r="A6" s="511"/>
      <c r="B6" s="512"/>
      <c r="C6" s="3518" t="s">
        <v>2901</v>
      </c>
      <c r="D6" s="3519"/>
      <c r="E6" s="3536" t="s">
        <v>2901</v>
      </c>
      <c r="F6" s="3537"/>
      <c r="G6" s="3518" t="s">
        <v>2901</v>
      </c>
      <c r="H6" s="3519"/>
      <c r="I6" s="3518" t="s">
        <v>2901</v>
      </c>
      <c r="J6" s="3519"/>
      <c r="K6" s="508" t="s">
        <v>522</v>
      </c>
      <c r="L6" s="2016"/>
      <c r="M6" s="2017"/>
      <c r="N6" s="2017"/>
      <c r="O6" s="2017"/>
      <c r="P6" s="3510"/>
      <c r="Q6" s="3511"/>
      <c r="R6" s="3514"/>
      <c r="S6" s="3515"/>
      <c r="T6" s="3516"/>
      <c r="U6" s="3517"/>
      <c r="V6" s="3499"/>
      <c r="W6" s="3499"/>
      <c r="X6" s="1502"/>
      <c r="Y6" s="3516"/>
      <c r="Z6" s="3517"/>
      <c r="AA6" s="3503"/>
      <c r="AB6" s="3503"/>
      <c r="AC6" s="3503"/>
    </row>
    <row r="7" spans="1:29" s="1203" customFormat="1" ht="15.75" thickBot="1">
      <c r="A7" s="2629"/>
      <c r="B7" s="2636" t="s">
        <v>523</v>
      </c>
      <c r="C7" s="513">
        <f>'数据-取费表'!B2</f>
        <v>44499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29" t="s">
        <v>524</v>
      </c>
      <c r="Q7" s="3531"/>
      <c r="R7" s="1503" t="s">
        <v>8</v>
      </c>
      <c r="S7" s="1504">
        <f t="shared" ref="S7:S15" si="0">F7</f>
        <v>0</v>
      </c>
      <c r="T7" s="1503" t="s">
        <v>8</v>
      </c>
      <c r="U7" s="1504">
        <f t="shared" ref="U7:U15" si="1">H7</f>
        <v>0</v>
      </c>
      <c r="V7" s="1503" t="s">
        <v>8</v>
      </c>
      <c r="W7" s="1504">
        <f t="shared" ref="W7:W15"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29" t="s">
        <v>527</v>
      </c>
      <c r="Q8" s="3530"/>
      <c r="R8" s="1503" t="s">
        <v>8</v>
      </c>
      <c r="S8" s="1504">
        <f t="shared" si="0"/>
        <v>0</v>
      </c>
      <c r="T8" s="1503" t="s">
        <v>8</v>
      </c>
      <c r="U8" s="1504">
        <f t="shared" si="1"/>
        <v>0</v>
      </c>
      <c r="V8" s="1503" t="s">
        <v>8</v>
      </c>
      <c r="W8" s="1504">
        <f t="shared" si="2"/>
        <v>0</v>
      </c>
      <c r="X8" s="1505"/>
      <c r="Y8" s="3529" t="s">
        <v>527</v>
      </c>
      <c r="Z8" s="3530"/>
      <c r="AA8" s="1506" t="e">
        <f t="shared" ref="AA8:AA40" si="3">D8/F8</f>
        <v>#DIV/0!</v>
      </c>
      <c r="AB8" s="1506" t="e">
        <f t="shared" ref="AB8:AB40" si="4">D8/H8</f>
        <v>#DIV/0!</v>
      </c>
      <c r="AC8" s="1506"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8" t="s">
        <v>529</v>
      </c>
      <c r="Q9" s="1134" t="str">
        <f t="shared" ref="Q9:Q15" si="6">B9</f>
        <v>用途</v>
      </c>
      <c r="R9" s="1503" t="s">
        <v>8</v>
      </c>
      <c r="S9" s="1504">
        <f t="shared" si="0"/>
        <v>100</v>
      </c>
      <c r="T9" s="1503" t="s">
        <v>8</v>
      </c>
      <c r="U9" s="1504">
        <f t="shared" si="1"/>
        <v>100</v>
      </c>
      <c r="V9" s="1503" t="s">
        <v>8</v>
      </c>
      <c r="W9" s="1504">
        <f t="shared" si="2"/>
        <v>100</v>
      </c>
      <c r="X9" s="1505"/>
      <c r="Y9" s="3444"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8"/>
      <c r="Q11" s="1134" t="str">
        <f t="shared" si="6"/>
        <v>容积率</v>
      </c>
      <c r="R11" s="1503" t="s">
        <v>8</v>
      </c>
      <c r="S11" s="1504" t="e">
        <f t="shared" si="0"/>
        <v>#N/A</v>
      </c>
      <c r="T11" s="1503" t="s">
        <v>8</v>
      </c>
      <c r="U11" s="1504" t="e">
        <f t="shared" si="1"/>
        <v>#N/A</v>
      </c>
      <c r="V11" s="1503" t="s">
        <v>8</v>
      </c>
      <c r="W11" s="1504" t="e">
        <f t="shared" si="2"/>
        <v>#N/A</v>
      </c>
      <c r="X11" s="1505"/>
      <c r="Y11" s="344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8"/>
      <c r="Q12" s="1134">
        <f t="shared" si="6"/>
        <v>111</v>
      </c>
      <c r="R12" s="1503" t="s">
        <v>8</v>
      </c>
      <c r="S12" s="1504">
        <f t="shared" si="0"/>
        <v>100</v>
      </c>
      <c r="T12" s="1503" t="s">
        <v>8</v>
      </c>
      <c r="U12" s="1504">
        <f t="shared" si="1"/>
        <v>100</v>
      </c>
      <c r="V12" s="1503" t="s">
        <v>8</v>
      </c>
      <c r="W12" s="1504">
        <f t="shared" si="2"/>
        <v>100</v>
      </c>
      <c r="X12" s="1505"/>
      <c r="Y12" s="3444"/>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8"/>
      <c r="Q13" s="1134">
        <f t="shared" si="6"/>
        <v>111</v>
      </c>
      <c r="R13" s="1503" t="s">
        <v>8</v>
      </c>
      <c r="S13" s="1504">
        <f t="shared" si="0"/>
        <v>100</v>
      </c>
      <c r="T13" s="1503" t="s">
        <v>8</v>
      </c>
      <c r="U13" s="1504">
        <f t="shared" si="1"/>
        <v>100</v>
      </c>
      <c r="V13" s="1503" t="s">
        <v>8</v>
      </c>
      <c r="W13" s="1504">
        <f t="shared" si="2"/>
        <v>100</v>
      </c>
      <c r="X13" s="1505"/>
      <c r="Y13" s="3444"/>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8"/>
      <c r="Q14" s="1134">
        <f t="shared" si="6"/>
        <v>111</v>
      </c>
      <c r="R14" s="1503" t="s">
        <v>8</v>
      </c>
      <c r="S14" s="1504">
        <f t="shared" si="0"/>
        <v>100</v>
      </c>
      <c r="T14" s="1503" t="s">
        <v>8</v>
      </c>
      <c r="U14" s="1504">
        <f t="shared" si="1"/>
        <v>100</v>
      </c>
      <c r="V14" s="1503" t="s">
        <v>8</v>
      </c>
      <c r="W14" s="1504">
        <f t="shared" si="2"/>
        <v>100</v>
      </c>
      <c r="X14" s="1505"/>
      <c r="Y14" s="3444"/>
      <c r="Z14" s="1133">
        <f t="shared" si="7"/>
        <v>111</v>
      </c>
      <c r="AA14" s="1506">
        <f t="shared" si="3"/>
        <v>1</v>
      </c>
      <c r="AB14" s="1506">
        <f t="shared" si="4"/>
        <v>1</v>
      </c>
      <c r="AC14" s="1506">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32" t="s">
        <v>534</v>
      </c>
      <c r="Q15" s="1507" t="str">
        <f t="shared" si="6"/>
        <v>产业集聚程度</v>
      </c>
      <c r="R15" s="1508" t="s">
        <v>8</v>
      </c>
      <c r="S15" s="1509">
        <f t="shared" si="0"/>
        <v>100</v>
      </c>
      <c r="T15" s="1508" t="s">
        <v>8</v>
      </c>
      <c r="U15" s="1509">
        <f t="shared" si="1"/>
        <v>100</v>
      </c>
      <c r="V15" s="1508" t="s">
        <v>8</v>
      </c>
      <c r="W15" s="1509">
        <f t="shared" si="2"/>
        <v>100</v>
      </c>
      <c r="X15" s="1502"/>
      <c r="Y15" s="353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33"/>
      <c r="Q16" s="1507"/>
      <c r="R16" s="1508"/>
      <c r="S16" s="1509"/>
      <c r="T16" s="1508"/>
      <c r="U16" s="1509"/>
      <c r="V16" s="1508"/>
      <c r="W16" s="1509"/>
      <c r="X16" s="1502"/>
      <c r="Y16" s="3533"/>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33"/>
      <c r="Q17" s="1507" t="str">
        <f>B17</f>
        <v>交通便捷度</v>
      </c>
      <c r="R17" s="1508" t="s">
        <v>8</v>
      </c>
      <c r="S17" s="1509">
        <f>F17</f>
        <v>100</v>
      </c>
      <c r="T17" s="1508" t="s">
        <v>8</v>
      </c>
      <c r="U17" s="1509">
        <f>H17</f>
        <v>100</v>
      </c>
      <c r="V17" s="1508" t="s">
        <v>8</v>
      </c>
      <c r="W17" s="1509">
        <f>J17</f>
        <v>100</v>
      </c>
      <c r="X17" s="1502"/>
      <c r="Y17" s="353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33"/>
      <c r="Q18" s="1507"/>
      <c r="R18" s="1508"/>
      <c r="S18" s="1509"/>
      <c r="T18" s="1508"/>
      <c r="U18" s="1509"/>
      <c r="V18" s="1508"/>
      <c r="W18" s="1509"/>
      <c r="X18" s="1502"/>
      <c r="Y18" s="3533"/>
      <c r="Z18" s="1510"/>
      <c r="AA18" s="1511">
        <v>1</v>
      </c>
      <c r="AB18" s="1511">
        <v>1</v>
      </c>
      <c r="AC18" s="1511">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33"/>
      <c r="Q19" s="1507" t="str">
        <f>B19</f>
        <v>公共配套设施</v>
      </c>
      <c r="R19" s="1508" t="s">
        <v>8</v>
      </c>
      <c r="S19" s="1509">
        <f>F19</f>
        <v>100</v>
      </c>
      <c r="T19" s="1508" t="s">
        <v>8</v>
      </c>
      <c r="U19" s="1509">
        <f>H19</f>
        <v>100</v>
      </c>
      <c r="V19" s="1508" t="s">
        <v>8</v>
      </c>
      <c r="W19" s="1509">
        <f>J19</f>
        <v>100</v>
      </c>
      <c r="X19" s="1502"/>
      <c r="Y19" s="353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33"/>
      <c r="Q20" s="1507"/>
      <c r="R20" s="1508"/>
      <c r="S20" s="1509"/>
      <c r="T20" s="1508"/>
      <c r="U20" s="1509"/>
      <c r="V20" s="1508"/>
      <c r="W20" s="1509"/>
      <c r="X20" s="1502"/>
      <c r="Y20" s="3533"/>
      <c r="Z20" s="1510"/>
      <c r="AA20" s="1511">
        <v>1</v>
      </c>
      <c r="AB20" s="1511">
        <v>1</v>
      </c>
      <c r="AC20" s="1511">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33"/>
      <c r="Q21" s="2429" t="str">
        <f>B21</f>
        <v>基础设施水平</v>
      </c>
      <c r="R21" s="1508" t="s">
        <v>8</v>
      </c>
      <c r="S21" s="1509">
        <f>F21</f>
        <v>100</v>
      </c>
      <c r="T21" s="1508" t="s">
        <v>8</v>
      </c>
      <c r="U21" s="1509">
        <f>H21</f>
        <v>100</v>
      </c>
      <c r="V21" s="1508" t="s">
        <v>8</v>
      </c>
      <c r="W21" s="1509">
        <f>J21</f>
        <v>100</v>
      </c>
      <c r="X21" s="2431"/>
      <c r="Y21" s="3533"/>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5"/>
      <c r="M22" s="2017"/>
      <c r="N22" s="2017"/>
      <c r="O22" s="2024"/>
      <c r="P22" s="3533"/>
      <c r="Q22" s="2429"/>
      <c r="R22" s="1508"/>
      <c r="S22" s="1509"/>
      <c r="T22" s="1508"/>
      <c r="U22" s="1509"/>
      <c r="V22" s="1508"/>
      <c r="W22" s="1509"/>
      <c r="X22" s="2431"/>
      <c r="Y22" s="3533"/>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33"/>
      <c r="Q23" s="1507" t="str">
        <f>B23</f>
        <v>环境质量</v>
      </c>
      <c r="R23" s="1508" t="s">
        <v>8</v>
      </c>
      <c r="S23" s="1509">
        <f>F23</f>
        <v>100</v>
      </c>
      <c r="T23" s="1508" t="s">
        <v>8</v>
      </c>
      <c r="U23" s="1509">
        <f>H23</f>
        <v>100</v>
      </c>
      <c r="V23" s="1508" t="s">
        <v>8</v>
      </c>
      <c r="W23" s="1509">
        <f>J23</f>
        <v>100</v>
      </c>
      <c r="X23" s="1502"/>
      <c r="Y23" s="353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33"/>
      <c r="Q24" s="1507"/>
      <c r="R24" s="1508"/>
      <c r="S24" s="1509"/>
      <c r="T24" s="1508"/>
      <c r="U24" s="1509"/>
      <c r="V24" s="1508"/>
      <c r="W24" s="1509"/>
      <c r="X24" s="1502"/>
      <c r="Y24" s="353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33"/>
      <c r="Q25" s="1507">
        <f>B25</f>
        <v>111</v>
      </c>
      <c r="R25" s="1508" t="s">
        <v>8</v>
      </c>
      <c r="S25" s="1509">
        <f>F25</f>
        <v>100</v>
      </c>
      <c r="T25" s="1508" t="s">
        <v>8</v>
      </c>
      <c r="U25" s="1509">
        <f>H25</f>
        <v>100</v>
      </c>
      <c r="V25" s="1508" t="s">
        <v>8</v>
      </c>
      <c r="W25" s="1509">
        <f>J25</f>
        <v>100</v>
      </c>
      <c r="X25" s="1502"/>
      <c r="Y25" s="353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33"/>
      <c r="Q26" s="1507">
        <f t="shared" ref="Q26:Q40" si="11">B26</f>
        <v>111</v>
      </c>
      <c r="R26" s="1508" t="s">
        <v>8</v>
      </c>
      <c r="S26" s="1509">
        <f>F26</f>
        <v>100</v>
      </c>
      <c r="T26" s="1508" t="s">
        <v>8</v>
      </c>
      <c r="U26" s="1509">
        <f>H26</f>
        <v>100</v>
      </c>
      <c r="V26" s="1508" t="s">
        <v>8</v>
      </c>
      <c r="W26" s="1509">
        <f>J26</f>
        <v>100</v>
      </c>
      <c r="X26" s="1502"/>
      <c r="Y26" s="353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33"/>
      <c r="Q27" s="1134">
        <f t="shared" si="11"/>
        <v>111</v>
      </c>
      <c r="R27" s="1503" t="s">
        <v>8</v>
      </c>
      <c r="S27" s="1504">
        <f>F27</f>
        <v>100</v>
      </c>
      <c r="T27" s="1503" t="s">
        <v>8</v>
      </c>
      <c r="U27" s="1504">
        <f>H27</f>
        <v>100</v>
      </c>
      <c r="V27" s="1503" t="s">
        <v>8</v>
      </c>
      <c r="W27" s="1504">
        <f>J27</f>
        <v>100</v>
      </c>
      <c r="X27" s="1505"/>
      <c r="Y27" s="353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33"/>
      <c r="Q28" s="1507">
        <f t="shared" si="11"/>
        <v>111</v>
      </c>
      <c r="R28" s="1508" t="s">
        <v>8</v>
      </c>
      <c r="S28" s="1509">
        <f t="shared" ref="S28:S40" si="12">F28</f>
        <v>100</v>
      </c>
      <c r="T28" s="1508" t="s">
        <v>8</v>
      </c>
      <c r="U28" s="1509">
        <f t="shared" ref="U28:U40" si="13">H28</f>
        <v>100</v>
      </c>
      <c r="V28" s="1508" t="s">
        <v>8</v>
      </c>
      <c r="W28" s="1509">
        <f t="shared" ref="W28:W40" si="14">J28</f>
        <v>100</v>
      </c>
      <c r="X28" s="1502"/>
      <c r="Y28" s="3533"/>
      <c r="Z28" s="1510">
        <f t="shared" ref="Z28:Z40" si="15">Q28</f>
        <v>111</v>
      </c>
      <c r="AA28" s="1511">
        <f t="shared" si="3"/>
        <v>1</v>
      </c>
      <c r="AB28" s="1511">
        <f t="shared" si="4"/>
        <v>1</v>
      </c>
      <c r="AC28" s="1511">
        <f t="shared" si="5"/>
        <v>1</v>
      </c>
    </row>
    <row r="29" spans="1:29" ht="15">
      <c r="A29" s="2624"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34" t="s">
        <v>544</v>
      </c>
      <c r="Q29" s="1507" t="str">
        <f t="shared" si="11"/>
        <v>建筑类型</v>
      </c>
      <c r="R29" s="1508" t="s">
        <v>8</v>
      </c>
      <c r="S29" s="1509">
        <f t="shared" si="12"/>
        <v>100</v>
      </c>
      <c r="T29" s="1508" t="s">
        <v>8</v>
      </c>
      <c r="U29" s="1509">
        <f t="shared" si="13"/>
        <v>100</v>
      </c>
      <c r="V29" s="1508" t="s">
        <v>8</v>
      </c>
      <c r="W29" s="1509">
        <f t="shared" si="14"/>
        <v>100</v>
      </c>
      <c r="X29" s="1502"/>
      <c r="Y29" s="353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35"/>
      <c r="Q30" s="1536" t="str">
        <f t="shared" si="11"/>
        <v>项目建筑规模</v>
      </c>
      <c r="R30" s="1512" t="s">
        <v>8</v>
      </c>
      <c r="S30" s="1513" t="e">
        <f t="shared" si="12"/>
        <v>#N/A</v>
      </c>
      <c r="T30" s="1512" t="s">
        <v>8</v>
      </c>
      <c r="U30" s="1513" t="e">
        <f t="shared" si="13"/>
        <v>#N/A</v>
      </c>
      <c r="V30" s="1512" t="s">
        <v>8</v>
      </c>
      <c r="W30" s="1513" t="e">
        <f t="shared" si="14"/>
        <v>#N/A</v>
      </c>
      <c r="X30" s="1514"/>
      <c r="Y30" s="353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35"/>
      <c r="Q31" s="1507" t="str">
        <f t="shared" si="11"/>
        <v>建筑结构</v>
      </c>
      <c r="R31" s="1508" t="s">
        <v>8</v>
      </c>
      <c r="S31" s="1509">
        <f t="shared" si="12"/>
        <v>100</v>
      </c>
      <c r="T31" s="1508" t="s">
        <v>8</v>
      </c>
      <c r="U31" s="1509">
        <f t="shared" si="13"/>
        <v>100</v>
      </c>
      <c r="V31" s="1508" t="s">
        <v>8</v>
      </c>
      <c r="W31" s="1509">
        <f t="shared" si="14"/>
        <v>100</v>
      </c>
      <c r="X31" s="1502"/>
      <c r="Y31" s="353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35"/>
      <c r="Q32" s="1507" t="str">
        <f t="shared" si="11"/>
        <v>公共部分装修</v>
      </c>
      <c r="R32" s="1508" t="s">
        <v>8</v>
      </c>
      <c r="S32" s="1509">
        <f t="shared" si="12"/>
        <v>100</v>
      </c>
      <c r="T32" s="1508" t="s">
        <v>8</v>
      </c>
      <c r="U32" s="1509">
        <f t="shared" si="13"/>
        <v>100</v>
      </c>
      <c r="V32" s="1508" t="s">
        <v>8</v>
      </c>
      <c r="W32" s="1509">
        <f t="shared" si="14"/>
        <v>100</v>
      </c>
      <c r="X32" s="1502"/>
      <c r="Y32" s="353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35"/>
      <c r="Q33" s="1507" t="str">
        <f t="shared" si="11"/>
        <v>成新度</v>
      </c>
      <c r="R33" s="1508" t="s">
        <v>8</v>
      </c>
      <c r="S33" s="1509" t="e">
        <f t="shared" si="12"/>
        <v>#N/A</v>
      </c>
      <c r="T33" s="1508" t="s">
        <v>8</v>
      </c>
      <c r="U33" s="1509" t="e">
        <f t="shared" si="13"/>
        <v>#N/A</v>
      </c>
      <c r="V33" s="1508" t="s">
        <v>8</v>
      </c>
      <c r="W33" s="1509" t="e">
        <f t="shared" si="14"/>
        <v>#N/A</v>
      </c>
      <c r="X33" s="1502"/>
      <c r="Y33" s="353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35"/>
      <c r="Q34" s="1134" t="str">
        <f t="shared" si="11"/>
        <v>物业管理</v>
      </c>
      <c r="R34" s="1503" t="s">
        <v>8</v>
      </c>
      <c r="S34" s="1504">
        <f t="shared" si="12"/>
        <v>100</v>
      </c>
      <c r="T34" s="1503" t="s">
        <v>8</v>
      </c>
      <c r="U34" s="1504">
        <f t="shared" si="13"/>
        <v>100</v>
      </c>
      <c r="V34" s="1503" t="s">
        <v>8</v>
      </c>
      <c r="W34" s="1504">
        <f t="shared" si="14"/>
        <v>100</v>
      </c>
      <c r="X34" s="1505"/>
      <c r="Y34" s="3535"/>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35" t="s">
        <v>544</v>
      </c>
      <c r="Q35" s="1507" t="str">
        <f t="shared" si="11"/>
        <v>市政基础设施</v>
      </c>
      <c r="R35" s="1508" t="s">
        <v>8</v>
      </c>
      <c r="S35" s="1509">
        <f t="shared" si="12"/>
        <v>100</v>
      </c>
      <c r="T35" s="1508" t="s">
        <v>8</v>
      </c>
      <c r="U35" s="1509">
        <f t="shared" si="13"/>
        <v>100</v>
      </c>
      <c r="V35" s="1508" t="s">
        <v>8</v>
      </c>
      <c r="W35" s="1509">
        <f t="shared" si="14"/>
        <v>100</v>
      </c>
      <c r="X35" s="1502"/>
      <c r="Y35" s="353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35"/>
      <c r="Q36" s="1507" t="str">
        <f t="shared" si="11"/>
        <v>内部装修</v>
      </c>
      <c r="R36" s="1508" t="s">
        <v>8</v>
      </c>
      <c r="S36" s="1509">
        <f t="shared" si="12"/>
        <v>100</v>
      </c>
      <c r="T36" s="1508" t="s">
        <v>8</v>
      </c>
      <c r="U36" s="1509">
        <f t="shared" si="13"/>
        <v>100</v>
      </c>
      <c r="V36" s="1508" t="s">
        <v>8</v>
      </c>
      <c r="W36" s="1509">
        <f t="shared" si="14"/>
        <v>100</v>
      </c>
      <c r="X36" s="1502"/>
      <c r="Y36" s="353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35"/>
      <c r="Q37" s="1507" t="str">
        <f t="shared" si="11"/>
        <v>内部装修状况</v>
      </c>
      <c r="R37" s="1508" t="s">
        <v>8</v>
      </c>
      <c r="S37" s="1509">
        <f t="shared" si="12"/>
        <v>100</v>
      </c>
      <c r="T37" s="1508" t="s">
        <v>8</v>
      </c>
      <c r="U37" s="1509">
        <f t="shared" si="13"/>
        <v>100</v>
      </c>
      <c r="V37" s="1508" t="s">
        <v>8</v>
      </c>
      <c r="W37" s="1509">
        <f t="shared" si="14"/>
        <v>100</v>
      </c>
      <c r="X37" s="1502"/>
      <c r="Y37" s="353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35"/>
      <c r="Q38" s="1536">
        <f t="shared" si="11"/>
        <v>111</v>
      </c>
      <c r="R38" s="1512" t="s">
        <v>8</v>
      </c>
      <c r="S38" s="1513">
        <f t="shared" si="12"/>
        <v>100</v>
      </c>
      <c r="T38" s="1512" t="s">
        <v>8</v>
      </c>
      <c r="U38" s="1513">
        <f t="shared" si="13"/>
        <v>100</v>
      </c>
      <c r="V38" s="1512" t="s">
        <v>8</v>
      </c>
      <c r="W38" s="1513">
        <f t="shared" si="14"/>
        <v>100</v>
      </c>
      <c r="X38" s="1514"/>
      <c r="Y38" s="353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35"/>
      <c r="Q39" s="1507">
        <f t="shared" si="11"/>
        <v>111</v>
      </c>
      <c r="R39" s="1508" t="s">
        <v>8</v>
      </c>
      <c r="S39" s="1509">
        <f t="shared" si="12"/>
        <v>100</v>
      </c>
      <c r="T39" s="1508" t="s">
        <v>8</v>
      </c>
      <c r="U39" s="1509">
        <f t="shared" si="13"/>
        <v>100</v>
      </c>
      <c r="V39" s="1508" t="s">
        <v>8</v>
      </c>
      <c r="W39" s="1509">
        <f t="shared" si="14"/>
        <v>100</v>
      </c>
      <c r="X39" s="1502"/>
      <c r="Y39" s="353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7"/>
      <c r="Q40" s="1507">
        <f t="shared" si="11"/>
        <v>111</v>
      </c>
      <c r="R40" s="1508" t="s">
        <v>8</v>
      </c>
      <c r="S40" s="1509">
        <f t="shared" si="12"/>
        <v>100</v>
      </c>
      <c r="T40" s="1508" t="s">
        <v>8</v>
      </c>
      <c r="U40" s="1509">
        <f t="shared" si="13"/>
        <v>100</v>
      </c>
      <c r="V40" s="1508" t="s">
        <v>8</v>
      </c>
      <c r="W40" s="1509">
        <f t="shared" si="14"/>
        <v>100</v>
      </c>
      <c r="X40" s="1502"/>
      <c r="Y40" s="361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7"/>
      <c r="M41" s="2028"/>
      <c r="N41" s="2017"/>
      <c r="O41" s="2028"/>
      <c r="P41" s="3498" t="str">
        <f>A41</f>
        <v>成交单价（元/平方米）</v>
      </c>
      <c r="Q41" s="3498"/>
      <c r="R41" s="3616">
        <f>E41</f>
        <v>0</v>
      </c>
      <c r="S41" s="3616"/>
      <c r="T41" s="3616">
        <f>G41</f>
        <v>0</v>
      </c>
      <c r="U41" s="3616"/>
      <c r="V41" s="3616">
        <f>I41</f>
        <v>0</v>
      </c>
      <c r="W41" s="3616"/>
      <c r="X41" s="1497"/>
      <c r="Y41" s="1516"/>
      <c r="Z41" s="1497"/>
      <c r="AA41" s="1497"/>
      <c r="AB41" s="1497"/>
      <c r="AC41" s="1497"/>
    </row>
    <row r="42" spans="1:29" ht="15.75" thickBot="1">
      <c r="A42" s="609" t="s">
        <v>2740</v>
      </c>
      <c r="B42" s="877"/>
      <c r="C42" s="2476" t="e">
        <f>R43</f>
        <v>#DIV/0!</v>
      </c>
      <c r="D42" s="3012" t="s">
        <v>2971</v>
      </c>
      <c r="E42" s="2477" t="e">
        <f>R42</f>
        <v>#DIV/0!</v>
      </c>
      <c r="F42" s="3013"/>
      <c r="G42" s="2476" t="e">
        <f>T42</f>
        <v>#DIV/0!</v>
      </c>
      <c r="H42" s="3013"/>
      <c r="I42" s="2477" t="e">
        <f>V42</f>
        <v>#DIV/0!</v>
      </c>
      <c r="J42" s="3013"/>
      <c r="K42" s="3021">
        <f>F42+H42+J42</f>
        <v>0</v>
      </c>
      <c r="L42" s="2027"/>
      <c r="M42" s="2028"/>
      <c r="N42" s="2017"/>
      <c r="O42" s="2028"/>
      <c r="P42" s="3498" t="str">
        <f>A42</f>
        <v>比较价格（元/平方米）</v>
      </c>
      <c r="Q42" s="3498"/>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7"/>
      <c r="M43" s="2028"/>
      <c r="N43" s="2028"/>
      <c r="O43" s="2028"/>
      <c r="P43" s="3495" t="str">
        <f>A43</f>
        <v>估价对象XX用房的比较价格（楼面单价，元/平方米）</v>
      </c>
      <c r="Q43" s="3496"/>
      <c r="R43" s="3615" t="e">
        <f>IF(F1="售价",ROUND(IF(D42="简单平均",AVERAGE(R42:V42),R42*F42+T42*H42+V42*J42),0),ROUND(IF(D42="简单平均",AVERAGE(R42:V42),R42*F42+T42*H42+V42*J42),1))</f>
        <v>#DIV/0!</v>
      </c>
      <c r="S43" s="3615"/>
      <c r="T43" s="3615"/>
      <c r="U43" s="3615"/>
      <c r="V43" s="3615"/>
      <c r="W43" s="3615"/>
      <c r="X43" s="1497"/>
      <c r="Y43" s="1497"/>
      <c r="Z43" s="1497"/>
      <c r="AA43" s="1497"/>
      <c r="AB43" s="1497"/>
      <c r="AC43" s="1497"/>
    </row>
    <row r="44" spans="1:29">
      <c r="A44" s="3212"/>
      <c r="B44" s="3212"/>
      <c r="C44" s="3212"/>
      <c r="D44" s="3212"/>
      <c r="E44" s="3212"/>
      <c r="F44" s="3212"/>
      <c r="G44" s="3214"/>
      <c r="H44" s="3212"/>
      <c r="I44" s="3212"/>
      <c r="J44" s="3212"/>
      <c r="K44" s="3215"/>
      <c r="L44" s="2032"/>
      <c r="M44" s="2028"/>
      <c r="N44" s="2028"/>
      <c r="O44" s="2028"/>
      <c r="P44" s="2028"/>
      <c r="Q44" s="2028"/>
      <c r="R44" s="2028"/>
      <c r="S44" s="2028"/>
      <c r="T44" s="2028"/>
      <c r="U44" s="2028"/>
      <c r="V44" s="2028"/>
      <c r="W44" s="2028"/>
      <c r="X44" s="2028"/>
      <c r="Y44" s="2028"/>
      <c r="Z44" s="2028"/>
      <c r="AA44" s="2028"/>
      <c r="AB44" s="2028"/>
      <c r="AC44" s="2028"/>
    </row>
    <row r="45" spans="1:29">
      <c r="A45" s="3212"/>
      <c r="B45" s="3212"/>
      <c r="C45" s="3212"/>
      <c r="D45" s="3212"/>
      <c r="E45" s="3212"/>
      <c r="F45" s="3212"/>
      <c r="G45" s="3212"/>
      <c r="H45" s="3212"/>
      <c r="I45" s="3212"/>
      <c r="J45" s="3212"/>
      <c r="K45" s="3215"/>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19" t="str">
        <f>YEAR(C7)&amp;"-"&amp;MONTH(C7)</f>
        <v>2021-10</v>
      </c>
      <c r="D52" s="2521">
        <f>EDATE(C52,-1)</f>
        <v>44440</v>
      </c>
      <c r="E52" s="2521">
        <f t="shared" ref="E52:O52" si="16">EDATE(D52,-1)</f>
        <v>44409</v>
      </c>
      <c r="F52" s="2521">
        <f t="shared" si="16"/>
        <v>44378</v>
      </c>
      <c r="G52" s="2521">
        <f t="shared" si="16"/>
        <v>44348</v>
      </c>
      <c r="H52" s="2521">
        <f t="shared" si="16"/>
        <v>44317</v>
      </c>
      <c r="I52" s="2521">
        <f t="shared" si="16"/>
        <v>44287</v>
      </c>
      <c r="J52" s="2521">
        <f t="shared" si="16"/>
        <v>44256</v>
      </c>
      <c r="K52" s="2521">
        <f t="shared" si="16"/>
        <v>44228</v>
      </c>
      <c r="L52" s="2521">
        <f t="shared" si="16"/>
        <v>44197</v>
      </c>
      <c r="M52" s="2521">
        <f t="shared" si="16"/>
        <v>44166</v>
      </c>
      <c r="N52" s="2521">
        <f t="shared" si="16"/>
        <v>44136</v>
      </c>
      <c r="O52" s="2521">
        <f t="shared" si="16"/>
        <v>44105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791</v>
      </c>
      <c r="B4" s="507"/>
      <c r="C4" s="3504" t="s">
        <v>792</v>
      </c>
      <c r="D4" s="3505"/>
      <c r="E4" s="3504" t="s">
        <v>793</v>
      </c>
      <c r="F4" s="3505"/>
      <c r="G4" s="3504" t="s">
        <v>794</v>
      </c>
      <c r="H4" s="3505"/>
      <c r="I4" s="3504" t="s">
        <v>795</v>
      </c>
      <c r="J4" s="3505"/>
      <c r="K4" s="508" t="s">
        <v>796</v>
      </c>
      <c r="L4" s="2016"/>
      <c r="M4" s="2017"/>
      <c r="N4" s="2017"/>
      <c r="O4" s="2017"/>
      <c r="P4" s="3506" t="s">
        <v>797</v>
      </c>
      <c r="Q4" s="3507"/>
      <c r="R4" s="3512" t="s">
        <v>793</v>
      </c>
      <c r="S4" s="3513"/>
      <c r="T4" s="3512" t="s">
        <v>794</v>
      </c>
      <c r="U4" s="3513"/>
      <c r="V4" s="3499" t="s">
        <v>795</v>
      </c>
      <c r="W4" s="3499"/>
      <c r="X4" s="1502"/>
      <c r="Y4" s="3512" t="s">
        <v>797</v>
      </c>
      <c r="Z4" s="3513"/>
      <c r="AA4" s="3501" t="s">
        <v>793</v>
      </c>
      <c r="AB4" s="3502" t="s">
        <v>794</v>
      </c>
      <c r="AC4" s="3501" t="s">
        <v>795</v>
      </c>
    </row>
    <row r="5" spans="1:29" ht="15">
      <c r="A5" s="509"/>
      <c r="B5" s="510"/>
      <c r="C5" s="3520" t="s">
        <v>2897</v>
      </c>
      <c r="D5" s="3521"/>
      <c r="E5" s="3520" t="s">
        <v>2898</v>
      </c>
      <c r="F5" s="3521"/>
      <c r="G5" s="3520" t="s">
        <v>2899</v>
      </c>
      <c r="H5" s="3521"/>
      <c r="I5" s="3520" t="s">
        <v>2900</v>
      </c>
      <c r="J5" s="3521"/>
      <c r="K5" s="508"/>
      <c r="L5" s="2016"/>
      <c r="M5" s="2017"/>
      <c r="N5" s="2017"/>
      <c r="O5" s="2017"/>
      <c r="P5" s="3508"/>
      <c r="Q5" s="3509"/>
      <c r="R5" s="3514"/>
      <c r="S5" s="3515"/>
      <c r="T5" s="3514"/>
      <c r="U5" s="3515"/>
      <c r="V5" s="3499"/>
      <c r="W5" s="3499"/>
      <c r="X5" s="1502"/>
      <c r="Y5" s="3514"/>
      <c r="Z5" s="3515"/>
      <c r="AA5" s="3502"/>
      <c r="AB5" s="3502"/>
      <c r="AC5" s="3502"/>
    </row>
    <row r="6" spans="1:29" ht="15.75" thickBot="1">
      <c r="A6" s="511"/>
      <c r="B6" s="512"/>
      <c r="C6" s="3518" t="s">
        <v>2901</v>
      </c>
      <c r="D6" s="3519"/>
      <c r="E6" s="3522" t="s">
        <v>2901</v>
      </c>
      <c r="F6" s="3523"/>
      <c r="G6" s="3518" t="s">
        <v>2901</v>
      </c>
      <c r="H6" s="3519"/>
      <c r="I6" s="3518" t="s">
        <v>2901</v>
      </c>
      <c r="J6" s="3519"/>
      <c r="K6" s="508" t="s">
        <v>522</v>
      </c>
      <c r="L6" s="2016"/>
      <c r="M6" s="2017"/>
      <c r="N6" s="2017"/>
      <c r="O6" s="2017"/>
      <c r="P6" s="3510"/>
      <c r="Q6" s="3511"/>
      <c r="R6" s="3514"/>
      <c r="S6" s="3515"/>
      <c r="T6" s="3516"/>
      <c r="U6" s="3517"/>
      <c r="V6" s="3499"/>
      <c r="W6" s="3499"/>
      <c r="X6" s="1502"/>
      <c r="Y6" s="3516"/>
      <c r="Z6" s="3517"/>
      <c r="AA6" s="3503"/>
      <c r="AB6" s="3503"/>
      <c r="AC6" s="3503"/>
    </row>
    <row r="7" spans="1:29" s="1203" customFormat="1" ht="15.75" thickBot="1">
      <c r="A7" s="2629"/>
      <c r="B7" s="2636" t="s">
        <v>523</v>
      </c>
      <c r="C7" s="513">
        <f>'数据-取费表'!B2</f>
        <v>44499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29" t="s">
        <v>524</v>
      </c>
      <c r="Q7" s="3531"/>
      <c r="R7" s="1503" t="s">
        <v>8</v>
      </c>
      <c r="S7" s="1504">
        <f t="shared" ref="S7:S14" si="0">F7</f>
        <v>0</v>
      </c>
      <c r="T7" s="1503" t="s">
        <v>8</v>
      </c>
      <c r="U7" s="1504">
        <f t="shared" ref="U7:U14" si="1">H7</f>
        <v>0</v>
      </c>
      <c r="V7" s="1503" t="s">
        <v>8</v>
      </c>
      <c r="W7" s="1504">
        <f t="shared" ref="W7:W14"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29" t="s">
        <v>527</v>
      </c>
      <c r="Q8" s="3530"/>
      <c r="R8" s="1503" t="s">
        <v>8</v>
      </c>
      <c r="S8" s="1504">
        <f t="shared" si="0"/>
        <v>0</v>
      </c>
      <c r="T8" s="1503" t="s">
        <v>8</v>
      </c>
      <c r="U8" s="1504">
        <f t="shared" si="1"/>
        <v>0</v>
      </c>
      <c r="V8" s="1503" t="s">
        <v>8</v>
      </c>
      <c r="W8" s="1504">
        <f t="shared" si="2"/>
        <v>0</v>
      </c>
      <c r="X8" s="1505"/>
      <c r="Y8" s="3529" t="s">
        <v>527</v>
      </c>
      <c r="Z8" s="3530"/>
      <c r="AA8" s="1506" t="e">
        <f t="shared" ref="AA8:AA36" si="3">D8/F8</f>
        <v>#DIV/0!</v>
      </c>
      <c r="AB8" s="1506" t="e">
        <f t="shared" ref="AB8:AB36" si="4">D8/H8</f>
        <v>#DIV/0!</v>
      </c>
      <c r="AC8" s="1506"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8" t="s">
        <v>529</v>
      </c>
      <c r="Q9" s="1134" t="str">
        <f t="shared" ref="Q9:Q14" si="6">B9</f>
        <v>用途</v>
      </c>
      <c r="R9" s="1503" t="s">
        <v>8</v>
      </c>
      <c r="S9" s="1504">
        <f t="shared" si="0"/>
        <v>100</v>
      </c>
      <c r="T9" s="1503" t="s">
        <v>8</v>
      </c>
      <c r="U9" s="1504">
        <f t="shared" si="1"/>
        <v>100</v>
      </c>
      <c r="V9" s="1503" t="s">
        <v>8</v>
      </c>
      <c r="W9" s="1504">
        <f t="shared" si="2"/>
        <v>100</v>
      </c>
      <c r="X9" s="1505"/>
      <c r="Y9" s="3444"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8"/>
      <c r="Q11" s="1134">
        <f t="shared" si="6"/>
        <v>111</v>
      </c>
      <c r="R11" s="1503" t="s">
        <v>8</v>
      </c>
      <c r="S11" s="1504">
        <f t="shared" si="0"/>
        <v>100</v>
      </c>
      <c r="T11" s="1503" t="s">
        <v>8</v>
      </c>
      <c r="U11" s="1504">
        <f t="shared" si="1"/>
        <v>100</v>
      </c>
      <c r="V11" s="1503" t="s">
        <v>8</v>
      </c>
      <c r="W11" s="1504">
        <f t="shared" si="2"/>
        <v>100</v>
      </c>
      <c r="X11" s="1505"/>
      <c r="Y11" s="3444"/>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8"/>
      <c r="Q12" s="1134">
        <f t="shared" si="6"/>
        <v>111</v>
      </c>
      <c r="R12" s="1503" t="s">
        <v>8</v>
      </c>
      <c r="S12" s="1504">
        <f t="shared" si="0"/>
        <v>100</v>
      </c>
      <c r="T12" s="1503" t="s">
        <v>8</v>
      </c>
      <c r="U12" s="1504">
        <f t="shared" si="1"/>
        <v>100</v>
      </c>
      <c r="V12" s="1503" t="s">
        <v>8</v>
      </c>
      <c r="W12" s="1504">
        <f t="shared" si="2"/>
        <v>100</v>
      </c>
      <c r="X12" s="1505"/>
      <c r="Y12" s="3444"/>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8"/>
      <c r="Q13" s="1134">
        <f t="shared" si="6"/>
        <v>111</v>
      </c>
      <c r="R13" s="1503" t="s">
        <v>8</v>
      </c>
      <c r="S13" s="1504">
        <f t="shared" si="0"/>
        <v>100</v>
      </c>
      <c r="T13" s="1503" t="s">
        <v>8</v>
      </c>
      <c r="U13" s="1504">
        <f t="shared" si="1"/>
        <v>100</v>
      </c>
      <c r="V13" s="1503" t="s">
        <v>8</v>
      </c>
      <c r="W13" s="1504">
        <f t="shared" si="2"/>
        <v>100</v>
      </c>
      <c r="X13" s="1505"/>
      <c r="Y13" s="3444"/>
      <c r="Z13" s="1133">
        <f t="shared" si="7"/>
        <v>111</v>
      </c>
      <c r="AA13" s="1506">
        <f t="shared" si="3"/>
        <v>1</v>
      </c>
      <c r="AB13" s="1506">
        <f t="shared" si="4"/>
        <v>1</v>
      </c>
      <c r="AC13" s="1506">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32" t="s">
        <v>534</v>
      </c>
      <c r="Q14" s="1507" t="str">
        <f t="shared" si="6"/>
        <v>交通便捷度</v>
      </c>
      <c r="R14" s="1508" t="s">
        <v>8</v>
      </c>
      <c r="S14" s="1509">
        <f t="shared" si="0"/>
        <v>100</v>
      </c>
      <c r="T14" s="1508" t="s">
        <v>8</v>
      </c>
      <c r="U14" s="1509">
        <f t="shared" si="1"/>
        <v>100</v>
      </c>
      <c r="V14" s="1508" t="s">
        <v>8</v>
      </c>
      <c r="W14" s="1509">
        <f t="shared" si="2"/>
        <v>100</v>
      </c>
      <c r="X14" s="1502"/>
      <c r="Y14" s="353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33"/>
      <c r="Q15" s="1507"/>
      <c r="R15" s="1508"/>
      <c r="S15" s="1509"/>
      <c r="T15" s="1508"/>
      <c r="U15" s="1509"/>
      <c r="V15" s="1508"/>
      <c r="W15" s="1509"/>
      <c r="X15" s="1502"/>
      <c r="Y15" s="3533"/>
      <c r="Z15" s="1510"/>
      <c r="AA15" s="1511">
        <v>1</v>
      </c>
      <c r="AB15" s="1511">
        <v>1</v>
      </c>
      <c r="AC15" s="1511">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33"/>
      <c r="Q16" s="1507" t="str">
        <f>B16</f>
        <v>公共配套设施</v>
      </c>
      <c r="R16" s="1508" t="s">
        <v>8</v>
      </c>
      <c r="S16" s="1509">
        <f>F16</f>
        <v>100</v>
      </c>
      <c r="T16" s="1508" t="s">
        <v>8</v>
      </c>
      <c r="U16" s="1509">
        <f>H16</f>
        <v>100</v>
      </c>
      <c r="V16" s="1508" t="s">
        <v>8</v>
      </c>
      <c r="W16" s="1509">
        <f>J16</f>
        <v>100</v>
      </c>
      <c r="X16" s="1502"/>
      <c r="Y16" s="353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33"/>
      <c r="Q17" s="1507"/>
      <c r="R17" s="1508"/>
      <c r="S17" s="1509"/>
      <c r="T17" s="1508"/>
      <c r="U17" s="1509"/>
      <c r="V17" s="1508"/>
      <c r="W17" s="1509"/>
      <c r="X17" s="1502"/>
      <c r="Y17" s="3533"/>
      <c r="Z17" s="1510"/>
      <c r="AA17" s="1511">
        <v>1</v>
      </c>
      <c r="AB17" s="1511">
        <v>1</v>
      </c>
      <c r="AC17" s="1511">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33"/>
      <c r="Q18" s="2429" t="str">
        <f>B18</f>
        <v>基础设施水平</v>
      </c>
      <c r="R18" s="1508" t="s">
        <v>8</v>
      </c>
      <c r="S18" s="1509">
        <f>F18</f>
        <v>100</v>
      </c>
      <c r="T18" s="1508" t="s">
        <v>8</v>
      </c>
      <c r="U18" s="1509">
        <f>H18</f>
        <v>100</v>
      </c>
      <c r="V18" s="1508" t="s">
        <v>8</v>
      </c>
      <c r="W18" s="1509">
        <f>J18</f>
        <v>100</v>
      </c>
      <c r="X18" s="2431"/>
      <c r="Y18" s="3533"/>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5"/>
      <c r="M19" s="2017"/>
      <c r="N19" s="2017"/>
      <c r="O19" s="2024"/>
      <c r="P19" s="3533"/>
      <c r="Q19" s="2429"/>
      <c r="R19" s="1508"/>
      <c r="S19" s="1509"/>
      <c r="T19" s="1508"/>
      <c r="U19" s="1509"/>
      <c r="V19" s="1508"/>
      <c r="W19" s="1509"/>
      <c r="X19" s="2431"/>
      <c r="Y19" s="3533"/>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33"/>
      <c r="Q20" s="1507" t="str">
        <f>B20</f>
        <v>自然及人文环境</v>
      </c>
      <c r="R20" s="1508" t="s">
        <v>8</v>
      </c>
      <c r="S20" s="1509">
        <f>F20</f>
        <v>100</v>
      </c>
      <c r="T20" s="1508" t="s">
        <v>8</v>
      </c>
      <c r="U20" s="1509">
        <f>H20</f>
        <v>100</v>
      </c>
      <c r="V20" s="1508" t="s">
        <v>8</v>
      </c>
      <c r="W20" s="1509">
        <f>J20</f>
        <v>100</v>
      </c>
      <c r="X20" s="1502"/>
      <c r="Y20" s="353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33"/>
      <c r="Q21" s="1507"/>
      <c r="R21" s="1508"/>
      <c r="S21" s="1509"/>
      <c r="T21" s="1508"/>
      <c r="U21" s="1509"/>
      <c r="V21" s="1508"/>
      <c r="W21" s="1509"/>
      <c r="X21" s="1502"/>
      <c r="Y21" s="353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33"/>
      <c r="Q22" s="1507" t="str">
        <f>B22</f>
        <v>楼层</v>
      </c>
      <c r="R22" s="1508" t="s">
        <v>8</v>
      </c>
      <c r="S22" s="1509">
        <f>F22</f>
        <v>100</v>
      </c>
      <c r="T22" s="1508" t="s">
        <v>8</v>
      </c>
      <c r="U22" s="1509">
        <f>H22</f>
        <v>100</v>
      </c>
      <c r="V22" s="1508" t="s">
        <v>8</v>
      </c>
      <c r="W22" s="1509">
        <f>J22</f>
        <v>100</v>
      </c>
      <c r="X22" s="1502"/>
      <c r="Y22" s="353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33"/>
      <c r="Q23" s="1507">
        <f>B23</f>
        <v>111</v>
      </c>
      <c r="R23" s="1508" t="s">
        <v>8</v>
      </c>
      <c r="S23" s="1509">
        <f>F23</f>
        <v>100</v>
      </c>
      <c r="T23" s="1508" t="s">
        <v>8</v>
      </c>
      <c r="U23" s="1509">
        <f>H23</f>
        <v>100</v>
      </c>
      <c r="V23" s="1508" t="s">
        <v>8</v>
      </c>
      <c r="W23" s="1509">
        <f>J23</f>
        <v>100</v>
      </c>
      <c r="X23" s="1502"/>
      <c r="Y23" s="353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33"/>
      <c r="Q24" s="1507">
        <f t="shared" ref="Q24:Q36" si="11">B24</f>
        <v>111</v>
      </c>
      <c r="R24" s="1508" t="s">
        <v>8</v>
      </c>
      <c r="S24" s="1509">
        <f>F24</f>
        <v>100</v>
      </c>
      <c r="T24" s="1508" t="s">
        <v>8</v>
      </c>
      <c r="U24" s="1509">
        <f>H24</f>
        <v>100</v>
      </c>
      <c r="V24" s="1508" t="s">
        <v>8</v>
      </c>
      <c r="W24" s="1509">
        <f>J24</f>
        <v>100</v>
      </c>
      <c r="X24" s="1502"/>
      <c r="Y24" s="353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33"/>
      <c r="Q25" s="1134">
        <f t="shared" si="11"/>
        <v>111</v>
      </c>
      <c r="R25" s="1503" t="s">
        <v>8</v>
      </c>
      <c r="S25" s="1504">
        <f>F25</f>
        <v>100</v>
      </c>
      <c r="T25" s="1503" t="s">
        <v>8</v>
      </c>
      <c r="U25" s="1504">
        <f>H25</f>
        <v>100</v>
      </c>
      <c r="V25" s="1503" t="s">
        <v>8</v>
      </c>
      <c r="W25" s="1504">
        <f>J25</f>
        <v>100</v>
      </c>
      <c r="X25" s="1505"/>
      <c r="Y25" s="3533"/>
      <c r="Z25" s="1133">
        <f>Q25</f>
        <v>111</v>
      </c>
      <c r="AA25" s="1511">
        <f>D25/F25</f>
        <v>1</v>
      </c>
      <c r="AB25" s="1511">
        <f>D25/H25</f>
        <v>1</v>
      </c>
      <c r="AC25" s="1511">
        <f>D25/J25</f>
        <v>1</v>
      </c>
    </row>
    <row r="26" spans="1:29" ht="15">
      <c r="A26" s="2624"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3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3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35"/>
      <c r="Q27" s="1536" t="str">
        <f t="shared" si="11"/>
        <v>项目停车位配比</v>
      </c>
      <c r="R27" s="1512" t="s">
        <v>8</v>
      </c>
      <c r="S27" s="1513">
        <f t="shared" si="12"/>
        <v>100</v>
      </c>
      <c r="T27" s="1512" t="s">
        <v>8</v>
      </c>
      <c r="U27" s="1513">
        <f t="shared" si="13"/>
        <v>100</v>
      </c>
      <c r="V27" s="1512" t="s">
        <v>8</v>
      </c>
      <c r="W27" s="1513">
        <f t="shared" si="14"/>
        <v>100</v>
      </c>
      <c r="X27" s="1514"/>
      <c r="Y27" s="353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35"/>
      <c r="Q28" s="1507" t="str">
        <f t="shared" si="11"/>
        <v>公共部分装修</v>
      </c>
      <c r="R28" s="1508" t="s">
        <v>8</v>
      </c>
      <c r="S28" s="1509">
        <f t="shared" si="12"/>
        <v>100</v>
      </c>
      <c r="T28" s="1508" t="s">
        <v>8</v>
      </c>
      <c r="U28" s="1509">
        <f t="shared" si="13"/>
        <v>100</v>
      </c>
      <c r="V28" s="1508" t="s">
        <v>8</v>
      </c>
      <c r="W28" s="1509">
        <f t="shared" si="14"/>
        <v>100</v>
      </c>
      <c r="X28" s="1502"/>
      <c r="Y28" s="353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35"/>
      <c r="Q29" s="1507" t="str">
        <f t="shared" si="11"/>
        <v>成新率</v>
      </c>
      <c r="R29" s="1508" t="s">
        <v>8</v>
      </c>
      <c r="S29" s="1509" t="e">
        <f t="shared" si="12"/>
        <v>#N/A</v>
      </c>
      <c r="T29" s="1508" t="s">
        <v>8</v>
      </c>
      <c r="U29" s="1509" t="e">
        <f t="shared" si="13"/>
        <v>#N/A</v>
      </c>
      <c r="V29" s="1508" t="s">
        <v>8</v>
      </c>
      <c r="W29" s="1509" t="e">
        <f t="shared" si="14"/>
        <v>#N/A</v>
      </c>
      <c r="X29" s="1502"/>
      <c r="Y29" s="353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35"/>
      <c r="Q30" s="1507" t="str">
        <f t="shared" si="11"/>
        <v>物业等级</v>
      </c>
      <c r="R30" s="1508" t="s">
        <v>8</v>
      </c>
      <c r="S30" s="1509">
        <f t="shared" si="12"/>
        <v>100</v>
      </c>
      <c r="T30" s="1508" t="s">
        <v>8</v>
      </c>
      <c r="U30" s="1509">
        <f t="shared" si="13"/>
        <v>100</v>
      </c>
      <c r="V30" s="1508" t="s">
        <v>8</v>
      </c>
      <c r="W30" s="1509">
        <f t="shared" si="14"/>
        <v>100</v>
      </c>
      <c r="X30" s="1502"/>
      <c r="Y30" s="353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35"/>
      <c r="Q31" s="1134" t="str">
        <f t="shared" si="11"/>
        <v>停车位面积</v>
      </c>
      <c r="R31" s="1503" t="s">
        <v>8</v>
      </c>
      <c r="S31" s="1504" t="e">
        <f t="shared" si="12"/>
        <v>#N/A</v>
      </c>
      <c r="T31" s="1503" t="s">
        <v>8</v>
      </c>
      <c r="U31" s="1504" t="e">
        <f t="shared" si="13"/>
        <v>#N/A</v>
      </c>
      <c r="V31" s="1503" t="s">
        <v>8</v>
      </c>
      <c r="W31" s="1504" t="e">
        <f t="shared" si="14"/>
        <v>#N/A</v>
      </c>
      <c r="X31" s="1505"/>
      <c r="Y31" s="353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35" t="s">
        <v>544</v>
      </c>
      <c r="Q32" s="1507" t="str">
        <f t="shared" si="11"/>
        <v>车位类型</v>
      </c>
      <c r="R32" s="1508" t="s">
        <v>8</v>
      </c>
      <c r="S32" s="1509">
        <f t="shared" si="12"/>
        <v>100</v>
      </c>
      <c r="T32" s="1508" t="s">
        <v>8</v>
      </c>
      <c r="U32" s="1509">
        <f t="shared" si="13"/>
        <v>100</v>
      </c>
      <c r="V32" s="1508" t="s">
        <v>8</v>
      </c>
      <c r="W32" s="1509">
        <f t="shared" si="14"/>
        <v>100</v>
      </c>
      <c r="X32" s="1502"/>
      <c r="Y32" s="353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35"/>
      <c r="Q33" s="1507" t="str">
        <f t="shared" si="11"/>
        <v>是否直接入户</v>
      </c>
      <c r="R33" s="1508" t="s">
        <v>8</v>
      </c>
      <c r="S33" s="1509">
        <f t="shared" si="12"/>
        <v>100</v>
      </c>
      <c r="T33" s="1508" t="s">
        <v>8</v>
      </c>
      <c r="U33" s="1509">
        <f t="shared" si="13"/>
        <v>100</v>
      </c>
      <c r="V33" s="1508" t="s">
        <v>8</v>
      </c>
      <c r="W33" s="1509">
        <f t="shared" si="14"/>
        <v>100</v>
      </c>
      <c r="X33" s="1502"/>
      <c r="Y33" s="353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35"/>
      <c r="Q34" s="1507">
        <f t="shared" si="11"/>
        <v>111</v>
      </c>
      <c r="R34" s="1508" t="s">
        <v>8</v>
      </c>
      <c r="S34" s="1509">
        <f t="shared" si="12"/>
        <v>100</v>
      </c>
      <c r="T34" s="1508" t="s">
        <v>8</v>
      </c>
      <c r="U34" s="1509">
        <f t="shared" si="13"/>
        <v>100</v>
      </c>
      <c r="V34" s="1508" t="s">
        <v>8</v>
      </c>
      <c r="W34" s="1509">
        <f t="shared" si="14"/>
        <v>100</v>
      </c>
      <c r="X34" s="1502"/>
      <c r="Y34" s="353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35"/>
      <c r="Q35" s="1536">
        <f t="shared" si="11"/>
        <v>111</v>
      </c>
      <c r="R35" s="1512" t="s">
        <v>8</v>
      </c>
      <c r="S35" s="1513">
        <f t="shared" si="12"/>
        <v>100</v>
      </c>
      <c r="T35" s="1512" t="s">
        <v>8</v>
      </c>
      <c r="U35" s="1513">
        <f t="shared" si="13"/>
        <v>100</v>
      </c>
      <c r="V35" s="1512" t="s">
        <v>8</v>
      </c>
      <c r="W35" s="1513">
        <f t="shared" si="14"/>
        <v>100</v>
      </c>
      <c r="X35" s="1514"/>
      <c r="Y35" s="353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35"/>
      <c r="Q36" s="1507">
        <f t="shared" si="11"/>
        <v>111</v>
      </c>
      <c r="R36" s="1508" t="s">
        <v>8</v>
      </c>
      <c r="S36" s="1509">
        <f t="shared" si="12"/>
        <v>100</v>
      </c>
      <c r="T36" s="1508" t="s">
        <v>8</v>
      </c>
      <c r="U36" s="1509">
        <f t="shared" si="13"/>
        <v>100</v>
      </c>
      <c r="V36" s="1508" t="s">
        <v>8</v>
      </c>
      <c r="W36" s="1509">
        <f t="shared" si="14"/>
        <v>100</v>
      </c>
      <c r="X36" s="1502"/>
      <c r="Y36" s="3535"/>
      <c r="Z36" s="1510">
        <f t="shared" si="15"/>
        <v>111</v>
      </c>
      <c r="AA36" s="1511">
        <f t="shared" si="3"/>
        <v>1</v>
      </c>
      <c r="AB36" s="1511">
        <f t="shared" si="4"/>
        <v>1</v>
      </c>
      <c r="AC36" s="1511">
        <f t="shared" si="5"/>
        <v>1</v>
      </c>
    </row>
    <row r="37" spans="1:29" ht="15">
      <c r="A37" s="1761" t="s">
        <v>2066</v>
      </c>
      <c r="B37" s="1762" t="s">
        <v>2067</v>
      </c>
      <c r="C37" s="2470" t="s">
        <v>1</v>
      </c>
      <c r="D37" s="2471"/>
      <c r="E37" s="2472"/>
      <c r="F37" s="2473"/>
      <c r="G37" s="2474"/>
      <c r="H37" s="2475"/>
      <c r="I37" s="2472"/>
      <c r="J37" s="2475"/>
      <c r="K37" s="1541"/>
      <c r="L37" s="2027"/>
      <c r="M37" s="2028"/>
      <c r="N37" s="2017"/>
      <c r="O37" s="2028"/>
      <c r="P37" s="3498" t="str">
        <f>A37</f>
        <v>成交单价</v>
      </c>
      <c r="Q37" s="3498"/>
      <c r="R37" s="3616">
        <f>E37</f>
        <v>0</v>
      </c>
      <c r="S37" s="3616"/>
      <c r="T37" s="3616">
        <f>G37</f>
        <v>0</v>
      </c>
      <c r="U37" s="3616"/>
      <c r="V37" s="3616">
        <f>I37</f>
        <v>0</v>
      </c>
      <c r="W37" s="3616"/>
      <c r="X37" s="1497"/>
      <c r="Y37" s="1516"/>
      <c r="Z37" s="1497"/>
      <c r="AA37" s="1497"/>
      <c r="AB37" s="1497"/>
      <c r="AC37" s="1497"/>
    </row>
    <row r="38" spans="1:29" ht="15.75" thickBot="1">
      <c r="A38" s="609" t="s">
        <v>2740</v>
      </c>
      <c r="B38" s="877"/>
      <c r="C38" s="2476" t="e">
        <f>R39</f>
        <v>#DIV/0!</v>
      </c>
      <c r="D38" s="3012" t="s">
        <v>2971</v>
      </c>
      <c r="E38" s="2477" t="e">
        <f>R38</f>
        <v>#DIV/0!</v>
      </c>
      <c r="F38" s="3013"/>
      <c r="G38" s="2476" t="e">
        <f>T38</f>
        <v>#DIV/0!</v>
      </c>
      <c r="H38" s="3013"/>
      <c r="I38" s="2477" t="e">
        <f>V38</f>
        <v>#DIV/0!</v>
      </c>
      <c r="J38" s="3013"/>
      <c r="K38" s="3021">
        <f>F38+H38+J38</f>
        <v>0</v>
      </c>
      <c r="L38" s="2027"/>
      <c r="M38" s="2028"/>
      <c r="N38" s="2028"/>
      <c r="O38" s="2028"/>
      <c r="P38" s="3498" t="str">
        <f>A38</f>
        <v>比较价格（元/平方米）</v>
      </c>
      <c r="Q38" s="3498"/>
      <c r="R38" s="3616" t="e">
        <f>IF(F1="售价",ROUND(PRODUCT(R37,AA7:AA36),0),ROUND(PRODUCT(R37,AA7:AA36),1))</f>
        <v>#DIV/0!</v>
      </c>
      <c r="S38" s="3616"/>
      <c r="T38" s="3616" t="e">
        <f>IF(F1="售价",ROUND(PRODUCT(T37,AB7:AB36),0),ROUND(PRODUCT(T37,AB7:AB36),1))</f>
        <v>#DIV/0!</v>
      </c>
      <c r="U38" s="3616"/>
      <c r="V38" s="3616" t="e">
        <f>IF(F1="售价",ROUND(PRODUCT(V37,AC7:AC36),0),ROUND(PRODUCT(V37,AC7:AC36),1))</f>
        <v>#DIV/0!</v>
      </c>
      <c r="W38" s="3616"/>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7"/>
      <c r="M39" s="2028"/>
      <c r="N39" s="2028"/>
      <c r="O39" s="2028"/>
      <c r="P39" s="3495" t="str">
        <f>A39</f>
        <v>估价对象XX用房的比较价格（楼面单价，元/平方米）</v>
      </c>
      <c r="Q39" s="3496"/>
      <c r="R39" s="3615" t="e">
        <f>IF(F1="售价",ROUND(IF(D38="简单平均",AVERAGE(R38:W38),R38*F38+T38*H38+V38*J38),0),ROUND(IF(D38="简单平均",AVERAGE(R38:V38),R38*F38+T38*H38+V38*J38),1))</f>
        <v>#DIV/0!</v>
      </c>
      <c r="S39" s="3615"/>
      <c r="T39" s="3615"/>
      <c r="U39" s="3615"/>
      <c r="V39" s="3615"/>
      <c r="W39" s="3615"/>
      <c r="X39" s="1497"/>
      <c r="Y39" s="1497"/>
      <c r="Z39" s="1497"/>
      <c r="AA39" s="1497"/>
      <c r="AB39" s="1497"/>
      <c r="AC39" s="1497"/>
    </row>
    <row r="40" spans="1:29">
      <c r="A40" s="3212"/>
      <c r="B40" s="3212"/>
      <c r="C40" s="3212"/>
      <c r="D40" s="3212"/>
      <c r="E40" s="3212"/>
      <c r="F40" s="3212"/>
      <c r="G40" s="3214"/>
      <c r="H40" s="3212"/>
      <c r="I40" s="3212"/>
      <c r="J40" s="3212"/>
      <c r="K40" s="3215"/>
      <c r="L40" s="2032"/>
      <c r="M40" s="2028"/>
      <c r="N40" s="2028"/>
      <c r="O40" s="2028"/>
      <c r="P40" s="2028"/>
      <c r="Q40" s="2028"/>
      <c r="R40" s="2028"/>
      <c r="S40" s="2028"/>
      <c r="T40" s="2028"/>
      <c r="U40" s="2028"/>
      <c r="V40" s="2028"/>
      <c r="W40" s="2028"/>
      <c r="X40" s="2028"/>
      <c r="Y40" s="2028"/>
      <c r="Z40" s="2028"/>
      <c r="AA40" s="2028"/>
      <c r="AB40" s="2028"/>
      <c r="AC40" s="2028"/>
    </row>
    <row r="41" spans="1:29">
      <c r="A41" s="3212"/>
      <c r="B41" s="3212"/>
      <c r="C41" s="3212"/>
      <c r="D41" s="3212"/>
      <c r="E41" s="3212"/>
      <c r="F41" s="3212"/>
      <c r="G41" s="3212"/>
      <c r="H41" s="3212"/>
      <c r="I41" s="3212"/>
      <c r="J41" s="3212"/>
      <c r="K41" s="3215"/>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19" t="str">
        <f>YEAR(C7)&amp;"-"&amp;MONTH(C7)</f>
        <v>2021-10</v>
      </c>
      <c r="D48" s="2521">
        <f>EDATE(C48,-1)</f>
        <v>44440</v>
      </c>
      <c r="E48" s="2521">
        <f t="shared" ref="E48:O48" si="16">EDATE(D48,-1)</f>
        <v>44409</v>
      </c>
      <c r="F48" s="2521">
        <f t="shared" si="16"/>
        <v>44378</v>
      </c>
      <c r="G48" s="2521">
        <f t="shared" si="16"/>
        <v>44348</v>
      </c>
      <c r="H48" s="2521">
        <f t="shared" si="16"/>
        <v>44317</v>
      </c>
      <c r="I48" s="2521">
        <f t="shared" si="16"/>
        <v>44287</v>
      </c>
      <c r="J48" s="2521">
        <f t="shared" si="16"/>
        <v>44256</v>
      </c>
      <c r="K48" s="2521">
        <f t="shared" si="16"/>
        <v>44228</v>
      </c>
      <c r="L48" s="2521">
        <f t="shared" si="16"/>
        <v>44197</v>
      </c>
      <c r="M48" s="2521">
        <f t="shared" si="16"/>
        <v>44166</v>
      </c>
      <c r="N48" s="2521">
        <f t="shared" si="16"/>
        <v>44136</v>
      </c>
      <c r="O48" s="2521">
        <f t="shared" si="16"/>
        <v>44105</v>
      </c>
      <c r="P48" s="2042"/>
      <c r="Q48" s="2043"/>
      <c r="R48" s="2043"/>
      <c r="S48" s="2043"/>
      <c r="T48" s="2043"/>
      <c r="U48" s="2043"/>
      <c r="V48" s="2043"/>
      <c r="W48" s="2043"/>
      <c r="X48" s="2043"/>
      <c r="Y48" s="2043"/>
      <c r="Z48" s="2043"/>
      <c r="AA48" s="2043"/>
      <c r="AB48" s="2043"/>
      <c r="AC48" s="2043"/>
    </row>
    <row r="49" spans="1:29" s="1203" customFormat="1" ht="15">
      <c r="A49" s="639"/>
      <c r="B49" s="640"/>
      <c r="C49" s="2520">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791</v>
      </c>
      <c r="B4" s="507"/>
      <c r="C4" s="3504" t="s">
        <v>792</v>
      </c>
      <c r="D4" s="3505"/>
      <c r="E4" s="3538" t="s">
        <v>793</v>
      </c>
      <c r="F4" s="3539"/>
      <c r="G4" s="3504" t="s">
        <v>794</v>
      </c>
      <c r="H4" s="3505"/>
      <c r="I4" s="3504" t="s">
        <v>795</v>
      </c>
      <c r="J4" s="3505"/>
      <c r="K4" s="508" t="s">
        <v>796</v>
      </c>
      <c r="L4" s="2016"/>
      <c r="M4" s="2017"/>
      <c r="N4" s="2017"/>
      <c r="O4" s="2017"/>
      <c r="P4" s="3506" t="s">
        <v>797</v>
      </c>
      <c r="Q4" s="3507"/>
      <c r="R4" s="3512" t="s">
        <v>793</v>
      </c>
      <c r="S4" s="3513"/>
      <c r="T4" s="3512" t="s">
        <v>794</v>
      </c>
      <c r="U4" s="3513"/>
      <c r="V4" s="3499" t="s">
        <v>795</v>
      </c>
      <c r="W4" s="3499"/>
      <c r="X4" s="1502"/>
      <c r="Y4" s="3512" t="s">
        <v>797</v>
      </c>
      <c r="Z4" s="3513"/>
      <c r="AA4" s="3501" t="s">
        <v>793</v>
      </c>
      <c r="AB4" s="3502" t="s">
        <v>794</v>
      </c>
      <c r="AC4" s="3501" t="s">
        <v>795</v>
      </c>
    </row>
    <row r="5" spans="1:29" ht="15">
      <c r="A5" s="509"/>
      <c r="B5" s="510"/>
      <c r="C5" s="3520" t="s">
        <v>2897</v>
      </c>
      <c r="D5" s="3521"/>
      <c r="E5" s="3540" t="s">
        <v>2898</v>
      </c>
      <c r="F5" s="3541"/>
      <c r="G5" s="3520" t="s">
        <v>2899</v>
      </c>
      <c r="H5" s="3521"/>
      <c r="I5" s="3520" t="s">
        <v>2900</v>
      </c>
      <c r="J5" s="3521"/>
      <c r="K5" s="508"/>
      <c r="L5" s="2016"/>
      <c r="M5" s="2017"/>
      <c r="N5" s="2017"/>
      <c r="O5" s="2017"/>
      <c r="P5" s="3508"/>
      <c r="Q5" s="3509"/>
      <c r="R5" s="3514"/>
      <c r="S5" s="3515"/>
      <c r="T5" s="3514"/>
      <c r="U5" s="3515"/>
      <c r="V5" s="3499"/>
      <c r="W5" s="3499"/>
      <c r="X5" s="1502"/>
      <c r="Y5" s="3514"/>
      <c r="Z5" s="3515"/>
      <c r="AA5" s="3502"/>
      <c r="AB5" s="3502"/>
      <c r="AC5" s="3502"/>
    </row>
    <row r="6" spans="1:29" ht="15.75" thickBot="1">
      <c r="A6" s="511"/>
      <c r="B6" s="512"/>
      <c r="C6" s="3518" t="s">
        <v>2901</v>
      </c>
      <c r="D6" s="3519"/>
      <c r="E6" s="3536" t="s">
        <v>2901</v>
      </c>
      <c r="F6" s="3537"/>
      <c r="G6" s="3518" t="s">
        <v>2901</v>
      </c>
      <c r="H6" s="3519"/>
      <c r="I6" s="3518" t="s">
        <v>2901</v>
      </c>
      <c r="J6" s="3519"/>
      <c r="K6" s="508" t="s">
        <v>522</v>
      </c>
      <c r="L6" s="2016"/>
      <c r="M6" s="2017"/>
      <c r="N6" s="2017"/>
      <c r="O6" s="2017"/>
      <c r="P6" s="3510"/>
      <c r="Q6" s="3511"/>
      <c r="R6" s="3514"/>
      <c r="S6" s="3515"/>
      <c r="T6" s="3516"/>
      <c r="U6" s="3517"/>
      <c r="V6" s="3499"/>
      <c r="W6" s="3499"/>
      <c r="X6" s="1502"/>
      <c r="Y6" s="3516"/>
      <c r="Z6" s="3517"/>
      <c r="AA6" s="3503"/>
      <c r="AB6" s="3503"/>
      <c r="AC6" s="3503"/>
    </row>
    <row r="7" spans="1:29" s="1203" customFormat="1" ht="15.75" thickBot="1">
      <c r="A7" s="2629"/>
      <c r="B7" s="2636" t="s">
        <v>523</v>
      </c>
      <c r="C7" s="513">
        <f>'数据-取费表'!B2</f>
        <v>44499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29" t="s">
        <v>524</v>
      </c>
      <c r="Q7" s="3531"/>
      <c r="R7" s="1503" t="s">
        <v>8</v>
      </c>
      <c r="S7" s="1504">
        <f t="shared" ref="S7:S14" si="0">F7</f>
        <v>0</v>
      </c>
      <c r="T7" s="1503" t="s">
        <v>8</v>
      </c>
      <c r="U7" s="1504">
        <f t="shared" ref="U7:U14" si="1">H7</f>
        <v>0</v>
      </c>
      <c r="V7" s="1503" t="s">
        <v>8</v>
      </c>
      <c r="W7" s="1504">
        <f t="shared" ref="W7:W14" si="2">J7</f>
        <v>0</v>
      </c>
      <c r="X7" s="1505"/>
      <c r="Y7" s="3529" t="s">
        <v>524</v>
      </c>
      <c r="Z7" s="353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29" t="s">
        <v>527</v>
      </c>
      <c r="Q8" s="3530"/>
      <c r="R8" s="1503" t="s">
        <v>8</v>
      </c>
      <c r="S8" s="1504">
        <f t="shared" si="0"/>
        <v>0</v>
      </c>
      <c r="T8" s="1503" t="s">
        <v>8</v>
      </c>
      <c r="U8" s="1504">
        <f t="shared" si="1"/>
        <v>0</v>
      </c>
      <c r="V8" s="1503" t="s">
        <v>8</v>
      </c>
      <c r="W8" s="1504">
        <f t="shared" si="2"/>
        <v>0</v>
      </c>
      <c r="X8" s="1505"/>
      <c r="Y8" s="3529" t="s">
        <v>527</v>
      </c>
      <c r="Z8" s="3530"/>
      <c r="AA8" s="1506" t="e">
        <f t="shared" ref="AA8:AA34" si="3">D8/F8</f>
        <v>#DIV/0!</v>
      </c>
      <c r="AB8" s="1506" t="e">
        <f t="shared" ref="AB8:AB34" si="4">D8/H8</f>
        <v>#DIV/0!</v>
      </c>
      <c r="AC8" s="1506"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8" t="s">
        <v>529</v>
      </c>
      <c r="Q9" s="1134" t="str">
        <f t="shared" ref="Q9:Q14" si="6">B9</f>
        <v>用途</v>
      </c>
      <c r="R9" s="1503" t="s">
        <v>8</v>
      </c>
      <c r="S9" s="1504">
        <f t="shared" si="0"/>
        <v>100</v>
      </c>
      <c r="T9" s="1503" t="s">
        <v>8</v>
      </c>
      <c r="U9" s="1504">
        <f t="shared" si="1"/>
        <v>100</v>
      </c>
      <c r="V9" s="1503" t="s">
        <v>8</v>
      </c>
      <c r="W9" s="1504">
        <f t="shared" si="2"/>
        <v>100</v>
      </c>
      <c r="X9" s="1505"/>
      <c r="Y9" s="3444"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8"/>
      <c r="Q10" s="1134" t="str">
        <f t="shared" si="6"/>
        <v>土地使用年限（年）</v>
      </c>
      <c r="R10" s="1503" t="s">
        <v>8</v>
      </c>
      <c r="S10" s="1504">
        <f t="shared" si="0"/>
        <v>100</v>
      </c>
      <c r="T10" s="1503" t="s">
        <v>8</v>
      </c>
      <c r="U10" s="1504">
        <f t="shared" si="1"/>
        <v>100</v>
      </c>
      <c r="V10" s="1503" t="s">
        <v>8</v>
      </c>
      <c r="W10" s="1504">
        <f t="shared" si="2"/>
        <v>100</v>
      </c>
      <c r="X10" s="1505"/>
      <c r="Y10" s="3444"/>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8"/>
      <c r="Q11" s="1134">
        <f t="shared" si="6"/>
        <v>111</v>
      </c>
      <c r="R11" s="1503" t="s">
        <v>8</v>
      </c>
      <c r="S11" s="1504">
        <f t="shared" si="0"/>
        <v>100</v>
      </c>
      <c r="T11" s="1503" t="s">
        <v>8</v>
      </c>
      <c r="U11" s="1504">
        <f t="shared" si="1"/>
        <v>100</v>
      </c>
      <c r="V11" s="1503" t="s">
        <v>8</v>
      </c>
      <c r="W11" s="1504">
        <f t="shared" si="2"/>
        <v>100</v>
      </c>
      <c r="X11" s="1505"/>
      <c r="Y11" s="3444"/>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8"/>
      <c r="Q12" s="1134">
        <f t="shared" si="6"/>
        <v>111</v>
      </c>
      <c r="R12" s="1503" t="s">
        <v>8</v>
      </c>
      <c r="S12" s="1504">
        <f t="shared" si="0"/>
        <v>100</v>
      </c>
      <c r="T12" s="1503" t="s">
        <v>8</v>
      </c>
      <c r="U12" s="1504">
        <f t="shared" si="1"/>
        <v>100</v>
      </c>
      <c r="V12" s="1503" t="s">
        <v>8</v>
      </c>
      <c r="W12" s="1504">
        <f t="shared" si="2"/>
        <v>100</v>
      </c>
      <c r="X12" s="1505"/>
      <c r="Y12" s="3444"/>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8"/>
      <c r="Q13" s="1134">
        <f t="shared" si="6"/>
        <v>111</v>
      </c>
      <c r="R13" s="1503" t="s">
        <v>8</v>
      </c>
      <c r="S13" s="1504">
        <f t="shared" si="0"/>
        <v>100</v>
      </c>
      <c r="T13" s="1503" t="s">
        <v>8</v>
      </c>
      <c r="U13" s="1504">
        <f t="shared" si="1"/>
        <v>100</v>
      </c>
      <c r="V13" s="1503" t="s">
        <v>8</v>
      </c>
      <c r="W13" s="1504">
        <f t="shared" si="2"/>
        <v>100</v>
      </c>
      <c r="X13" s="1505"/>
      <c r="Y13" s="3444"/>
      <c r="Z13" s="1133">
        <f t="shared" si="7"/>
        <v>111</v>
      </c>
      <c r="AA13" s="1506">
        <f t="shared" si="3"/>
        <v>1</v>
      </c>
      <c r="AB13" s="1506">
        <f t="shared" si="4"/>
        <v>1</v>
      </c>
      <c r="AC13" s="1506">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32" t="s">
        <v>534</v>
      </c>
      <c r="Q14" s="1507" t="str">
        <f t="shared" si="6"/>
        <v>交通便捷度</v>
      </c>
      <c r="R14" s="1508" t="s">
        <v>8</v>
      </c>
      <c r="S14" s="1509">
        <f t="shared" si="0"/>
        <v>100</v>
      </c>
      <c r="T14" s="1508" t="s">
        <v>8</v>
      </c>
      <c r="U14" s="1509">
        <f t="shared" si="1"/>
        <v>100</v>
      </c>
      <c r="V14" s="1508" t="s">
        <v>8</v>
      </c>
      <c r="W14" s="1509">
        <f t="shared" si="2"/>
        <v>100</v>
      </c>
      <c r="X14" s="1502"/>
      <c r="Y14" s="353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33"/>
      <c r="Q15" s="1507"/>
      <c r="R15" s="1508"/>
      <c r="S15" s="1509"/>
      <c r="T15" s="1508"/>
      <c r="U15" s="1509"/>
      <c r="V15" s="1508"/>
      <c r="W15" s="1509"/>
      <c r="X15" s="1502"/>
      <c r="Y15" s="3533"/>
      <c r="Z15" s="1510"/>
      <c r="AA15" s="1511">
        <v>1</v>
      </c>
      <c r="AB15" s="1511">
        <v>1</v>
      </c>
      <c r="AC15" s="1511">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33"/>
      <c r="Q16" s="1507" t="str">
        <f>B16</f>
        <v>公共配套设施</v>
      </c>
      <c r="R16" s="1508" t="s">
        <v>8</v>
      </c>
      <c r="S16" s="1509">
        <f>F16</f>
        <v>100</v>
      </c>
      <c r="T16" s="1508" t="s">
        <v>8</v>
      </c>
      <c r="U16" s="1509">
        <f>H16</f>
        <v>100</v>
      </c>
      <c r="V16" s="1508" t="s">
        <v>8</v>
      </c>
      <c r="W16" s="1509">
        <f>J16</f>
        <v>100</v>
      </c>
      <c r="X16" s="1502"/>
      <c r="Y16" s="353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33"/>
      <c r="Q17" s="1507"/>
      <c r="R17" s="1508"/>
      <c r="S17" s="1509"/>
      <c r="T17" s="1508"/>
      <c r="U17" s="1509"/>
      <c r="V17" s="1508"/>
      <c r="W17" s="1509"/>
      <c r="X17" s="1502"/>
      <c r="Y17" s="3533"/>
      <c r="Z17" s="1510"/>
      <c r="AA17" s="1511">
        <v>1</v>
      </c>
      <c r="AB17" s="1511">
        <v>1</v>
      </c>
      <c r="AC17" s="1511">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33"/>
      <c r="Q18" s="2429" t="str">
        <f>B18</f>
        <v>基础设施水平</v>
      </c>
      <c r="R18" s="1508" t="s">
        <v>8</v>
      </c>
      <c r="S18" s="1509">
        <f>F18</f>
        <v>100</v>
      </c>
      <c r="T18" s="1508" t="s">
        <v>8</v>
      </c>
      <c r="U18" s="1509">
        <f>H18</f>
        <v>100</v>
      </c>
      <c r="V18" s="1508" t="s">
        <v>8</v>
      </c>
      <c r="W18" s="1509">
        <f>J18</f>
        <v>100</v>
      </c>
      <c r="X18" s="2431"/>
      <c r="Y18" s="3533"/>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5"/>
      <c r="M19" s="2017"/>
      <c r="N19" s="2017"/>
      <c r="O19" s="2024"/>
      <c r="P19" s="3533"/>
      <c r="Q19" s="2429"/>
      <c r="R19" s="1508"/>
      <c r="S19" s="1509"/>
      <c r="T19" s="1508"/>
      <c r="U19" s="1509"/>
      <c r="V19" s="1508"/>
      <c r="W19" s="1509"/>
      <c r="X19" s="2431"/>
      <c r="Y19" s="3533"/>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33"/>
      <c r="Q20" s="1507" t="str">
        <f>B20</f>
        <v>自然及人文环境</v>
      </c>
      <c r="R20" s="1508" t="s">
        <v>8</v>
      </c>
      <c r="S20" s="1509">
        <f>F20</f>
        <v>100</v>
      </c>
      <c r="T20" s="1508" t="s">
        <v>8</v>
      </c>
      <c r="U20" s="1509">
        <f>H20</f>
        <v>100</v>
      </c>
      <c r="V20" s="1508" t="s">
        <v>8</v>
      </c>
      <c r="W20" s="1509">
        <f>J20</f>
        <v>100</v>
      </c>
      <c r="X20" s="1502"/>
      <c r="Y20" s="353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33"/>
      <c r="Q21" s="1507"/>
      <c r="R21" s="1508"/>
      <c r="S21" s="1509"/>
      <c r="T21" s="1508"/>
      <c r="U21" s="1509"/>
      <c r="V21" s="1508"/>
      <c r="W21" s="1509"/>
      <c r="X21" s="1502"/>
      <c r="Y21" s="353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33"/>
      <c r="Q22" s="1507" t="str">
        <f>B22</f>
        <v>楼层</v>
      </c>
      <c r="R22" s="1508" t="s">
        <v>8</v>
      </c>
      <c r="S22" s="1509">
        <f>F22</f>
        <v>100</v>
      </c>
      <c r="T22" s="1508" t="s">
        <v>8</v>
      </c>
      <c r="U22" s="1509">
        <f>H22</f>
        <v>100</v>
      </c>
      <c r="V22" s="1508" t="s">
        <v>8</v>
      </c>
      <c r="W22" s="1509">
        <f>J22</f>
        <v>100</v>
      </c>
      <c r="X22" s="1502"/>
      <c r="Y22" s="353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33"/>
      <c r="Q23" s="1507">
        <f>B23</f>
        <v>111</v>
      </c>
      <c r="R23" s="1508" t="s">
        <v>8</v>
      </c>
      <c r="S23" s="1509">
        <f>F23</f>
        <v>100</v>
      </c>
      <c r="T23" s="1508" t="s">
        <v>8</v>
      </c>
      <c r="U23" s="1509">
        <f>H23</f>
        <v>100</v>
      </c>
      <c r="V23" s="1508" t="s">
        <v>8</v>
      </c>
      <c r="W23" s="1509">
        <f>J23</f>
        <v>100</v>
      </c>
      <c r="X23" s="1502"/>
      <c r="Y23" s="353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33"/>
      <c r="Q24" s="1507">
        <f t="shared" ref="Q24:Q34" si="11">B24</f>
        <v>111</v>
      </c>
      <c r="R24" s="1508" t="s">
        <v>8</v>
      </c>
      <c r="S24" s="1509">
        <f>F24</f>
        <v>100</v>
      </c>
      <c r="T24" s="1508" t="s">
        <v>8</v>
      </c>
      <c r="U24" s="1509">
        <f>H24</f>
        <v>100</v>
      </c>
      <c r="V24" s="1508" t="s">
        <v>8</v>
      </c>
      <c r="W24" s="1509">
        <f>J24</f>
        <v>100</v>
      </c>
      <c r="X24" s="1502"/>
      <c r="Y24" s="353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33"/>
      <c r="Q25" s="1134">
        <f t="shared" si="11"/>
        <v>111</v>
      </c>
      <c r="R25" s="1503" t="s">
        <v>8</v>
      </c>
      <c r="S25" s="1504">
        <f>F25</f>
        <v>100</v>
      </c>
      <c r="T25" s="1503" t="s">
        <v>8</v>
      </c>
      <c r="U25" s="1504">
        <f>H25</f>
        <v>100</v>
      </c>
      <c r="V25" s="1503" t="s">
        <v>8</v>
      </c>
      <c r="W25" s="1504">
        <f>J25</f>
        <v>100</v>
      </c>
      <c r="X25" s="1505"/>
      <c r="Y25" s="3533"/>
      <c r="Z25" s="1133">
        <f>Q25</f>
        <v>111</v>
      </c>
      <c r="AA25" s="1511">
        <f>D25/F25</f>
        <v>1</v>
      </c>
      <c r="AB25" s="1511">
        <f>D25/H25</f>
        <v>1</v>
      </c>
      <c r="AC25" s="1511">
        <f>D25/J25</f>
        <v>1</v>
      </c>
    </row>
    <row r="26" spans="1:29" ht="15">
      <c r="A26" s="2624"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3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3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35"/>
      <c r="Q27" s="1536" t="str">
        <f t="shared" si="11"/>
        <v>成新率</v>
      </c>
      <c r="R27" s="1512" t="s">
        <v>8</v>
      </c>
      <c r="S27" s="1513" t="e">
        <f t="shared" si="12"/>
        <v>#N/A</v>
      </c>
      <c r="T27" s="1512" t="s">
        <v>8</v>
      </c>
      <c r="U27" s="1513" t="e">
        <f t="shared" si="13"/>
        <v>#N/A</v>
      </c>
      <c r="V27" s="1512" t="s">
        <v>8</v>
      </c>
      <c r="W27" s="1513" t="e">
        <f t="shared" si="14"/>
        <v>#N/A</v>
      </c>
      <c r="X27" s="1514"/>
      <c r="Y27" s="353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35"/>
      <c r="Q28" s="1507" t="str">
        <f t="shared" si="11"/>
        <v>物业等级</v>
      </c>
      <c r="R28" s="1508" t="s">
        <v>8</v>
      </c>
      <c r="S28" s="1509">
        <f t="shared" si="12"/>
        <v>100</v>
      </c>
      <c r="T28" s="1508" t="s">
        <v>8</v>
      </c>
      <c r="U28" s="1509">
        <f t="shared" si="13"/>
        <v>100</v>
      </c>
      <c r="V28" s="1508" t="s">
        <v>8</v>
      </c>
      <c r="W28" s="1509">
        <f t="shared" si="14"/>
        <v>100</v>
      </c>
      <c r="X28" s="1502"/>
      <c r="Y28" s="353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35"/>
      <c r="Q29" s="1507" t="str">
        <f t="shared" si="11"/>
        <v>有无电梯</v>
      </c>
      <c r="R29" s="1508" t="s">
        <v>8</v>
      </c>
      <c r="S29" s="1509">
        <f t="shared" si="12"/>
        <v>100</v>
      </c>
      <c r="T29" s="1508" t="s">
        <v>8</v>
      </c>
      <c r="U29" s="1509">
        <f t="shared" si="13"/>
        <v>100</v>
      </c>
      <c r="V29" s="1508" t="s">
        <v>8</v>
      </c>
      <c r="W29" s="1509">
        <f t="shared" si="14"/>
        <v>100</v>
      </c>
      <c r="X29" s="1502"/>
      <c r="Y29" s="353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35"/>
      <c r="Q30" s="1507" t="str">
        <f t="shared" si="11"/>
        <v>建筑面积</v>
      </c>
      <c r="R30" s="1508" t="s">
        <v>8</v>
      </c>
      <c r="S30" s="1509" t="e">
        <f t="shared" si="12"/>
        <v>#N/A</v>
      </c>
      <c r="T30" s="1508" t="s">
        <v>8</v>
      </c>
      <c r="U30" s="1509" t="e">
        <f t="shared" si="13"/>
        <v>#N/A</v>
      </c>
      <c r="V30" s="1508" t="s">
        <v>8</v>
      </c>
      <c r="W30" s="1509" t="e">
        <f t="shared" si="14"/>
        <v>#N/A</v>
      </c>
      <c r="X30" s="1502"/>
      <c r="Y30" s="353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35"/>
      <c r="Q31" s="1134" t="str">
        <f t="shared" si="11"/>
        <v>是否封闭</v>
      </c>
      <c r="R31" s="1503" t="s">
        <v>8</v>
      </c>
      <c r="S31" s="1504">
        <f t="shared" si="12"/>
        <v>100</v>
      </c>
      <c r="T31" s="1503" t="s">
        <v>8</v>
      </c>
      <c r="U31" s="1504">
        <f t="shared" si="13"/>
        <v>100</v>
      </c>
      <c r="V31" s="1503" t="s">
        <v>8</v>
      </c>
      <c r="W31" s="1504">
        <f t="shared" si="14"/>
        <v>100</v>
      </c>
      <c r="X31" s="1505"/>
      <c r="Y31" s="353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35" t="s">
        <v>544</v>
      </c>
      <c r="Q32" s="1507">
        <f t="shared" si="11"/>
        <v>111</v>
      </c>
      <c r="R32" s="1508" t="s">
        <v>8</v>
      </c>
      <c r="S32" s="1509">
        <f t="shared" si="12"/>
        <v>100</v>
      </c>
      <c r="T32" s="1508" t="s">
        <v>8</v>
      </c>
      <c r="U32" s="1509">
        <f t="shared" si="13"/>
        <v>100</v>
      </c>
      <c r="V32" s="1508" t="s">
        <v>8</v>
      </c>
      <c r="W32" s="1509">
        <f t="shared" si="14"/>
        <v>100</v>
      </c>
      <c r="X32" s="1502"/>
      <c r="Y32" s="353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35"/>
      <c r="Q33" s="1507">
        <f t="shared" si="11"/>
        <v>111</v>
      </c>
      <c r="R33" s="1508" t="s">
        <v>8</v>
      </c>
      <c r="S33" s="1509">
        <f t="shared" si="12"/>
        <v>100</v>
      </c>
      <c r="T33" s="1508" t="s">
        <v>8</v>
      </c>
      <c r="U33" s="1509">
        <f t="shared" si="13"/>
        <v>100</v>
      </c>
      <c r="V33" s="1508" t="s">
        <v>8</v>
      </c>
      <c r="W33" s="1509">
        <f t="shared" si="14"/>
        <v>100</v>
      </c>
      <c r="X33" s="1502"/>
      <c r="Y33" s="353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35"/>
      <c r="Q34" s="1507">
        <f t="shared" si="11"/>
        <v>111</v>
      </c>
      <c r="R34" s="1508" t="s">
        <v>8</v>
      </c>
      <c r="S34" s="1509">
        <f t="shared" si="12"/>
        <v>100</v>
      </c>
      <c r="T34" s="1508" t="s">
        <v>8</v>
      </c>
      <c r="U34" s="1509">
        <f t="shared" si="13"/>
        <v>100</v>
      </c>
      <c r="V34" s="1508" t="s">
        <v>8</v>
      </c>
      <c r="W34" s="1509">
        <f t="shared" si="14"/>
        <v>100</v>
      </c>
      <c r="X34" s="1502"/>
      <c r="Y34" s="3535"/>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7"/>
      <c r="M35" s="2028"/>
      <c r="N35" s="2017"/>
      <c r="O35" s="2028"/>
      <c r="P35" s="3498" t="str">
        <f>A35</f>
        <v>成交单价（元/平方米）</v>
      </c>
      <c r="Q35" s="3498"/>
      <c r="R35" s="3616">
        <f>E35</f>
        <v>0</v>
      </c>
      <c r="S35" s="3616"/>
      <c r="T35" s="3616">
        <f>G35</f>
        <v>0</v>
      </c>
      <c r="U35" s="3616"/>
      <c r="V35" s="3616">
        <f>I35</f>
        <v>0</v>
      </c>
      <c r="W35" s="3616"/>
      <c r="X35" s="1497"/>
      <c r="Y35" s="1516"/>
      <c r="Z35" s="1497"/>
      <c r="AA35" s="1497"/>
      <c r="AB35" s="1497"/>
      <c r="AC35" s="1497"/>
    </row>
    <row r="36" spans="1:29" ht="15.75" thickBot="1">
      <c r="A36" s="609" t="s">
        <v>2740</v>
      </c>
      <c r="B36" s="877"/>
      <c r="C36" s="2476" t="e">
        <f>R37</f>
        <v>#DIV/0!</v>
      </c>
      <c r="D36" s="3012" t="s">
        <v>2972</v>
      </c>
      <c r="E36" s="2477" t="e">
        <f>R36</f>
        <v>#DIV/0!</v>
      </c>
      <c r="F36" s="3013"/>
      <c r="G36" s="2476" t="e">
        <f>T36</f>
        <v>#DIV/0!</v>
      </c>
      <c r="H36" s="3013"/>
      <c r="I36" s="2477" t="e">
        <f>V36</f>
        <v>#DIV/0!</v>
      </c>
      <c r="J36" s="3013"/>
      <c r="K36" s="3021">
        <f>F36+H36+J36</f>
        <v>0</v>
      </c>
      <c r="L36" s="2027"/>
      <c r="M36" s="2028"/>
      <c r="N36" s="2017"/>
      <c r="O36" s="2028"/>
      <c r="P36" s="3498" t="str">
        <f>A36</f>
        <v>比较价格（元/平方米）</v>
      </c>
      <c r="Q36" s="3498"/>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7"/>
      <c r="M37" s="2028"/>
      <c r="N37" s="2028"/>
      <c r="O37" s="2028"/>
      <c r="P37" s="3495" t="str">
        <f>A37</f>
        <v>估价对象XX用房的比较价格（楼面单价，元/平方米）</v>
      </c>
      <c r="Q37" s="3496"/>
      <c r="R37" s="3615" t="e">
        <f>IF(F1="售价",ROUND(IF(D36="简单平均",AVERAGE(R36:W36),R36*F36+T36*H36+V36*J36),0),ROUND(IF(D36="简单平均",AVERAGE(R36:V36),R36*F36+T36*H36+V36*J36),1))</f>
        <v>#DIV/0!</v>
      </c>
      <c r="S37" s="3615"/>
      <c r="T37" s="3615"/>
      <c r="U37" s="3615"/>
      <c r="V37" s="3615"/>
      <c r="W37" s="3615"/>
      <c r="X37" s="1497"/>
      <c r="Y37" s="1497"/>
      <c r="Z37" s="1497"/>
      <c r="AA37" s="1497"/>
      <c r="AB37" s="1497"/>
      <c r="AC37" s="1497"/>
    </row>
    <row r="38" spans="1:29">
      <c r="A38" s="3212"/>
      <c r="B38" s="3212"/>
      <c r="C38" s="3212"/>
      <c r="D38" s="3212"/>
      <c r="E38" s="3212"/>
      <c r="F38" s="3212"/>
      <c r="G38" s="3214"/>
      <c r="H38" s="3212"/>
      <c r="I38" s="3212"/>
      <c r="J38" s="3212"/>
      <c r="K38" s="3215"/>
      <c r="L38" s="2032"/>
      <c r="M38" s="2028"/>
      <c r="N38" s="2028"/>
      <c r="O38" s="2028"/>
      <c r="P38" s="2028"/>
      <c r="Q38" s="2028"/>
      <c r="R38" s="2028"/>
      <c r="S38" s="2028"/>
      <c r="T38" s="2028"/>
      <c r="U38" s="2028"/>
      <c r="V38" s="2028"/>
      <c r="W38" s="2028"/>
      <c r="X38" s="2028"/>
      <c r="Y38" s="2028"/>
      <c r="Z38" s="2028"/>
      <c r="AA38" s="2028"/>
      <c r="AB38" s="2028"/>
      <c r="AC38" s="2028"/>
    </row>
    <row r="39" spans="1:29">
      <c r="A39" s="3212"/>
      <c r="B39" s="3212"/>
      <c r="C39" s="3212"/>
      <c r="D39" s="3212"/>
      <c r="E39" s="3212"/>
      <c r="F39" s="3212"/>
      <c r="G39" s="3212"/>
      <c r="H39" s="3212"/>
      <c r="I39" s="3212"/>
      <c r="J39" s="3212"/>
      <c r="K39" s="3215"/>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19" t="str">
        <f>YEAR(C7)&amp;"-"&amp;MONTH(C7)</f>
        <v>2021-10</v>
      </c>
      <c r="D46" s="2521">
        <f>EDATE(C46,-1)</f>
        <v>44440</v>
      </c>
      <c r="E46" s="2521">
        <f t="shared" ref="E46:O46" si="16">EDATE(D46,-1)</f>
        <v>44409</v>
      </c>
      <c r="F46" s="2521">
        <f t="shared" si="16"/>
        <v>44378</v>
      </c>
      <c r="G46" s="2521">
        <f t="shared" si="16"/>
        <v>44348</v>
      </c>
      <c r="H46" s="2521">
        <f t="shared" si="16"/>
        <v>44317</v>
      </c>
      <c r="I46" s="2521">
        <f t="shared" si="16"/>
        <v>44287</v>
      </c>
      <c r="J46" s="2521">
        <f t="shared" si="16"/>
        <v>44256</v>
      </c>
      <c r="K46" s="2521">
        <f t="shared" si="16"/>
        <v>44228</v>
      </c>
      <c r="L46" s="2521">
        <f t="shared" si="16"/>
        <v>44197</v>
      </c>
      <c r="M46" s="2521">
        <f t="shared" si="16"/>
        <v>44166</v>
      </c>
      <c r="N46" s="2521">
        <f t="shared" si="16"/>
        <v>44136</v>
      </c>
      <c r="O46" s="2521">
        <f t="shared" si="16"/>
        <v>44105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25" t="s">
        <v>2292</v>
      </c>
      <c r="D1" s="3626"/>
      <c r="E1" s="3626"/>
      <c r="F1" s="3626"/>
      <c r="G1" s="3626"/>
      <c r="H1" s="3626"/>
      <c r="I1" s="3626"/>
      <c r="J1" s="3626"/>
      <c r="K1" s="3626"/>
      <c r="L1" s="3626"/>
      <c r="M1" s="3626"/>
      <c r="N1" s="3626"/>
      <c r="O1" s="3626"/>
      <c r="P1" s="3626"/>
      <c r="Q1" s="3626"/>
      <c r="R1" s="3626"/>
      <c r="S1" s="3627"/>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58"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5"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7"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7"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6"/>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5"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5"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5"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2" t="s">
        <v>20</v>
      </c>
      <c r="D22" s="3623"/>
      <c r="E22" s="3623"/>
      <c r="F22" s="3623"/>
      <c r="G22" s="3623"/>
      <c r="H22" s="3623"/>
      <c r="I22" s="3623"/>
      <c r="J22" s="3623"/>
      <c r="K22" s="3623"/>
      <c r="L22" s="3623"/>
      <c r="M22" s="3623"/>
      <c r="N22" s="3623"/>
      <c r="O22" s="3623"/>
      <c r="P22" s="3623"/>
      <c r="Q22" s="3624"/>
      <c r="R22" s="484" t="e">
        <f>ROUND(S22*10000/B22,0)</f>
        <v>#DIV/0!</v>
      </c>
      <c r="S22" s="53">
        <f>SUM(S24:S10000)</f>
        <v>0</v>
      </c>
    </row>
    <row r="23" spans="1:45" s="1543" customFormat="1" ht="24">
      <c r="A23" s="17" t="s">
        <v>824</v>
      </c>
      <c r="B23" s="2859"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93.75">
      <c r="A7" s="2590"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2"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2767</v>
      </c>
      <c r="C1" s="2720">
        <f>项目基本情况!D3</f>
        <v>44499</v>
      </c>
      <c r="H1" s="2655">
        <f>IF(C1&gt;C13,0,MATCH(C1,C$13:C$105,-1))+IF(SUMIF(C13:C105,C1,D13:D105)=0,13,12)</f>
        <v>13</v>
      </c>
      <c r="I1" s="2655">
        <f ca="1">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2798</v>
      </c>
      <c r="C2" s="2721">
        <f>'数据-取费表'!B22</f>
        <v>3</v>
      </c>
      <c r="D2" s="2716" t="s">
        <v>2768</v>
      </c>
      <c r="E2" s="2719">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2800</v>
      </c>
      <c r="C3" s="2718">
        <f>'数据-取费表'!B19</f>
        <v>0</v>
      </c>
      <c r="D3" s="2716" t="s">
        <v>2768</v>
      </c>
      <c r="E3" s="2719">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2799</v>
      </c>
      <c r="C4" s="2719">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3002</v>
      </c>
      <c r="C17" s="2709">
        <v>43697</v>
      </c>
      <c r="D17" s="3276">
        <v>4.25</v>
      </c>
      <c r="E17" s="3276">
        <v>4.25</v>
      </c>
      <c r="F17" s="3276">
        <v>4.25</v>
      </c>
      <c r="G17" s="3276">
        <v>4.25</v>
      </c>
      <c r="H17" s="3276">
        <v>4.8499999999999996</v>
      </c>
      <c r="I17" s="3276"/>
      <c r="J17" s="3276"/>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4"/>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2797</v>
      </c>
      <c r="J60" s="2707" t="s">
        <v>2797</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election activeCell="E8" sqref="E8"/>
    </sheetView>
  </sheetViews>
  <sheetFormatPr defaultRowHeight="13.5"/>
  <cols>
    <col min="6" max="6" width="24.5" customWidth="1"/>
  </cols>
  <sheetData>
    <row r="1" spans="1:15">
      <c r="A1" s="3285" t="s">
        <v>3014</v>
      </c>
      <c r="B1" s="3285" t="s">
        <v>3015</v>
      </c>
      <c r="C1" s="3285" t="s">
        <v>3016</v>
      </c>
      <c r="D1" s="3285" t="s">
        <v>3017</v>
      </c>
      <c r="E1" s="3285" t="s">
        <v>3018</v>
      </c>
      <c r="F1" s="3285" t="s">
        <v>2021</v>
      </c>
      <c r="G1" s="3285" t="s">
        <v>3019</v>
      </c>
      <c r="H1" s="3285" t="s">
        <v>3020</v>
      </c>
      <c r="I1" s="3285" t="s">
        <v>3021</v>
      </c>
      <c r="J1" s="3285" t="s">
        <v>3022</v>
      </c>
      <c r="K1" s="3285" t="s">
        <v>3023</v>
      </c>
      <c r="L1" s="3285" t="s">
        <v>3024</v>
      </c>
      <c r="M1" s="3285" t="s">
        <v>3025</v>
      </c>
      <c r="N1" s="3285" t="s">
        <v>3026</v>
      </c>
      <c r="O1" s="3285" t="s">
        <v>3027</v>
      </c>
    </row>
    <row r="2" spans="1:15" s="3286" customFormat="1">
      <c r="A2" s="3287" t="s">
        <v>3028</v>
      </c>
      <c r="B2" s="3287" t="s">
        <v>3029</v>
      </c>
      <c r="C2" s="3287" t="s">
        <v>3030</v>
      </c>
      <c r="D2" s="3287">
        <v>2516</v>
      </c>
      <c r="E2" s="3287">
        <v>3774</v>
      </c>
      <c r="F2" s="3287" t="s">
        <v>3031</v>
      </c>
      <c r="G2" s="3287" t="s">
        <v>3032</v>
      </c>
      <c r="H2" s="3287" t="s">
        <v>3033</v>
      </c>
      <c r="I2" s="3287">
        <v>0</v>
      </c>
      <c r="J2" s="3287" t="s">
        <v>3034</v>
      </c>
      <c r="K2" s="3287" t="s">
        <v>3035</v>
      </c>
      <c r="L2" s="3287">
        <v>170</v>
      </c>
      <c r="M2" s="3287">
        <v>450.44</v>
      </c>
      <c r="N2" s="3287">
        <v>0.59</v>
      </c>
      <c r="O2" s="3287" t="s">
        <v>3036</v>
      </c>
    </row>
    <row r="3" spans="1:15" s="3286" customFormat="1">
      <c r="A3" s="3287" t="s">
        <v>3028</v>
      </c>
      <c r="B3" s="3287" t="s">
        <v>3029</v>
      </c>
      <c r="C3" s="3287" t="s">
        <v>3030</v>
      </c>
      <c r="D3" s="3287">
        <v>4689</v>
      </c>
      <c r="E3" s="3287">
        <v>7033.5</v>
      </c>
      <c r="F3" s="3287" t="s">
        <v>3031</v>
      </c>
      <c r="G3" s="3287" t="s">
        <v>3032</v>
      </c>
      <c r="H3" s="3287" t="s">
        <v>3033</v>
      </c>
      <c r="I3" s="3287">
        <v>0</v>
      </c>
      <c r="J3" s="3287" t="s">
        <v>3034</v>
      </c>
      <c r="K3" s="3287" t="s">
        <v>3037</v>
      </c>
      <c r="L3" s="3287">
        <v>314</v>
      </c>
      <c r="M3" s="3287">
        <v>446.43</v>
      </c>
      <c r="N3" s="3287">
        <v>0</v>
      </c>
      <c r="O3" s="3287" t="s">
        <v>3036</v>
      </c>
    </row>
    <row r="4" spans="1:15">
      <c r="A4" s="3285" t="s">
        <v>3038</v>
      </c>
      <c r="B4" s="3285" t="s">
        <v>3029</v>
      </c>
      <c r="C4" s="3285" t="s">
        <v>3030</v>
      </c>
      <c r="D4" s="3285">
        <v>10684</v>
      </c>
      <c r="E4" s="3285">
        <v>32052</v>
      </c>
      <c r="F4" s="3285" t="s">
        <v>3039</v>
      </c>
      <c r="G4" s="3285" t="s">
        <v>3032</v>
      </c>
      <c r="H4" s="3285" t="s">
        <v>3033</v>
      </c>
      <c r="I4" s="3285">
        <v>0</v>
      </c>
      <c r="J4" s="3285" t="s">
        <v>3040</v>
      </c>
      <c r="K4" s="3285" t="s">
        <v>3041</v>
      </c>
      <c r="L4" s="3285">
        <v>4835</v>
      </c>
      <c r="M4" s="3285">
        <v>1508.49</v>
      </c>
      <c r="N4" s="3285">
        <v>0</v>
      </c>
      <c r="O4" s="3285" t="s">
        <v>3042</v>
      </c>
    </row>
    <row r="5" spans="1:15">
      <c r="A5" s="3285" t="s">
        <v>3043</v>
      </c>
      <c r="B5" s="3285" t="s">
        <v>3029</v>
      </c>
      <c r="C5" s="3285" t="s">
        <v>3030</v>
      </c>
      <c r="D5" s="3285">
        <v>11876</v>
      </c>
      <c r="E5" s="3285">
        <v>20189.2</v>
      </c>
      <c r="F5" s="3285" t="s">
        <v>3044</v>
      </c>
      <c r="G5" s="3285" t="s">
        <v>3032</v>
      </c>
      <c r="H5" s="3285" t="s">
        <v>3033</v>
      </c>
      <c r="I5" s="3285">
        <v>0</v>
      </c>
      <c r="J5" s="3285" t="s">
        <v>3045</v>
      </c>
      <c r="K5" s="3285" t="s">
        <v>3046</v>
      </c>
      <c r="L5" s="3285">
        <v>3158</v>
      </c>
      <c r="M5" s="3285">
        <v>1564.2</v>
      </c>
      <c r="N5" s="3285">
        <v>3.81</v>
      </c>
      <c r="O5" s="3285" t="s">
        <v>3042</v>
      </c>
    </row>
    <row r="6" spans="1:15" s="3286" customFormat="1">
      <c r="A6" s="3287" t="s">
        <v>3047</v>
      </c>
      <c r="B6" s="3287" t="s">
        <v>3029</v>
      </c>
      <c r="C6" s="3287" t="s">
        <v>3030</v>
      </c>
      <c r="D6" s="3287">
        <v>4000</v>
      </c>
      <c r="E6" s="3287">
        <v>8000</v>
      </c>
      <c r="F6" s="3287" t="s">
        <v>3048</v>
      </c>
      <c r="G6" s="3287" t="s">
        <v>3032</v>
      </c>
      <c r="H6" s="3287" t="s">
        <v>3033</v>
      </c>
      <c r="I6" s="3287">
        <v>0</v>
      </c>
      <c r="J6" s="3287" t="s">
        <v>3049</v>
      </c>
      <c r="K6" s="3287" t="s">
        <v>3050</v>
      </c>
      <c r="L6" s="3287">
        <v>397</v>
      </c>
      <c r="M6" s="3287">
        <v>496.25</v>
      </c>
      <c r="N6" s="3287">
        <v>0</v>
      </c>
      <c r="O6" s="3287" t="s">
        <v>3036</v>
      </c>
    </row>
    <row r="10" spans="1:15">
      <c r="C10" s="3288"/>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topLeftCell="C1" workbookViewId="0">
      <selection activeCell="C13" sqref="C13"/>
    </sheetView>
  </sheetViews>
  <sheetFormatPr defaultRowHeight="13.5"/>
  <cols>
    <col min="1" max="1" width="33.625" style="2656" customWidth="1"/>
    <col min="2" max="2" width="7.125" style="2656" customWidth="1"/>
    <col min="3" max="3" width="9.5" style="2656" customWidth="1"/>
    <col min="4" max="4" width="10.375" style="2656" customWidth="1"/>
    <col min="5" max="5" width="23.25" style="3303" customWidth="1"/>
    <col min="6" max="6" width="9" style="2656" customWidth="1"/>
    <col min="7" max="7" width="12.875" style="2656" customWidth="1"/>
    <col min="8" max="8" width="12.25" style="2656" customWidth="1"/>
    <col min="9" max="9" width="31.75" style="2656" customWidth="1"/>
    <col min="10" max="10" width="12.125" style="2656" customWidth="1"/>
    <col min="11" max="11" width="18.25" style="2656" customWidth="1"/>
    <col min="12" max="12" width="16.375" style="2656" customWidth="1"/>
    <col min="13" max="13" width="7.125" style="2656" customWidth="1"/>
    <col min="14" max="15" width="9" style="2656" customWidth="1"/>
    <col min="16" max="256" width="8.875" style="2656"/>
    <col min="257" max="257" width="33.625" style="2656" customWidth="1"/>
    <col min="258" max="258" width="7.125" style="2656" customWidth="1"/>
    <col min="259" max="260" width="15.875" style="2656" customWidth="1"/>
    <col min="261" max="261" width="23.25" style="2656" customWidth="1"/>
    <col min="262" max="262" width="9" style="2656" customWidth="1"/>
    <col min="263" max="263" width="12.875" style="2656" customWidth="1"/>
    <col min="264" max="264" width="12.25" style="2656" customWidth="1"/>
    <col min="265" max="265" width="31.75" style="2656" customWidth="1"/>
    <col min="266" max="266" width="12.125" style="2656" customWidth="1"/>
    <col min="267" max="267" width="18.25" style="2656" customWidth="1"/>
    <col min="268" max="268" width="16.375" style="2656" customWidth="1"/>
    <col min="269" max="269" width="7.125" style="2656" customWidth="1"/>
    <col min="270" max="271" width="9" style="2656" customWidth="1"/>
    <col min="272" max="512" width="8.875" style="2656"/>
    <col min="513" max="513" width="33.625" style="2656" customWidth="1"/>
    <col min="514" max="514" width="7.125" style="2656" customWidth="1"/>
    <col min="515" max="516" width="15.875" style="2656" customWidth="1"/>
    <col min="517" max="517" width="23.25" style="2656" customWidth="1"/>
    <col min="518" max="518" width="9" style="2656" customWidth="1"/>
    <col min="519" max="519" width="12.875" style="2656" customWidth="1"/>
    <col min="520" max="520" width="12.25" style="2656" customWidth="1"/>
    <col min="521" max="521" width="31.75" style="2656" customWidth="1"/>
    <col min="522" max="522" width="12.125" style="2656" customWidth="1"/>
    <col min="523" max="523" width="18.25" style="2656" customWidth="1"/>
    <col min="524" max="524" width="16.375" style="2656" customWidth="1"/>
    <col min="525" max="525" width="7.125" style="2656" customWidth="1"/>
    <col min="526" max="527" width="9" style="2656" customWidth="1"/>
    <col min="528" max="768" width="8.875" style="2656"/>
    <col min="769" max="769" width="33.625" style="2656" customWidth="1"/>
    <col min="770" max="770" width="7.125" style="2656" customWidth="1"/>
    <col min="771" max="772" width="15.875" style="2656" customWidth="1"/>
    <col min="773" max="773" width="23.25" style="2656" customWidth="1"/>
    <col min="774" max="774" width="9" style="2656" customWidth="1"/>
    <col min="775" max="775" width="12.875" style="2656" customWidth="1"/>
    <col min="776" max="776" width="12.25" style="2656" customWidth="1"/>
    <col min="777" max="777" width="31.75" style="2656" customWidth="1"/>
    <col min="778" max="778" width="12.125" style="2656" customWidth="1"/>
    <col min="779" max="779" width="18.25" style="2656" customWidth="1"/>
    <col min="780" max="780" width="16.375" style="2656" customWidth="1"/>
    <col min="781" max="781" width="7.125" style="2656" customWidth="1"/>
    <col min="782" max="783" width="9" style="2656" customWidth="1"/>
    <col min="784" max="1024" width="8.875" style="2656"/>
    <col min="1025" max="1025" width="33.625" style="2656" customWidth="1"/>
    <col min="1026" max="1026" width="7.125" style="2656" customWidth="1"/>
    <col min="1027" max="1028" width="15.875" style="2656" customWidth="1"/>
    <col min="1029" max="1029" width="23.25" style="2656" customWidth="1"/>
    <col min="1030" max="1030" width="9" style="2656" customWidth="1"/>
    <col min="1031" max="1031" width="12.875" style="2656" customWidth="1"/>
    <col min="1032" max="1032" width="12.25" style="2656" customWidth="1"/>
    <col min="1033" max="1033" width="31.75" style="2656" customWidth="1"/>
    <col min="1034" max="1034" width="12.125" style="2656" customWidth="1"/>
    <col min="1035" max="1035" width="18.25" style="2656" customWidth="1"/>
    <col min="1036" max="1036" width="16.375" style="2656" customWidth="1"/>
    <col min="1037" max="1037" width="7.125" style="2656" customWidth="1"/>
    <col min="1038" max="1039" width="9" style="2656" customWidth="1"/>
    <col min="1040" max="1280" width="8.875" style="2656"/>
    <col min="1281" max="1281" width="33.625" style="2656" customWidth="1"/>
    <col min="1282" max="1282" width="7.125" style="2656" customWidth="1"/>
    <col min="1283" max="1284" width="15.875" style="2656" customWidth="1"/>
    <col min="1285" max="1285" width="23.25" style="2656" customWidth="1"/>
    <col min="1286" max="1286" width="9" style="2656" customWidth="1"/>
    <col min="1287" max="1287" width="12.875" style="2656" customWidth="1"/>
    <col min="1288" max="1288" width="12.25" style="2656" customWidth="1"/>
    <col min="1289" max="1289" width="31.75" style="2656" customWidth="1"/>
    <col min="1290" max="1290" width="12.125" style="2656" customWidth="1"/>
    <col min="1291" max="1291" width="18.25" style="2656" customWidth="1"/>
    <col min="1292" max="1292" width="16.375" style="2656" customWidth="1"/>
    <col min="1293" max="1293" width="7.125" style="2656" customWidth="1"/>
    <col min="1294" max="1295" width="9" style="2656" customWidth="1"/>
    <col min="1296" max="1536" width="8.875" style="2656"/>
    <col min="1537" max="1537" width="33.625" style="2656" customWidth="1"/>
    <col min="1538" max="1538" width="7.125" style="2656" customWidth="1"/>
    <col min="1539" max="1540" width="15.875" style="2656" customWidth="1"/>
    <col min="1541" max="1541" width="23.25" style="2656" customWidth="1"/>
    <col min="1542" max="1542" width="9" style="2656" customWidth="1"/>
    <col min="1543" max="1543" width="12.875" style="2656" customWidth="1"/>
    <col min="1544" max="1544" width="12.25" style="2656" customWidth="1"/>
    <col min="1545" max="1545" width="31.75" style="2656" customWidth="1"/>
    <col min="1546" max="1546" width="12.125" style="2656" customWidth="1"/>
    <col min="1547" max="1547" width="18.25" style="2656" customWidth="1"/>
    <col min="1548" max="1548" width="16.375" style="2656" customWidth="1"/>
    <col min="1549" max="1549" width="7.125" style="2656" customWidth="1"/>
    <col min="1550" max="1551" width="9" style="2656" customWidth="1"/>
    <col min="1552" max="1792" width="8.875" style="2656"/>
    <col min="1793" max="1793" width="33.625" style="2656" customWidth="1"/>
    <col min="1794" max="1794" width="7.125" style="2656" customWidth="1"/>
    <col min="1795" max="1796" width="15.875" style="2656" customWidth="1"/>
    <col min="1797" max="1797" width="23.25" style="2656" customWidth="1"/>
    <col min="1798" max="1798" width="9" style="2656" customWidth="1"/>
    <col min="1799" max="1799" width="12.875" style="2656" customWidth="1"/>
    <col min="1800" max="1800" width="12.25" style="2656" customWidth="1"/>
    <col min="1801" max="1801" width="31.75" style="2656" customWidth="1"/>
    <col min="1802" max="1802" width="12.125" style="2656" customWidth="1"/>
    <col min="1803" max="1803" width="18.25" style="2656" customWidth="1"/>
    <col min="1804" max="1804" width="16.375" style="2656" customWidth="1"/>
    <col min="1805" max="1805" width="7.125" style="2656" customWidth="1"/>
    <col min="1806" max="1807" width="9" style="2656" customWidth="1"/>
    <col min="1808" max="2048" width="8.875" style="2656"/>
    <col min="2049" max="2049" width="33.625" style="2656" customWidth="1"/>
    <col min="2050" max="2050" width="7.125" style="2656" customWidth="1"/>
    <col min="2051" max="2052" width="15.875" style="2656" customWidth="1"/>
    <col min="2053" max="2053" width="23.25" style="2656" customWidth="1"/>
    <col min="2054" max="2054" width="9" style="2656" customWidth="1"/>
    <col min="2055" max="2055" width="12.875" style="2656" customWidth="1"/>
    <col min="2056" max="2056" width="12.25" style="2656" customWidth="1"/>
    <col min="2057" max="2057" width="31.75" style="2656" customWidth="1"/>
    <col min="2058" max="2058" width="12.125" style="2656" customWidth="1"/>
    <col min="2059" max="2059" width="18.25" style="2656" customWidth="1"/>
    <col min="2060" max="2060" width="16.375" style="2656" customWidth="1"/>
    <col min="2061" max="2061" width="7.125" style="2656" customWidth="1"/>
    <col min="2062" max="2063" width="9" style="2656" customWidth="1"/>
    <col min="2064" max="2304" width="8.875" style="2656"/>
    <col min="2305" max="2305" width="33.625" style="2656" customWidth="1"/>
    <col min="2306" max="2306" width="7.125" style="2656" customWidth="1"/>
    <col min="2307" max="2308" width="15.875" style="2656" customWidth="1"/>
    <col min="2309" max="2309" width="23.25" style="2656" customWidth="1"/>
    <col min="2310" max="2310" width="9" style="2656" customWidth="1"/>
    <col min="2311" max="2311" width="12.875" style="2656" customWidth="1"/>
    <col min="2312" max="2312" width="12.25" style="2656" customWidth="1"/>
    <col min="2313" max="2313" width="31.75" style="2656" customWidth="1"/>
    <col min="2314" max="2314" width="12.125" style="2656" customWidth="1"/>
    <col min="2315" max="2315" width="18.25" style="2656" customWidth="1"/>
    <col min="2316" max="2316" width="16.375" style="2656" customWidth="1"/>
    <col min="2317" max="2317" width="7.125" style="2656" customWidth="1"/>
    <col min="2318" max="2319" width="9" style="2656" customWidth="1"/>
    <col min="2320" max="2560" width="8.875" style="2656"/>
    <col min="2561" max="2561" width="33.625" style="2656" customWidth="1"/>
    <col min="2562" max="2562" width="7.125" style="2656" customWidth="1"/>
    <col min="2563" max="2564" width="15.875" style="2656" customWidth="1"/>
    <col min="2565" max="2565" width="23.25" style="2656" customWidth="1"/>
    <col min="2566" max="2566" width="9" style="2656" customWidth="1"/>
    <col min="2567" max="2567" width="12.875" style="2656" customWidth="1"/>
    <col min="2568" max="2568" width="12.25" style="2656" customWidth="1"/>
    <col min="2569" max="2569" width="31.75" style="2656" customWidth="1"/>
    <col min="2570" max="2570" width="12.125" style="2656" customWidth="1"/>
    <col min="2571" max="2571" width="18.25" style="2656" customWidth="1"/>
    <col min="2572" max="2572" width="16.375" style="2656" customWidth="1"/>
    <col min="2573" max="2573" width="7.125" style="2656" customWidth="1"/>
    <col min="2574" max="2575" width="9" style="2656" customWidth="1"/>
    <col min="2576" max="2816" width="8.875" style="2656"/>
    <col min="2817" max="2817" width="33.625" style="2656" customWidth="1"/>
    <col min="2818" max="2818" width="7.125" style="2656" customWidth="1"/>
    <col min="2819" max="2820" width="15.875" style="2656" customWidth="1"/>
    <col min="2821" max="2821" width="23.25" style="2656" customWidth="1"/>
    <col min="2822" max="2822" width="9" style="2656" customWidth="1"/>
    <col min="2823" max="2823" width="12.875" style="2656" customWidth="1"/>
    <col min="2824" max="2824" width="12.25" style="2656" customWidth="1"/>
    <col min="2825" max="2825" width="31.75" style="2656" customWidth="1"/>
    <col min="2826" max="2826" width="12.125" style="2656" customWidth="1"/>
    <col min="2827" max="2827" width="18.25" style="2656" customWidth="1"/>
    <col min="2828" max="2828" width="16.375" style="2656" customWidth="1"/>
    <col min="2829" max="2829" width="7.125" style="2656" customWidth="1"/>
    <col min="2830" max="2831" width="9" style="2656" customWidth="1"/>
    <col min="2832" max="3072" width="8.875" style="2656"/>
    <col min="3073" max="3073" width="33.625" style="2656" customWidth="1"/>
    <col min="3074" max="3074" width="7.125" style="2656" customWidth="1"/>
    <col min="3075" max="3076" width="15.875" style="2656" customWidth="1"/>
    <col min="3077" max="3077" width="23.25" style="2656" customWidth="1"/>
    <col min="3078" max="3078" width="9" style="2656" customWidth="1"/>
    <col min="3079" max="3079" width="12.875" style="2656" customWidth="1"/>
    <col min="3080" max="3080" width="12.25" style="2656" customWidth="1"/>
    <col min="3081" max="3081" width="31.75" style="2656" customWidth="1"/>
    <col min="3082" max="3082" width="12.125" style="2656" customWidth="1"/>
    <col min="3083" max="3083" width="18.25" style="2656" customWidth="1"/>
    <col min="3084" max="3084" width="16.375" style="2656" customWidth="1"/>
    <col min="3085" max="3085" width="7.125" style="2656" customWidth="1"/>
    <col min="3086" max="3087" width="9" style="2656" customWidth="1"/>
    <col min="3088" max="3328" width="8.875" style="2656"/>
    <col min="3329" max="3329" width="33.625" style="2656" customWidth="1"/>
    <col min="3330" max="3330" width="7.125" style="2656" customWidth="1"/>
    <col min="3331" max="3332" width="15.875" style="2656" customWidth="1"/>
    <col min="3333" max="3333" width="23.25" style="2656" customWidth="1"/>
    <col min="3334" max="3334" width="9" style="2656" customWidth="1"/>
    <col min="3335" max="3335" width="12.875" style="2656" customWidth="1"/>
    <col min="3336" max="3336" width="12.25" style="2656" customWidth="1"/>
    <col min="3337" max="3337" width="31.75" style="2656" customWidth="1"/>
    <col min="3338" max="3338" width="12.125" style="2656" customWidth="1"/>
    <col min="3339" max="3339" width="18.25" style="2656" customWidth="1"/>
    <col min="3340" max="3340" width="16.375" style="2656" customWidth="1"/>
    <col min="3341" max="3341" width="7.125" style="2656" customWidth="1"/>
    <col min="3342" max="3343" width="9" style="2656" customWidth="1"/>
    <col min="3344" max="3584" width="8.875" style="2656"/>
    <col min="3585" max="3585" width="33.625" style="2656" customWidth="1"/>
    <col min="3586" max="3586" width="7.125" style="2656" customWidth="1"/>
    <col min="3587" max="3588" width="15.875" style="2656" customWidth="1"/>
    <col min="3589" max="3589" width="23.25" style="2656" customWidth="1"/>
    <col min="3590" max="3590" width="9" style="2656" customWidth="1"/>
    <col min="3591" max="3591" width="12.875" style="2656" customWidth="1"/>
    <col min="3592" max="3592" width="12.25" style="2656" customWidth="1"/>
    <col min="3593" max="3593" width="31.75" style="2656" customWidth="1"/>
    <col min="3594" max="3594" width="12.125" style="2656" customWidth="1"/>
    <col min="3595" max="3595" width="18.25" style="2656" customWidth="1"/>
    <col min="3596" max="3596" width="16.375" style="2656" customWidth="1"/>
    <col min="3597" max="3597" width="7.125" style="2656" customWidth="1"/>
    <col min="3598" max="3599" width="9" style="2656" customWidth="1"/>
    <col min="3600" max="3840" width="8.875" style="2656"/>
    <col min="3841" max="3841" width="33.625" style="2656" customWidth="1"/>
    <col min="3842" max="3842" width="7.125" style="2656" customWidth="1"/>
    <col min="3843" max="3844" width="15.875" style="2656" customWidth="1"/>
    <col min="3845" max="3845" width="23.25" style="2656" customWidth="1"/>
    <col min="3846" max="3846" width="9" style="2656" customWidth="1"/>
    <col min="3847" max="3847" width="12.875" style="2656" customWidth="1"/>
    <col min="3848" max="3848" width="12.25" style="2656" customWidth="1"/>
    <col min="3849" max="3849" width="31.75" style="2656" customWidth="1"/>
    <col min="3850" max="3850" width="12.125" style="2656" customWidth="1"/>
    <col min="3851" max="3851" width="18.25" style="2656" customWidth="1"/>
    <col min="3852" max="3852" width="16.375" style="2656" customWidth="1"/>
    <col min="3853" max="3853" width="7.125" style="2656" customWidth="1"/>
    <col min="3854" max="3855" width="9" style="2656" customWidth="1"/>
    <col min="3856" max="4096" width="8.875" style="2656"/>
    <col min="4097" max="4097" width="33.625" style="2656" customWidth="1"/>
    <col min="4098" max="4098" width="7.125" style="2656" customWidth="1"/>
    <col min="4099" max="4100" width="15.875" style="2656" customWidth="1"/>
    <col min="4101" max="4101" width="23.25" style="2656" customWidth="1"/>
    <col min="4102" max="4102" width="9" style="2656" customWidth="1"/>
    <col min="4103" max="4103" width="12.875" style="2656" customWidth="1"/>
    <col min="4104" max="4104" width="12.25" style="2656" customWidth="1"/>
    <col min="4105" max="4105" width="31.75" style="2656" customWidth="1"/>
    <col min="4106" max="4106" width="12.125" style="2656" customWidth="1"/>
    <col min="4107" max="4107" width="18.25" style="2656" customWidth="1"/>
    <col min="4108" max="4108" width="16.375" style="2656" customWidth="1"/>
    <col min="4109" max="4109" width="7.125" style="2656" customWidth="1"/>
    <col min="4110" max="4111" width="9" style="2656" customWidth="1"/>
    <col min="4112" max="4352" width="8.875" style="2656"/>
    <col min="4353" max="4353" width="33.625" style="2656" customWidth="1"/>
    <col min="4354" max="4354" width="7.125" style="2656" customWidth="1"/>
    <col min="4355" max="4356" width="15.875" style="2656" customWidth="1"/>
    <col min="4357" max="4357" width="23.25" style="2656" customWidth="1"/>
    <col min="4358" max="4358" width="9" style="2656" customWidth="1"/>
    <col min="4359" max="4359" width="12.875" style="2656" customWidth="1"/>
    <col min="4360" max="4360" width="12.25" style="2656" customWidth="1"/>
    <col min="4361" max="4361" width="31.75" style="2656" customWidth="1"/>
    <col min="4362" max="4362" width="12.125" style="2656" customWidth="1"/>
    <col min="4363" max="4363" width="18.25" style="2656" customWidth="1"/>
    <col min="4364" max="4364" width="16.375" style="2656" customWidth="1"/>
    <col min="4365" max="4365" width="7.125" style="2656" customWidth="1"/>
    <col min="4366" max="4367" width="9" style="2656" customWidth="1"/>
    <col min="4368" max="4608" width="8.875" style="2656"/>
    <col min="4609" max="4609" width="33.625" style="2656" customWidth="1"/>
    <col min="4610" max="4610" width="7.125" style="2656" customWidth="1"/>
    <col min="4611" max="4612" width="15.875" style="2656" customWidth="1"/>
    <col min="4613" max="4613" width="23.25" style="2656" customWidth="1"/>
    <col min="4614" max="4614" width="9" style="2656" customWidth="1"/>
    <col min="4615" max="4615" width="12.875" style="2656" customWidth="1"/>
    <col min="4616" max="4616" width="12.25" style="2656" customWidth="1"/>
    <col min="4617" max="4617" width="31.75" style="2656" customWidth="1"/>
    <col min="4618" max="4618" width="12.125" style="2656" customWidth="1"/>
    <col min="4619" max="4619" width="18.25" style="2656" customWidth="1"/>
    <col min="4620" max="4620" width="16.375" style="2656" customWidth="1"/>
    <col min="4621" max="4621" width="7.125" style="2656" customWidth="1"/>
    <col min="4622" max="4623" width="9" style="2656" customWidth="1"/>
    <col min="4624" max="4864" width="8.875" style="2656"/>
    <col min="4865" max="4865" width="33.625" style="2656" customWidth="1"/>
    <col min="4866" max="4866" width="7.125" style="2656" customWidth="1"/>
    <col min="4867" max="4868" width="15.875" style="2656" customWidth="1"/>
    <col min="4869" max="4869" width="23.25" style="2656" customWidth="1"/>
    <col min="4870" max="4870" width="9" style="2656" customWidth="1"/>
    <col min="4871" max="4871" width="12.875" style="2656" customWidth="1"/>
    <col min="4872" max="4872" width="12.25" style="2656" customWidth="1"/>
    <col min="4873" max="4873" width="31.75" style="2656" customWidth="1"/>
    <col min="4874" max="4874" width="12.125" style="2656" customWidth="1"/>
    <col min="4875" max="4875" width="18.25" style="2656" customWidth="1"/>
    <col min="4876" max="4876" width="16.375" style="2656" customWidth="1"/>
    <col min="4877" max="4877" width="7.125" style="2656" customWidth="1"/>
    <col min="4878" max="4879" width="9" style="2656" customWidth="1"/>
    <col min="4880" max="5120" width="8.875" style="2656"/>
    <col min="5121" max="5121" width="33.625" style="2656" customWidth="1"/>
    <col min="5122" max="5122" width="7.125" style="2656" customWidth="1"/>
    <col min="5123" max="5124" width="15.875" style="2656" customWidth="1"/>
    <col min="5125" max="5125" width="23.25" style="2656" customWidth="1"/>
    <col min="5126" max="5126" width="9" style="2656" customWidth="1"/>
    <col min="5127" max="5127" width="12.875" style="2656" customWidth="1"/>
    <col min="5128" max="5128" width="12.25" style="2656" customWidth="1"/>
    <col min="5129" max="5129" width="31.75" style="2656" customWidth="1"/>
    <col min="5130" max="5130" width="12.125" style="2656" customWidth="1"/>
    <col min="5131" max="5131" width="18.25" style="2656" customWidth="1"/>
    <col min="5132" max="5132" width="16.375" style="2656" customWidth="1"/>
    <col min="5133" max="5133" width="7.125" style="2656" customWidth="1"/>
    <col min="5134" max="5135" width="9" style="2656" customWidth="1"/>
    <col min="5136" max="5376" width="8.875" style="2656"/>
    <col min="5377" max="5377" width="33.625" style="2656" customWidth="1"/>
    <col min="5378" max="5378" width="7.125" style="2656" customWidth="1"/>
    <col min="5379" max="5380" width="15.875" style="2656" customWidth="1"/>
    <col min="5381" max="5381" width="23.25" style="2656" customWidth="1"/>
    <col min="5382" max="5382" width="9" style="2656" customWidth="1"/>
    <col min="5383" max="5383" width="12.875" style="2656" customWidth="1"/>
    <col min="5384" max="5384" width="12.25" style="2656" customWidth="1"/>
    <col min="5385" max="5385" width="31.75" style="2656" customWidth="1"/>
    <col min="5386" max="5386" width="12.125" style="2656" customWidth="1"/>
    <col min="5387" max="5387" width="18.25" style="2656" customWidth="1"/>
    <col min="5388" max="5388" width="16.375" style="2656" customWidth="1"/>
    <col min="5389" max="5389" width="7.125" style="2656" customWidth="1"/>
    <col min="5390" max="5391" width="9" style="2656" customWidth="1"/>
    <col min="5392" max="5632" width="8.875" style="2656"/>
    <col min="5633" max="5633" width="33.625" style="2656" customWidth="1"/>
    <col min="5634" max="5634" width="7.125" style="2656" customWidth="1"/>
    <col min="5635" max="5636" width="15.875" style="2656" customWidth="1"/>
    <col min="5637" max="5637" width="23.25" style="2656" customWidth="1"/>
    <col min="5638" max="5638" width="9" style="2656" customWidth="1"/>
    <col min="5639" max="5639" width="12.875" style="2656" customWidth="1"/>
    <col min="5640" max="5640" width="12.25" style="2656" customWidth="1"/>
    <col min="5641" max="5641" width="31.75" style="2656" customWidth="1"/>
    <col min="5642" max="5642" width="12.125" style="2656" customWidth="1"/>
    <col min="5643" max="5643" width="18.25" style="2656" customWidth="1"/>
    <col min="5644" max="5644" width="16.375" style="2656" customWidth="1"/>
    <col min="5645" max="5645" width="7.125" style="2656" customWidth="1"/>
    <col min="5646" max="5647" width="9" style="2656" customWidth="1"/>
    <col min="5648" max="5888" width="8.875" style="2656"/>
    <col min="5889" max="5889" width="33.625" style="2656" customWidth="1"/>
    <col min="5890" max="5890" width="7.125" style="2656" customWidth="1"/>
    <col min="5891" max="5892" width="15.875" style="2656" customWidth="1"/>
    <col min="5893" max="5893" width="23.25" style="2656" customWidth="1"/>
    <col min="5894" max="5894" width="9" style="2656" customWidth="1"/>
    <col min="5895" max="5895" width="12.875" style="2656" customWidth="1"/>
    <col min="5896" max="5896" width="12.25" style="2656" customWidth="1"/>
    <col min="5897" max="5897" width="31.75" style="2656" customWidth="1"/>
    <col min="5898" max="5898" width="12.125" style="2656" customWidth="1"/>
    <col min="5899" max="5899" width="18.25" style="2656" customWidth="1"/>
    <col min="5900" max="5900" width="16.375" style="2656" customWidth="1"/>
    <col min="5901" max="5901" width="7.125" style="2656" customWidth="1"/>
    <col min="5902" max="5903" width="9" style="2656" customWidth="1"/>
    <col min="5904" max="6144" width="8.875" style="2656"/>
    <col min="6145" max="6145" width="33.625" style="2656" customWidth="1"/>
    <col min="6146" max="6146" width="7.125" style="2656" customWidth="1"/>
    <col min="6147" max="6148" width="15.875" style="2656" customWidth="1"/>
    <col min="6149" max="6149" width="23.25" style="2656" customWidth="1"/>
    <col min="6150" max="6150" width="9" style="2656" customWidth="1"/>
    <col min="6151" max="6151" width="12.875" style="2656" customWidth="1"/>
    <col min="6152" max="6152" width="12.25" style="2656" customWidth="1"/>
    <col min="6153" max="6153" width="31.75" style="2656" customWidth="1"/>
    <col min="6154" max="6154" width="12.125" style="2656" customWidth="1"/>
    <col min="6155" max="6155" width="18.25" style="2656" customWidth="1"/>
    <col min="6156" max="6156" width="16.375" style="2656" customWidth="1"/>
    <col min="6157" max="6157" width="7.125" style="2656" customWidth="1"/>
    <col min="6158" max="6159" width="9" style="2656" customWidth="1"/>
    <col min="6160" max="6400" width="8.875" style="2656"/>
    <col min="6401" max="6401" width="33.625" style="2656" customWidth="1"/>
    <col min="6402" max="6402" width="7.125" style="2656" customWidth="1"/>
    <col min="6403" max="6404" width="15.875" style="2656" customWidth="1"/>
    <col min="6405" max="6405" width="23.25" style="2656" customWidth="1"/>
    <col min="6406" max="6406" width="9" style="2656" customWidth="1"/>
    <col min="6407" max="6407" width="12.875" style="2656" customWidth="1"/>
    <col min="6408" max="6408" width="12.25" style="2656" customWidth="1"/>
    <col min="6409" max="6409" width="31.75" style="2656" customWidth="1"/>
    <col min="6410" max="6410" width="12.125" style="2656" customWidth="1"/>
    <col min="6411" max="6411" width="18.25" style="2656" customWidth="1"/>
    <col min="6412" max="6412" width="16.375" style="2656" customWidth="1"/>
    <col min="6413" max="6413" width="7.125" style="2656" customWidth="1"/>
    <col min="6414" max="6415" width="9" style="2656" customWidth="1"/>
    <col min="6416" max="6656" width="8.875" style="2656"/>
    <col min="6657" max="6657" width="33.625" style="2656" customWidth="1"/>
    <col min="6658" max="6658" width="7.125" style="2656" customWidth="1"/>
    <col min="6659" max="6660" width="15.875" style="2656" customWidth="1"/>
    <col min="6661" max="6661" width="23.25" style="2656" customWidth="1"/>
    <col min="6662" max="6662" width="9" style="2656" customWidth="1"/>
    <col min="6663" max="6663" width="12.875" style="2656" customWidth="1"/>
    <col min="6664" max="6664" width="12.25" style="2656" customWidth="1"/>
    <col min="6665" max="6665" width="31.75" style="2656" customWidth="1"/>
    <col min="6666" max="6666" width="12.125" style="2656" customWidth="1"/>
    <col min="6667" max="6667" width="18.25" style="2656" customWidth="1"/>
    <col min="6668" max="6668" width="16.375" style="2656" customWidth="1"/>
    <col min="6669" max="6669" width="7.125" style="2656" customWidth="1"/>
    <col min="6670" max="6671" width="9" style="2656" customWidth="1"/>
    <col min="6672" max="6912" width="8.875" style="2656"/>
    <col min="6913" max="6913" width="33.625" style="2656" customWidth="1"/>
    <col min="6914" max="6914" width="7.125" style="2656" customWidth="1"/>
    <col min="6915" max="6916" width="15.875" style="2656" customWidth="1"/>
    <col min="6917" max="6917" width="23.25" style="2656" customWidth="1"/>
    <col min="6918" max="6918" width="9" style="2656" customWidth="1"/>
    <col min="6919" max="6919" width="12.875" style="2656" customWidth="1"/>
    <col min="6920" max="6920" width="12.25" style="2656" customWidth="1"/>
    <col min="6921" max="6921" width="31.75" style="2656" customWidth="1"/>
    <col min="6922" max="6922" width="12.125" style="2656" customWidth="1"/>
    <col min="6923" max="6923" width="18.25" style="2656" customWidth="1"/>
    <col min="6924" max="6924" width="16.375" style="2656" customWidth="1"/>
    <col min="6925" max="6925" width="7.125" style="2656" customWidth="1"/>
    <col min="6926" max="6927" width="9" style="2656" customWidth="1"/>
    <col min="6928" max="7168" width="8.875" style="2656"/>
    <col min="7169" max="7169" width="33.625" style="2656" customWidth="1"/>
    <col min="7170" max="7170" width="7.125" style="2656" customWidth="1"/>
    <col min="7171" max="7172" width="15.875" style="2656" customWidth="1"/>
    <col min="7173" max="7173" width="23.25" style="2656" customWidth="1"/>
    <col min="7174" max="7174" width="9" style="2656" customWidth="1"/>
    <col min="7175" max="7175" width="12.875" style="2656" customWidth="1"/>
    <col min="7176" max="7176" width="12.25" style="2656" customWidth="1"/>
    <col min="7177" max="7177" width="31.75" style="2656" customWidth="1"/>
    <col min="7178" max="7178" width="12.125" style="2656" customWidth="1"/>
    <col min="7179" max="7179" width="18.25" style="2656" customWidth="1"/>
    <col min="7180" max="7180" width="16.375" style="2656" customWidth="1"/>
    <col min="7181" max="7181" width="7.125" style="2656" customWidth="1"/>
    <col min="7182" max="7183" width="9" style="2656" customWidth="1"/>
    <col min="7184" max="7424" width="8.875" style="2656"/>
    <col min="7425" max="7425" width="33.625" style="2656" customWidth="1"/>
    <col min="7426" max="7426" width="7.125" style="2656" customWidth="1"/>
    <col min="7427" max="7428" width="15.875" style="2656" customWidth="1"/>
    <col min="7429" max="7429" width="23.25" style="2656" customWidth="1"/>
    <col min="7430" max="7430" width="9" style="2656" customWidth="1"/>
    <col min="7431" max="7431" width="12.875" style="2656" customWidth="1"/>
    <col min="7432" max="7432" width="12.25" style="2656" customWidth="1"/>
    <col min="7433" max="7433" width="31.75" style="2656" customWidth="1"/>
    <col min="7434" max="7434" width="12.125" style="2656" customWidth="1"/>
    <col min="7435" max="7435" width="18.25" style="2656" customWidth="1"/>
    <col min="7436" max="7436" width="16.375" style="2656" customWidth="1"/>
    <col min="7437" max="7437" width="7.125" style="2656" customWidth="1"/>
    <col min="7438" max="7439" width="9" style="2656" customWidth="1"/>
    <col min="7440" max="7680" width="8.875" style="2656"/>
    <col min="7681" max="7681" width="33.625" style="2656" customWidth="1"/>
    <col min="7682" max="7682" width="7.125" style="2656" customWidth="1"/>
    <col min="7683" max="7684" width="15.875" style="2656" customWidth="1"/>
    <col min="7685" max="7685" width="23.25" style="2656" customWidth="1"/>
    <col min="7686" max="7686" width="9" style="2656" customWidth="1"/>
    <col min="7687" max="7687" width="12.875" style="2656" customWidth="1"/>
    <col min="7688" max="7688" width="12.25" style="2656" customWidth="1"/>
    <col min="7689" max="7689" width="31.75" style="2656" customWidth="1"/>
    <col min="7690" max="7690" width="12.125" style="2656" customWidth="1"/>
    <col min="7691" max="7691" width="18.25" style="2656" customWidth="1"/>
    <col min="7692" max="7692" width="16.375" style="2656" customWidth="1"/>
    <col min="7693" max="7693" width="7.125" style="2656" customWidth="1"/>
    <col min="7694" max="7695" width="9" style="2656" customWidth="1"/>
    <col min="7696" max="7936" width="8.875" style="2656"/>
    <col min="7937" max="7937" width="33.625" style="2656" customWidth="1"/>
    <col min="7938" max="7938" width="7.125" style="2656" customWidth="1"/>
    <col min="7939" max="7940" width="15.875" style="2656" customWidth="1"/>
    <col min="7941" max="7941" width="23.25" style="2656" customWidth="1"/>
    <col min="7942" max="7942" width="9" style="2656" customWidth="1"/>
    <col min="7943" max="7943" width="12.875" style="2656" customWidth="1"/>
    <col min="7944" max="7944" width="12.25" style="2656" customWidth="1"/>
    <col min="7945" max="7945" width="31.75" style="2656" customWidth="1"/>
    <col min="7946" max="7946" width="12.125" style="2656" customWidth="1"/>
    <col min="7947" max="7947" width="18.25" style="2656" customWidth="1"/>
    <col min="7948" max="7948" width="16.375" style="2656" customWidth="1"/>
    <col min="7949" max="7949" width="7.125" style="2656" customWidth="1"/>
    <col min="7950" max="7951" width="9" style="2656" customWidth="1"/>
    <col min="7952" max="8192" width="8.875" style="2656"/>
    <col min="8193" max="8193" width="33.625" style="2656" customWidth="1"/>
    <col min="8194" max="8194" width="7.125" style="2656" customWidth="1"/>
    <col min="8195" max="8196" width="15.875" style="2656" customWidth="1"/>
    <col min="8197" max="8197" width="23.25" style="2656" customWidth="1"/>
    <col min="8198" max="8198" width="9" style="2656" customWidth="1"/>
    <col min="8199" max="8199" width="12.875" style="2656" customWidth="1"/>
    <col min="8200" max="8200" width="12.25" style="2656" customWidth="1"/>
    <col min="8201" max="8201" width="31.75" style="2656" customWidth="1"/>
    <col min="8202" max="8202" width="12.125" style="2656" customWidth="1"/>
    <col min="8203" max="8203" width="18.25" style="2656" customWidth="1"/>
    <col min="8204" max="8204" width="16.375" style="2656" customWidth="1"/>
    <col min="8205" max="8205" width="7.125" style="2656" customWidth="1"/>
    <col min="8206" max="8207" width="9" style="2656" customWidth="1"/>
    <col min="8208" max="8448" width="8.875" style="2656"/>
    <col min="8449" max="8449" width="33.625" style="2656" customWidth="1"/>
    <col min="8450" max="8450" width="7.125" style="2656" customWidth="1"/>
    <col min="8451" max="8452" width="15.875" style="2656" customWidth="1"/>
    <col min="8453" max="8453" width="23.25" style="2656" customWidth="1"/>
    <col min="8454" max="8454" width="9" style="2656" customWidth="1"/>
    <col min="8455" max="8455" width="12.875" style="2656" customWidth="1"/>
    <col min="8456" max="8456" width="12.25" style="2656" customWidth="1"/>
    <col min="8457" max="8457" width="31.75" style="2656" customWidth="1"/>
    <col min="8458" max="8458" width="12.125" style="2656" customWidth="1"/>
    <col min="8459" max="8459" width="18.25" style="2656" customWidth="1"/>
    <col min="8460" max="8460" width="16.375" style="2656" customWidth="1"/>
    <col min="8461" max="8461" width="7.125" style="2656" customWidth="1"/>
    <col min="8462" max="8463" width="9" style="2656" customWidth="1"/>
    <col min="8464" max="8704" width="8.875" style="2656"/>
    <col min="8705" max="8705" width="33.625" style="2656" customWidth="1"/>
    <col min="8706" max="8706" width="7.125" style="2656" customWidth="1"/>
    <col min="8707" max="8708" width="15.875" style="2656" customWidth="1"/>
    <col min="8709" max="8709" width="23.25" style="2656" customWidth="1"/>
    <col min="8710" max="8710" width="9" style="2656" customWidth="1"/>
    <col min="8711" max="8711" width="12.875" style="2656" customWidth="1"/>
    <col min="8712" max="8712" width="12.25" style="2656" customWidth="1"/>
    <col min="8713" max="8713" width="31.75" style="2656" customWidth="1"/>
    <col min="8714" max="8714" width="12.125" style="2656" customWidth="1"/>
    <col min="8715" max="8715" width="18.25" style="2656" customWidth="1"/>
    <col min="8716" max="8716" width="16.375" style="2656" customWidth="1"/>
    <col min="8717" max="8717" width="7.125" style="2656" customWidth="1"/>
    <col min="8718" max="8719" width="9" style="2656" customWidth="1"/>
    <col min="8720" max="8960" width="8.875" style="2656"/>
    <col min="8961" max="8961" width="33.625" style="2656" customWidth="1"/>
    <col min="8962" max="8962" width="7.125" style="2656" customWidth="1"/>
    <col min="8963" max="8964" width="15.875" style="2656" customWidth="1"/>
    <col min="8965" max="8965" width="23.25" style="2656" customWidth="1"/>
    <col min="8966" max="8966" width="9" style="2656" customWidth="1"/>
    <col min="8967" max="8967" width="12.875" style="2656" customWidth="1"/>
    <col min="8968" max="8968" width="12.25" style="2656" customWidth="1"/>
    <col min="8969" max="8969" width="31.75" style="2656" customWidth="1"/>
    <col min="8970" max="8970" width="12.125" style="2656" customWidth="1"/>
    <col min="8971" max="8971" width="18.25" style="2656" customWidth="1"/>
    <col min="8972" max="8972" width="16.375" style="2656" customWidth="1"/>
    <col min="8973" max="8973" width="7.125" style="2656" customWidth="1"/>
    <col min="8974" max="8975" width="9" style="2656" customWidth="1"/>
    <col min="8976" max="9216" width="8.875" style="2656"/>
    <col min="9217" max="9217" width="33.625" style="2656" customWidth="1"/>
    <col min="9218" max="9218" width="7.125" style="2656" customWidth="1"/>
    <col min="9219" max="9220" width="15.875" style="2656" customWidth="1"/>
    <col min="9221" max="9221" width="23.25" style="2656" customWidth="1"/>
    <col min="9222" max="9222" width="9" style="2656" customWidth="1"/>
    <col min="9223" max="9223" width="12.875" style="2656" customWidth="1"/>
    <col min="9224" max="9224" width="12.25" style="2656" customWidth="1"/>
    <col min="9225" max="9225" width="31.75" style="2656" customWidth="1"/>
    <col min="9226" max="9226" width="12.125" style="2656" customWidth="1"/>
    <col min="9227" max="9227" width="18.25" style="2656" customWidth="1"/>
    <col min="9228" max="9228" width="16.375" style="2656" customWidth="1"/>
    <col min="9229" max="9229" width="7.125" style="2656" customWidth="1"/>
    <col min="9230" max="9231" width="9" style="2656" customWidth="1"/>
    <col min="9232" max="9472" width="8.875" style="2656"/>
    <col min="9473" max="9473" width="33.625" style="2656" customWidth="1"/>
    <col min="9474" max="9474" width="7.125" style="2656" customWidth="1"/>
    <col min="9475" max="9476" width="15.875" style="2656" customWidth="1"/>
    <col min="9477" max="9477" width="23.25" style="2656" customWidth="1"/>
    <col min="9478" max="9478" width="9" style="2656" customWidth="1"/>
    <col min="9479" max="9479" width="12.875" style="2656" customWidth="1"/>
    <col min="9480" max="9480" width="12.25" style="2656" customWidth="1"/>
    <col min="9481" max="9481" width="31.75" style="2656" customWidth="1"/>
    <col min="9482" max="9482" width="12.125" style="2656" customWidth="1"/>
    <col min="9483" max="9483" width="18.25" style="2656" customWidth="1"/>
    <col min="9484" max="9484" width="16.375" style="2656" customWidth="1"/>
    <col min="9485" max="9485" width="7.125" style="2656" customWidth="1"/>
    <col min="9486" max="9487" width="9" style="2656" customWidth="1"/>
    <col min="9488" max="9728" width="8.875" style="2656"/>
    <col min="9729" max="9729" width="33.625" style="2656" customWidth="1"/>
    <col min="9730" max="9730" width="7.125" style="2656" customWidth="1"/>
    <col min="9731" max="9732" width="15.875" style="2656" customWidth="1"/>
    <col min="9733" max="9733" width="23.25" style="2656" customWidth="1"/>
    <col min="9734" max="9734" width="9" style="2656" customWidth="1"/>
    <col min="9735" max="9735" width="12.875" style="2656" customWidth="1"/>
    <col min="9736" max="9736" width="12.25" style="2656" customWidth="1"/>
    <col min="9737" max="9737" width="31.75" style="2656" customWidth="1"/>
    <col min="9738" max="9738" width="12.125" style="2656" customWidth="1"/>
    <col min="9739" max="9739" width="18.25" style="2656" customWidth="1"/>
    <col min="9740" max="9740" width="16.375" style="2656" customWidth="1"/>
    <col min="9741" max="9741" width="7.125" style="2656" customWidth="1"/>
    <col min="9742" max="9743" width="9" style="2656" customWidth="1"/>
    <col min="9744" max="9984" width="8.875" style="2656"/>
    <col min="9985" max="9985" width="33.625" style="2656" customWidth="1"/>
    <col min="9986" max="9986" width="7.125" style="2656" customWidth="1"/>
    <col min="9987" max="9988" width="15.875" style="2656" customWidth="1"/>
    <col min="9989" max="9989" width="23.25" style="2656" customWidth="1"/>
    <col min="9990" max="9990" width="9" style="2656" customWidth="1"/>
    <col min="9991" max="9991" width="12.875" style="2656" customWidth="1"/>
    <col min="9992" max="9992" width="12.25" style="2656" customWidth="1"/>
    <col min="9993" max="9993" width="31.75" style="2656" customWidth="1"/>
    <col min="9994" max="9994" width="12.125" style="2656" customWidth="1"/>
    <col min="9995" max="9995" width="18.25" style="2656" customWidth="1"/>
    <col min="9996" max="9996" width="16.375" style="2656" customWidth="1"/>
    <col min="9997" max="9997" width="7.125" style="2656" customWidth="1"/>
    <col min="9998" max="9999" width="9" style="2656" customWidth="1"/>
    <col min="10000" max="10240" width="8.875" style="2656"/>
    <col min="10241" max="10241" width="33.625" style="2656" customWidth="1"/>
    <col min="10242" max="10242" width="7.125" style="2656" customWidth="1"/>
    <col min="10243" max="10244" width="15.875" style="2656" customWidth="1"/>
    <col min="10245" max="10245" width="23.25" style="2656" customWidth="1"/>
    <col min="10246" max="10246" width="9" style="2656" customWidth="1"/>
    <col min="10247" max="10247" width="12.875" style="2656" customWidth="1"/>
    <col min="10248" max="10248" width="12.25" style="2656" customWidth="1"/>
    <col min="10249" max="10249" width="31.75" style="2656" customWidth="1"/>
    <col min="10250" max="10250" width="12.125" style="2656" customWidth="1"/>
    <col min="10251" max="10251" width="18.25" style="2656" customWidth="1"/>
    <col min="10252" max="10252" width="16.375" style="2656" customWidth="1"/>
    <col min="10253" max="10253" width="7.125" style="2656" customWidth="1"/>
    <col min="10254" max="10255" width="9" style="2656" customWidth="1"/>
    <col min="10256" max="10496" width="8.875" style="2656"/>
    <col min="10497" max="10497" width="33.625" style="2656" customWidth="1"/>
    <col min="10498" max="10498" width="7.125" style="2656" customWidth="1"/>
    <col min="10499" max="10500" width="15.875" style="2656" customWidth="1"/>
    <col min="10501" max="10501" width="23.25" style="2656" customWidth="1"/>
    <col min="10502" max="10502" width="9" style="2656" customWidth="1"/>
    <col min="10503" max="10503" width="12.875" style="2656" customWidth="1"/>
    <col min="10504" max="10504" width="12.25" style="2656" customWidth="1"/>
    <col min="10505" max="10505" width="31.75" style="2656" customWidth="1"/>
    <col min="10506" max="10506" width="12.125" style="2656" customWidth="1"/>
    <col min="10507" max="10507" width="18.25" style="2656" customWidth="1"/>
    <col min="10508" max="10508" width="16.375" style="2656" customWidth="1"/>
    <col min="10509" max="10509" width="7.125" style="2656" customWidth="1"/>
    <col min="10510" max="10511" width="9" style="2656" customWidth="1"/>
    <col min="10512" max="10752" width="8.875" style="2656"/>
    <col min="10753" max="10753" width="33.625" style="2656" customWidth="1"/>
    <col min="10754" max="10754" width="7.125" style="2656" customWidth="1"/>
    <col min="10755" max="10756" width="15.875" style="2656" customWidth="1"/>
    <col min="10757" max="10757" width="23.25" style="2656" customWidth="1"/>
    <col min="10758" max="10758" width="9" style="2656" customWidth="1"/>
    <col min="10759" max="10759" width="12.875" style="2656" customWidth="1"/>
    <col min="10760" max="10760" width="12.25" style="2656" customWidth="1"/>
    <col min="10761" max="10761" width="31.75" style="2656" customWidth="1"/>
    <col min="10762" max="10762" width="12.125" style="2656" customWidth="1"/>
    <col min="10763" max="10763" width="18.25" style="2656" customWidth="1"/>
    <col min="10764" max="10764" width="16.375" style="2656" customWidth="1"/>
    <col min="10765" max="10765" width="7.125" style="2656" customWidth="1"/>
    <col min="10766" max="10767" width="9" style="2656" customWidth="1"/>
    <col min="10768" max="11008" width="8.875" style="2656"/>
    <col min="11009" max="11009" width="33.625" style="2656" customWidth="1"/>
    <col min="11010" max="11010" width="7.125" style="2656" customWidth="1"/>
    <col min="11011" max="11012" width="15.875" style="2656" customWidth="1"/>
    <col min="11013" max="11013" width="23.25" style="2656" customWidth="1"/>
    <col min="11014" max="11014" width="9" style="2656" customWidth="1"/>
    <col min="11015" max="11015" width="12.875" style="2656" customWidth="1"/>
    <col min="11016" max="11016" width="12.25" style="2656" customWidth="1"/>
    <col min="11017" max="11017" width="31.75" style="2656" customWidth="1"/>
    <col min="11018" max="11018" width="12.125" style="2656" customWidth="1"/>
    <col min="11019" max="11019" width="18.25" style="2656" customWidth="1"/>
    <col min="11020" max="11020" width="16.375" style="2656" customWidth="1"/>
    <col min="11021" max="11021" width="7.125" style="2656" customWidth="1"/>
    <col min="11022" max="11023" width="9" style="2656" customWidth="1"/>
    <col min="11024" max="11264" width="8.875" style="2656"/>
    <col min="11265" max="11265" width="33.625" style="2656" customWidth="1"/>
    <col min="11266" max="11266" width="7.125" style="2656" customWidth="1"/>
    <col min="11267" max="11268" width="15.875" style="2656" customWidth="1"/>
    <col min="11269" max="11269" width="23.25" style="2656" customWidth="1"/>
    <col min="11270" max="11270" width="9" style="2656" customWidth="1"/>
    <col min="11271" max="11271" width="12.875" style="2656" customWidth="1"/>
    <col min="11272" max="11272" width="12.25" style="2656" customWidth="1"/>
    <col min="11273" max="11273" width="31.75" style="2656" customWidth="1"/>
    <col min="11274" max="11274" width="12.125" style="2656" customWidth="1"/>
    <col min="11275" max="11275" width="18.25" style="2656" customWidth="1"/>
    <col min="11276" max="11276" width="16.375" style="2656" customWidth="1"/>
    <col min="11277" max="11277" width="7.125" style="2656" customWidth="1"/>
    <col min="11278" max="11279" width="9" style="2656" customWidth="1"/>
    <col min="11280" max="11520" width="8.875" style="2656"/>
    <col min="11521" max="11521" width="33.625" style="2656" customWidth="1"/>
    <col min="11522" max="11522" width="7.125" style="2656" customWidth="1"/>
    <col min="11523" max="11524" width="15.875" style="2656" customWidth="1"/>
    <col min="11525" max="11525" width="23.25" style="2656" customWidth="1"/>
    <col min="11526" max="11526" width="9" style="2656" customWidth="1"/>
    <col min="11527" max="11527" width="12.875" style="2656" customWidth="1"/>
    <col min="11528" max="11528" width="12.25" style="2656" customWidth="1"/>
    <col min="11529" max="11529" width="31.75" style="2656" customWidth="1"/>
    <col min="11530" max="11530" width="12.125" style="2656" customWidth="1"/>
    <col min="11531" max="11531" width="18.25" style="2656" customWidth="1"/>
    <col min="11532" max="11532" width="16.375" style="2656" customWidth="1"/>
    <col min="11533" max="11533" width="7.125" style="2656" customWidth="1"/>
    <col min="11534" max="11535" width="9" style="2656" customWidth="1"/>
    <col min="11536" max="11776" width="8.875" style="2656"/>
    <col min="11777" max="11777" width="33.625" style="2656" customWidth="1"/>
    <col min="11778" max="11778" width="7.125" style="2656" customWidth="1"/>
    <col min="11779" max="11780" width="15.875" style="2656" customWidth="1"/>
    <col min="11781" max="11781" width="23.25" style="2656" customWidth="1"/>
    <col min="11782" max="11782" width="9" style="2656" customWidth="1"/>
    <col min="11783" max="11783" width="12.875" style="2656" customWidth="1"/>
    <col min="11784" max="11784" width="12.25" style="2656" customWidth="1"/>
    <col min="11785" max="11785" width="31.75" style="2656" customWidth="1"/>
    <col min="11786" max="11786" width="12.125" style="2656" customWidth="1"/>
    <col min="11787" max="11787" width="18.25" style="2656" customWidth="1"/>
    <col min="11788" max="11788" width="16.375" style="2656" customWidth="1"/>
    <col min="11789" max="11789" width="7.125" style="2656" customWidth="1"/>
    <col min="11790" max="11791" width="9" style="2656" customWidth="1"/>
    <col min="11792" max="12032" width="8.875" style="2656"/>
    <col min="12033" max="12033" width="33.625" style="2656" customWidth="1"/>
    <col min="12034" max="12034" width="7.125" style="2656" customWidth="1"/>
    <col min="12035" max="12036" width="15.875" style="2656" customWidth="1"/>
    <col min="12037" max="12037" width="23.25" style="2656" customWidth="1"/>
    <col min="12038" max="12038" width="9" style="2656" customWidth="1"/>
    <col min="12039" max="12039" width="12.875" style="2656" customWidth="1"/>
    <col min="12040" max="12040" width="12.25" style="2656" customWidth="1"/>
    <col min="12041" max="12041" width="31.75" style="2656" customWidth="1"/>
    <col min="12042" max="12042" width="12.125" style="2656" customWidth="1"/>
    <col min="12043" max="12043" width="18.25" style="2656" customWidth="1"/>
    <col min="12044" max="12044" width="16.375" style="2656" customWidth="1"/>
    <col min="12045" max="12045" width="7.125" style="2656" customWidth="1"/>
    <col min="12046" max="12047" width="9" style="2656" customWidth="1"/>
    <col min="12048" max="12288" width="8.875" style="2656"/>
    <col min="12289" max="12289" width="33.625" style="2656" customWidth="1"/>
    <col min="12290" max="12290" width="7.125" style="2656" customWidth="1"/>
    <col min="12291" max="12292" width="15.875" style="2656" customWidth="1"/>
    <col min="12293" max="12293" width="23.25" style="2656" customWidth="1"/>
    <col min="12294" max="12294" width="9" style="2656" customWidth="1"/>
    <col min="12295" max="12295" width="12.875" style="2656" customWidth="1"/>
    <col min="12296" max="12296" width="12.25" style="2656" customWidth="1"/>
    <col min="12297" max="12297" width="31.75" style="2656" customWidth="1"/>
    <col min="12298" max="12298" width="12.125" style="2656" customWidth="1"/>
    <col min="12299" max="12299" width="18.25" style="2656" customWidth="1"/>
    <col min="12300" max="12300" width="16.375" style="2656" customWidth="1"/>
    <col min="12301" max="12301" width="7.125" style="2656" customWidth="1"/>
    <col min="12302" max="12303" width="9" style="2656" customWidth="1"/>
    <col min="12304" max="12544" width="8.875" style="2656"/>
    <col min="12545" max="12545" width="33.625" style="2656" customWidth="1"/>
    <col min="12546" max="12546" width="7.125" style="2656" customWidth="1"/>
    <col min="12547" max="12548" width="15.875" style="2656" customWidth="1"/>
    <col min="12549" max="12549" width="23.25" style="2656" customWidth="1"/>
    <col min="12550" max="12550" width="9" style="2656" customWidth="1"/>
    <col min="12551" max="12551" width="12.875" style="2656" customWidth="1"/>
    <col min="12552" max="12552" width="12.25" style="2656" customWidth="1"/>
    <col min="12553" max="12553" width="31.75" style="2656" customWidth="1"/>
    <col min="12554" max="12554" width="12.125" style="2656" customWidth="1"/>
    <col min="12555" max="12555" width="18.25" style="2656" customWidth="1"/>
    <col min="12556" max="12556" width="16.375" style="2656" customWidth="1"/>
    <col min="12557" max="12557" width="7.125" style="2656" customWidth="1"/>
    <col min="12558" max="12559" width="9" style="2656" customWidth="1"/>
    <col min="12560" max="12800" width="8.875" style="2656"/>
    <col min="12801" max="12801" width="33.625" style="2656" customWidth="1"/>
    <col min="12802" max="12802" width="7.125" style="2656" customWidth="1"/>
    <col min="12803" max="12804" width="15.875" style="2656" customWidth="1"/>
    <col min="12805" max="12805" width="23.25" style="2656" customWidth="1"/>
    <col min="12806" max="12806" width="9" style="2656" customWidth="1"/>
    <col min="12807" max="12807" width="12.875" style="2656" customWidth="1"/>
    <col min="12808" max="12808" width="12.25" style="2656" customWidth="1"/>
    <col min="12809" max="12809" width="31.75" style="2656" customWidth="1"/>
    <col min="12810" max="12810" width="12.125" style="2656" customWidth="1"/>
    <col min="12811" max="12811" width="18.25" style="2656" customWidth="1"/>
    <col min="12812" max="12812" width="16.375" style="2656" customWidth="1"/>
    <col min="12813" max="12813" width="7.125" style="2656" customWidth="1"/>
    <col min="12814" max="12815" width="9" style="2656" customWidth="1"/>
    <col min="12816" max="13056" width="8.875" style="2656"/>
    <col min="13057" max="13057" width="33.625" style="2656" customWidth="1"/>
    <col min="13058" max="13058" width="7.125" style="2656" customWidth="1"/>
    <col min="13059" max="13060" width="15.875" style="2656" customWidth="1"/>
    <col min="13061" max="13061" width="23.25" style="2656" customWidth="1"/>
    <col min="13062" max="13062" width="9" style="2656" customWidth="1"/>
    <col min="13063" max="13063" width="12.875" style="2656" customWidth="1"/>
    <col min="13064" max="13064" width="12.25" style="2656" customWidth="1"/>
    <col min="13065" max="13065" width="31.75" style="2656" customWidth="1"/>
    <col min="13066" max="13066" width="12.125" style="2656" customWidth="1"/>
    <col min="13067" max="13067" width="18.25" style="2656" customWidth="1"/>
    <col min="13068" max="13068" width="16.375" style="2656" customWidth="1"/>
    <col min="13069" max="13069" width="7.125" style="2656" customWidth="1"/>
    <col min="13070" max="13071" width="9" style="2656" customWidth="1"/>
    <col min="13072" max="13312" width="8.875" style="2656"/>
    <col min="13313" max="13313" width="33.625" style="2656" customWidth="1"/>
    <col min="13314" max="13314" width="7.125" style="2656" customWidth="1"/>
    <col min="13315" max="13316" width="15.875" style="2656" customWidth="1"/>
    <col min="13317" max="13317" width="23.25" style="2656" customWidth="1"/>
    <col min="13318" max="13318" width="9" style="2656" customWidth="1"/>
    <col min="13319" max="13319" width="12.875" style="2656" customWidth="1"/>
    <col min="13320" max="13320" width="12.25" style="2656" customWidth="1"/>
    <col min="13321" max="13321" width="31.75" style="2656" customWidth="1"/>
    <col min="13322" max="13322" width="12.125" style="2656" customWidth="1"/>
    <col min="13323" max="13323" width="18.25" style="2656" customWidth="1"/>
    <col min="13324" max="13324" width="16.375" style="2656" customWidth="1"/>
    <col min="13325" max="13325" width="7.125" style="2656" customWidth="1"/>
    <col min="13326" max="13327" width="9" style="2656" customWidth="1"/>
    <col min="13328" max="13568" width="8.875" style="2656"/>
    <col min="13569" max="13569" width="33.625" style="2656" customWidth="1"/>
    <col min="13570" max="13570" width="7.125" style="2656" customWidth="1"/>
    <col min="13571" max="13572" width="15.875" style="2656" customWidth="1"/>
    <col min="13573" max="13573" width="23.25" style="2656" customWidth="1"/>
    <col min="13574" max="13574" width="9" style="2656" customWidth="1"/>
    <col min="13575" max="13575" width="12.875" style="2656" customWidth="1"/>
    <col min="13576" max="13576" width="12.25" style="2656" customWidth="1"/>
    <col min="13577" max="13577" width="31.75" style="2656" customWidth="1"/>
    <col min="13578" max="13578" width="12.125" style="2656" customWidth="1"/>
    <col min="13579" max="13579" width="18.25" style="2656" customWidth="1"/>
    <col min="13580" max="13580" width="16.375" style="2656" customWidth="1"/>
    <col min="13581" max="13581" width="7.125" style="2656" customWidth="1"/>
    <col min="13582" max="13583" width="9" style="2656" customWidth="1"/>
    <col min="13584" max="13824" width="8.875" style="2656"/>
    <col min="13825" max="13825" width="33.625" style="2656" customWidth="1"/>
    <col min="13826" max="13826" width="7.125" style="2656" customWidth="1"/>
    <col min="13827" max="13828" width="15.875" style="2656" customWidth="1"/>
    <col min="13829" max="13829" width="23.25" style="2656" customWidth="1"/>
    <col min="13830" max="13830" width="9" style="2656" customWidth="1"/>
    <col min="13831" max="13831" width="12.875" style="2656" customWidth="1"/>
    <col min="13832" max="13832" width="12.25" style="2656" customWidth="1"/>
    <col min="13833" max="13833" width="31.75" style="2656" customWidth="1"/>
    <col min="13834" max="13834" width="12.125" style="2656" customWidth="1"/>
    <col min="13835" max="13835" width="18.25" style="2656" customWidth="1"/>
    <col min="13836" max="13836" width="16.375" style="2656" customWidth="1"/>
    <col min="13837" max="13837" width="7.125" style="2656" customWidth="1"/>
    <col min="13838" max="13839" width="9" style="2656" customWidth="1"/>
    <col min="13840" max="14080" width="8.875" style="2656"/>
    <col min="14081" max="14081" width="33.625" style="2656" customWidth="1"/>
    <col min="14082" max="14082" width="7.125" style="2656" customWidth="1"/>
    <col min="14083" max="14084" width="15.875" style="2656" customWidth="1"/>
    <col min="14085" max="14085" width="23.25" style="2656" customWidth="1"/>
    <col min="14086" max="14086" width="9" style="2656" customWidth="1"/>
    <col min="14087" max="14087" width="12.875" style="2656" customWidth="1"/>
    <col min="14088" max="14088" width="12.25" style="2656" customWidth="1"/>
    <col min="14089" max="14089" width="31.75" style="2656" customWidth="1"/>
    <col min="14090" max="14090" width="12.125" style="2656" customWidth="1"/>
    <col min="14091" max="14091" width="18.25" style="2656" customWidth="1"/>
    <col min="14092" max="14092" width="16.375" style="2656" customWidth="1"/>
    <col min="14093" max="14093" width="7.125" style="2656" customWidth="1"/>
    <col min="14094" max="14095" width="9" style="2656" customWidth="1"/>
    <col min="14096" max="14336" width="8.875" style="2656"/>
    <col min="14337" max="14337" width="33.625" style="2656" customWidth="1"/>
    <col min="14338" max="14338" width="7.125" style="2656" customWidth="1"/>
    <col min="14339" max="14340" width="15.875" style="2656" customWidth="1"/>
    <col min="14341" max="14341" width="23.25" style="2656" customWidth="1"/>
    <col min="14342" max="14342" width="9" style="2656" customWidth="1"/>
    <col min="14343" max="14343" width="12.875" style="2656" customWidth="1"/>
    <col min="14344" max="14344" width="12.25" style="2656" customWidth="1"/>
    <col min="14345" max="14345" width="31.75" style="2656" customWidth="1"/>
    <col min="14346" max="14346" width="12.125" style="2656" customWidth="1"/>
    <col min="14347" max="14347" width="18.25" style="2656" customWidth="1"/>
    <col min="14348" max="14348" width="16.375" style="2656" customWidth="1"/>
    <col min="14349" max="14349" width="7.125" style="2656" customWidth="1"/>
    <col min="14350" max="14351" width="9" style="2656" customWidth="1"/>
    <col min="14352" max="14592" width="8.875" style="2656"/>
    <col min="14593" max="14593" width="33.625" style="2656" customWidth="1"/>
    <col min="14594" max="14594" width="7.125" style="2656" customWidth="1"/>
    <col min="14595" max="14596" width="15.875" style="2656" customWidth="1"/>
    <col min="14597" max="14597" width="23.25" style="2656" customWidth="1"/>
    <col min="14598" max="14598" width="9" style="2656" customWidth="1"/>
    <col min="14599" max="14599" width="12.875" style="2656" customWidth="1"/>
    <col min="14600" max="14600" width="12.25" style="2656" customWidth="1"/>
    <col min="14601" max="14601" width="31.75" style="2656" customWidth="1"/>
    <col min="14602" max="14602" width="12.125" style="2656" customWidth="1"/>
    <col min="14603" max="14603" width="18.25" style="2656" customWidth="1"/>
    <col min="14604" max="14604" width="16.375" style="2656" customWidth="1"/>
    <col min="14605" max="14605" width="7.125" style="2656" customWidth="1"/>
    <col min="14606" max="14607" width="9" style="2656" customWidth="1"/>
    <col min="14608" max="14848" width="8.875" style="2656"/>
    <col min="14849" max="14849" width="33.625" style="2656" customWidth="1"/>
    <col min="14850" max="14850" width="7.125" style="2656" customWidth="1"/>
    <col min="14851" max="14852" width="15.875" style="2656" customWidth="1"/>
    <col min="14853" max="14853" width="23.25" style="2656" customWidth="1"/>
    <col min="14854" max="14854" width="9" style="2656" customWidth="1"/>
    <col min="14855" max="14855" width="12.875" style="2656" customWidth="1"/>
    <col min="14856" max="14856" width="12.25" style="2656" customWidth="1"/>
    <col min="14857" max="14857" width="31.75" style="2656" customWidth="1"/>
    <col min="14858" max="14858" width="12.125" style="2656" customWidth="1"/>
    <col min="14859" max="14859" width="18.25" style="2656" customWidth="1"/>
    <col min="14860" max="14860" width="16.375" style="2656" customWidth="1"/>
    <col min="14861" max="14861" width="7.125" style="2656" customWidth="1"/>
    <col min="14862" max="14863" width="9" style="2656" customWidth="1"/>
    <col min="14864" max="15104" width="8.875" style="2656"/>
    <col min="15105" max="15105" width="33.625" style="2656" customWidth="1"/>
    <col min="15106" max="15106" width="7.125" style="2656" customWidth="1"/>
    <col min="15107" max="15108" width="15.875" style="2656" customWidth="1"/>
    <col min="15109" max="15109" width="23.25" style="2656" customWidth="1"/>
    <col min="15110" max="15110" width="9" style="2656" customWidth="1"/>
    <col min="15111" max="15111" width="12.875" style="2656" customWidth="1"/>
    <col min="15112" max="15112" width="12.25" style="2656" customWidth="1"/>
    <col min="15113" max="15113" width="31.75" style="2656" customWidth="1"/>
    <col min="15114" max="15114" width="12.125" style="2656" customWidth="1"/>
    <col min="15115" max="15115" width="18.25" style="2656" customWidth="1"/>
    <col min="15116" max="15116" width="16.375" style="2656" customWidth="1"/>
    <col min="15117" max="15117" width="7.125" style="2656" customWidth="1"/>
    <col min="15118" max="15119" width="9" style="2656" customWidth="1"/>
    <col min="15120" max="15360" width="8.875" style="2656"/>
    <col min="15361" max="15361" width="33.625" style="2656" customWidth="1"/>
    <col min="15362" max="15362" width="7.125" style="2656" customWidth="1"/>
    <col min="15363" max="15364" width="15.875" style="2656" customWidth="1"/>
    <col min="15365" max="15365" width="23.25" style="2656" customWidth="1"/>
    <col min="15366" max="15366" width="9" style="2656" customWidth="1"/>
    <col min="15367" max="15367" width="12.875" style="2656" customWidth="1"/>
    <col min="15368" max="15368" width="12.25" style="2656" customWidth="1"/>
    <col min="15369" max="15369" width="31.75" style="2656" customWidth="1"/>
    <col min="15370" max="15370" width="12.125" style="2656" customWidth="1"/>
    <col min="15371" max="15371" width="18.25" style="2656" customWidth="1"/>
    <col min="15372" max="15372" width="16.375" style="2656" customWidth="1"/>
    <col min="15373" max="15373" width="7.125" style="2656" customWidth="1"/>
    <col min="15374" max="15375" width="9" style="2656" customWidth="1"/>
    <col min="15376" max="15616" width="8.875" style="2656"/>
    <col min="15617" max="15617" width="33.625" style="2656" customWidth="1"/>
    <col min="15618" max="15618" width="7.125" style="2656" customWidth="1"/>
    <col min="15619" max="15620" width="15.875" style="2656" customWidth="1"/>
    <col min="15621" max="15621" width="23.25" style="2656" customWidth="1"/>
    <col min="15622" max="15622" width="9" style="2656" customWidth="1"/>
    <col min="15623" max="15623" width="12.875" style="2656" customWidth="1"/>
    <col min="15624" max="15624" width="12.25" style="2656" customWidth="1"/>
    <col min="15625" max="15625" width="31.75" style="2656" customWidth="1"/>
    <col min="15626" max="15626" width="12.125" style="2656" customWidth="1"/>
    <col min="15627" max="15627" width="18.25" style="2656" customWidth="1"/>
    <col min="15628" max="15628" width="16.375" style="2656" customWidth="1"/>
    <col min="15629" max="15629" width="7.125" style="2656" customWidth="1"/>
    <col min="15630" max="15631" width="9" style="2656" customWidth="1"/>
    <col min="15632" max="15872" width="8.875" style="2656"/>
    <col min="15873" max="15873" width="33.625" style="2656" customWidth="1"/>
    <col min="15874" max="15874" width="7.125" style="2656" customWidth="1"/>
    <col min="15875" max="15876" width="15.875" style="2656" customWidth="1"/>
    <col min="15877" max="15877" width="23.25" style="2656" customWidth="1"/>
    <col min="15878" max="15878" width="9" style="2656" customWidth="1"/>
    <col min="15879" max="15879" width="12.875" style="2656" customWidth="1"/>
    <col min="15880" max="15880" width="12.25" style="2656" customWidth="1"/>
    <col min="15881" max="15881" width="31.75" style="2656" customWidth="1"/>
    <col min="15882" max="15882" width="12.125" style="2656" customWidth="1"/>
    <col min="15883" max="15883" width="18.25" style="2656" customWidth="1"/>
    <col min="15884" max="15884" width="16.375" style="2656" customWidth="1"/>
    <col min="15885" max="15885" width="7.125" style="2656" customWidth="1"/>
    <col min="15886" max="15887" width="9" style="2656" customWidth="1"/>
    <col min="15888" max="16128" width="8.875" style="2656"/>
    <col min="16129" max="16129" width="33.625" style="2656" customWidth="1"/>
    <col min="16130" max="16130" width="7.125" style="2656" customWidth="1"/>
    <col min="16131" max="16132" width="15.875" style="2656" customWidth="1"/>
    <col min="16133" max="16133" width="23.25" style="2656" customWidth="1"/>
    <col min="16134" max="16134" width="9" style="2656" customWidth="1"/>
    <col min="16135" max="16135" width="12.875" style="2656" customWidth="1"/>
    <col min="16136" max="16136" width="12.25" style="2656" customWidth="1"/>
    <col min="16137" max="16137" width="31.75" style="2656" customWidth="1"/>
    <col min="16138" max="16138" width="12.125" style="2656" customWidth="1"/>
    <col min="16139" max="16139" width="18.25" style="2656" customWidth="1"/>
    <col min="16140" max="16140" width="16.375" style="2656" customWidth="1"/>
    <col min="16141" max="16141" width="7.125" style="2656" customWidth="1"/>
    <col min="16142" max="16143" width="9" style="2656" customWidth="1"/>
    <col min="16144" max="16384" width="8.875" style="2656"/>
  </cols>
  <sheetData>
    <row r="1" spans="1:17">
      <c r="A1" s="2656" t="s">
        <v>3014</v>
      </c>
      <c r="B1" s="2656" t="s">
        <v>3015</v>
      </c>
      <c r="C1" s="2656" t="s">
        <v>3017</v>
      </c>
      <c r="D1" s="2656" t="s">
        <v>3018</v>
      </c>
      <c r="E1" s="3303" t="s">
        <v>2021</v>
      </c>
      <c r="F1" s="2656" t="s">
        <v>3019</v>
      </c>
      <c r="G1" s="2656" t="s">
        <v>3020</v>
      </c>
      <c r="H1" s="2656" t="s">
        <v>3022</v>
      </c>
      <c r="I1" s="2656" t="s">
        <v>3023</v>
      </c>
      <c r="J1" s="2656" t="s">
        <v>3024</v>
      </c>
      <c r="K1" s="2656" t="s">
        <v>3075</v>
      </c>
      <c r="L1" s="2656" t="s">
        <v>3025</v>
      </c>
      <c r="M1" s="2656" t="s">
        <v>3026</v>
      </c>
      <c r="N1" s="2656" t="s">
        <v>3076</v>
      </c>
      <c r="O1" s="2656" t="s">
        <v>3027</v>
      </c>
    </row>
    <row r="2" spans="1:17">
      <c r="A2" s="2656" t="s">
        <v>3077</v>
      </c>
      <c r="B2" s="2656" t="s">
        <v>3029</v>
      </c>
      <c r="C2" s="2656">
        <v>1093</v>
      </c>
      <c r="D2" s="2656">
        <v>4918.5</v>
      </c>
      <c r="E2" s="3303" t="s">
        <v>3078</v>
      </c>
      <c r="F2" s="2656" t="s">
        <v>3032</v>
      </c>
      <c r="G2" s="2656" t="s">
        <v>3033</v>
      </c>
      <c r="H2" s="2656" t="s">
        <v>3079</v>
      </c>
      <c r="I2" s="2656" t="s">
        <v>3080</v>
      </c>
      <c r="J2" s="2656">
        <v>92</v>
      </c>
      <c r="K2" s="2656">
        <v>56.11</v>
      </c>
      <c r="L2" s="2656">
        <v>187.05</v>
      </c>
      <c r="M2" s="2656">
        <v>0</v>
      </c>
      <c r="N2" s="2656" t="s">
        <v>3081</v>
      </c>
      <c r="O2" s="2656" t="s">
        <v>3042</v>
      </c>
      <c r="Q2" s="3284" t="s">
        <v>3244</v>
      </c>
    </row>
    <row r="3" spans="1:17" s="3304" customFormat="1">
      <c r="A3" s="3628" t="s">
        <v>3248</v>
      </c>
      <c r="B3" s="3304" t="s">
        <v>3029</v>
      </c>
      <c r="C3" s="3304">
        <v>3835</v>
      </c>
      <c r="D3" s="3304">
        <v>5752.5</v>
      </c>
      <c r="E3" s="3305" t="s">
        <v>3082</v>
      </c>
      <c r="F3" s="3304" t="s">
        <v>3032</v>
      </c>
      <c r="G3" s="3304" t="s">
        <v>3033</v>
      </c>
      <c r="H3" s="3304" t="s">
        <v>3083</v>
      </c>
      <c r="I3" s="3304" t="s">
        <v>3084</v>
      </c>
      <c r="J3" s="3304">
        <v>276</v>
      </c>
      <c r="K3" s="3304">
        <v>47.98</v>
      </c>
      <c r="L3" s="3304">
        <f>ROUND(J3*10000/D3,0)</f>
        <v>480</v>
      </c>
      <c r="M3" s="3304">
        <v>0</v>
      </c>
      <c r="N3" s="3304" t="s">
        <v>3081</v>
      </c>
      <c r="O3" s="3304" t="s">
        <v>3036</v>
      </c>
    </row>
    <row r="4" spans="1:17">
      <c r="A4" s="2656" t="s">
        <v>3085</v>
      </c>
      <c r="B4" s="2656" t="s">
        <v>3029</v>
      </c>
      <c r="C4" s="2656">
        <v>36263</v>
      </c>
      <c r="D4" s="2656">
        <v>43515.6</v>
      </c>
      <c r="E4" s="3303" t="s">
        <v>3086</v>
      </c>
      <c r="F4" s="2656" t="s">
        <v>3032</v>
      </c>
      <c r="G4" s="2656" t="s">
        <v>3033</v>
      </c>
      <c r="H4" s="2656" t="s">
        <v>3087</v>
      </c>
      <c r="I4" s="2656" t="s">
        <v>3088</v>
      </c>
      <c r="J4" s="2656">
        <v>1448</v>
      </c>
      <c r="K4" s="2656">
        <v>26.62</v>
      </c>
      <c r="L4" s="2656">
        <v>332.75</v>
      </c>
      <c r="M4" s="2656">
        <v>0</v>
      </c>
      <c r="N4" s="2656" t="s">
        <v>3081</v>
      </c>
      <c r="O4" s="2656" t="s">
        <v>3089</v>
      </c>
    </row>
    <row r="5" spans="1:17">
      <c r="A5" s="2656" t="s">
        <v>3090</v>
      </c>
      <c r="B5" s="2656" t="s">
        <v>3029</v>
      </c>
      <c r="C5" s="2656">
        <v>2871</v>
      </c>
      <c r="D5" s="2656">
        <v>1722.6</v>
      </c>
      <c r="E5" s="3303" t="s">
        <v>3091</v>
      </c>
      <c r="F5" s="2656" t="s">
        <v>3032</v>
      </c>
      <c r="G5" s="2656" t="s">
        <v>3092</v>
      </c>
      <c r="H5" s="2656" t="s">
        <v>3093</v>
      </c>
      <c r="I5" s="2656" t="s">
        <v>3094</v>
      </c>
      <c r="J5" s="2656">
        <v>225</v>
      </c>
      <c r="K5" s="2656">
        <v>52.25</v>
      </c>
      <c r="L5" s="2656">
        <v>1306.17</v>
      </c>
      <c r="M5" s="2656">
        <v>0</v>
      </c>
      <c r="N5" s="2656" t="s">
        <v>3081</v>
      </c>
      <c r="O5" s="2656" t="s">
        <v>3089</v>
      </c>
    </row>
    <row r="6" spans="1:17">
      <c r="A6" s="2656" t="s">
        <v>3095</v>
      </c>
      <c r="B6" s="2656" t="s">
        <v>3029</v>
      </c>
      <c r="C6" s="2656">
        <v>15165</v>
      </c>
      <c r="D6" s="2656">
        <v>15165</v>
      </c>
      <c r="E6" s="3303" t="s">
        <v>3096</v>
      </c>
      <c r="F6" s="2656" t="s">
        <v>3032</v>
      </c>
      <c r="G6" s="2656" t="s">
        <v>3097</v>
      </c>
      <c r="H6" s="2656" t="s">
        <v>3098</v>
      </c>
      <c r="I6" s="2656" t="s">
        <v>3099</v>
      </c>
      <c r="J6" s="2656">
        <v>2425</v>
      </c>
      <c r="K6" s="2656">
        <v>106.61</v>
      </c>
      <c r="L6" s="2656">
        <v>1599.07</v>
      </c>
      <c r="M6" s="2656">
        <v>0</v>
      </c>
      <c r="N6" s="2656" t="s">
        <v>3081</v>
      </c>
      <c r="O6" s="2656" t="s">
        <v>3042</v>
      </c>
    </row>
    <row r="7" spans="1:17">
      <c r="A7" s="2656" t="s">
        <v>3028</v>
      </c>
      <c r="B7" s="2656" t="s">
        <v>3029</v>
      </c>
      <c r="C7" s="2656">
        <v>2516</v>
      </c>
      <c r="D7" s="2656">
        <v>3774</v>
      </c>
      <c r="E7" s="3303" t="s">
        <v>3031</v>
      </c>
      <c r="F7" s="2656" t="s">
        <v>3032</v>
      </c>
      <c r="G7" s="2656" t="s">
        <v>3033</v>
      </c>
      <c r="H7" s="2656" t="s">
        <v>3034</v>
      </c>
      <c r="I7" s="2656" t="s">
        <v>3035</v>
      </c>
      <c r="J7" s="2656">
        <v>170</v>
      </c>
      <c r="K7" s="2656">
        <v>45.05</v>
      </c>
      <c r="L7" s="2656">
        <v>450.44</v>
      </c>
      <c r="M7" s="2656">
        <v>0.59</v>
      </c>
      <c r="N7" s="2656" t="s">
        <v>3081</v>
      </c>
      <c r="O7" s="2656" t="s">
        <v>3036</v>
      </c>
    </row>
    <row r="8" spans="1:17" s="3304" customFormat="1">
      <c r="A8" s="3304" t="s">
        <v>3028</v>
      </c>
      <c r="B8" s="3304" t="s">
        <v>3029</v>
      </c>
      <c r="C8" s="3304">
        <v>4689</v>
      </c>
      <c r="D8" s="3304">
        <v>7033.5</v>
      </c>
      <c r="E8" s="3305" t="s">
        <v>3031</v>
      </c>
      <c r="F8" s="3304" t="s">
        <v>3032</v>
      </c>
      <c r="G8" s="3304" t="s">
        <v>3033</v>
      </c>
      <c r="H8" s="3304" t="s">
        <v>3034</v>
      </c>
      <c r="I8" s="3304" t="s">
        <v>3037</v>
      </c>
      <c r="J8" s="3304">
        <v>314</v>
      </c>
      <c r="K8" s="3304">
        <v>44.64</v>
      </c>
      <c r="L8" s="3304">
        <f>ROUND(J8*10000/D8,0)</f>
        <v>446</v>
      </c>
      <c r="M8" s="3304">
        <v>0</v>
      </c>
      <c r="N8" s="3304" t="s">
        <v>3081</v>
      </c>
      <c r="O8" s="3304" t="s">
        <v>3036</v>
      </c>
    </row>
    <row r="9" spans="1:17">
      <c r="A9" s="2656" t="s">
        <v>3100</v>
      </c>
      <c r="B9" s="2656" t="s">
        <v>3029</v>
      </c>
      <c r="C9" s="2656">
        <v>25099</v>
      </c>
      <c r="D9" s="2656">
        <v>30118.799999999999</v>
      </c>
      <c r="E9" s="3303" t="s">
        <v>3101</v>
      </c>
      <c r="F9" s="2656" t="s">
        <v>3032</v>
      </c>
      <c r="G9" s="2656" t="s">
        <v>3033</v>
      </c>
      <c r="H9" s="2656" t="s">
        <v>3102</v>
      </c>
      <c r="I9" s="2656" t="s">
        <v>3103</v>
      </c>
      <c r="J9" s="2656">
        <v>825</v>
      </c>
      <c r="K9" s="2656">
        <v>21.91</v>
      </c>
      <c r="L9" s="2656">
        <v>273.92</v>
      </c>
      <c r="M9" s="2656">
        <v>0</v>
      </c>
      <c r="N9" s="2656" t="s">
        <v>3081</v>
      </c>
      <c r="O9" s="2656" t="s">
        <v>3089</v>
      </c>
    </row>
    <row r="10" spans="1:17">
      <c r="A10" s="2656" t="s">
        <v>3104</v>
      </c>
      <c r="B10" s="2656" t="s">
        <v>3029</v>
      </c>
      <c r="C10" s="2656">
        <v>12000</v>
      </c>
      <c r="D10" s="2656">
        <v>13200</v>
      </c>
      <c r="E10" s="3303" t="s">
        <v>3105</v>
      </c>
      <c r="F10" s="2656" t="s">
        <v>3032</v>
      </c>
      <c r="G10" s="2656" t="s">
        <v>3033</v>
      </c>
      <c r="H10" s="2656" t="s">
        <v>3102</v>
      </c>
      <c r="I10" s="2656" t="s">
        <v>3106</v>
      </c>
      <c r="J10" s="2656">
        <v>532</v>
      </c>
      <c r="K10" s="2656">
        <v>29.56</v>
      </c>
      <c r="L10" s="2656">
        <v>403.02</v>
      </c>
      <c r="M10" s="2656">
        <v>0</v>
      </c>
      <c r="N10" s="2656" t="s">
        <v>3081</v>
      </c>
      <c r="O10" s="2656" t="s">
        <v>3036</v>
      </c>
    </row>
    <row r="11" spans="1:17">
      <c r="A11" s="2656" t="s">
        <v>3107</v>
      </c>
      <c r="B11" s="2656" t="s">
        <v>3029</v>
      </c>
      <c r="C11" s="2656">
        <v>6667</v>
      </c>
      <c r="D11" s="2656">
        <v>8000.4</v>
      </c>
      <c r="E11" s="3303" t="s">
        <v>3086</v>
      </c>
      <c r="F11" s="2656" t="s">
        <v>3032</v>
      </c>
      <c r="G11" s="2656" t="s">
        <v>3033</v>
      </c>
      <c r="H11" s="2656" t="s">
        <v>3102</v>
      </c>
      <c r="I11" s="2656" t="s">
        <v>3108</v>
      </c>
      <c r="J11" s="2656">
        <v>399</v>
      </c>
      <c r="K11" s="2656">
        <v>39.9</v>
      </c>
      <c r="L11" s="2656">
        <v>498.73</v>
      </c>
      <c r="M11" s="2656">
        <v>0</v>
      </c>
      <c r="N11" s="2656" t="s">
        <v>3081</v>
      </c>
      <c r="O11" s="2656" t="s">
        <v>3042</v>
      </c>
    </row>
    <row r="12" spans="1:17">
      <c r="A12" s="2656" t="s">
        <v>3109</v>
      </c>
      <c r="B12" s="2656" t="s">
        <v>3029</v>
      </c>
      <c r="C12" s="2656">
        <v>3923</v>
      </c>
      <c r="D12" s="2656">
        <v>4707.6000000000004</v>
      </c>
      <c r="E12" s="3303" t="s">
        <v>3101</v>
      </c>
      <c r="F12" s="2656" t="s">
        <v>3032</v>
      </c>
      <c r="G12" s="2656" t="s">
        <v>3033</v>
      </c>
      <c r="H12" s="2656" t="s">
        <v>3110</v>
      </c>
      <c r="I12" s="2656" t="s">
        <v>3111</v>
      </c>
      <c r="J12" s="2656">
        <v>146</v>
      </c>
      <c r="K12" s="2656">
        <v>24.81</v>
      </c>
      <c r="L12" s="2656">
        <v>310.13</v>
      </c>
      <c r="M12" s="2656">
        <v>0</v>
      </c>
      <c r="N12" s="2656" t="s">
        <v>3081</v>
      </c>
      <c r="O12" s="2656" t="s">
        <v>3089</v>
      </c>
    </row>
    <row r="13" spans="1:17" s="3304" customFormat="1">
      <c r="A13" s="3628" t="s">
        <v>3249</v>
      </c>
      <c r="B13" s="3304" t="s">
        <v>3029</v>
      </c>
      <c r="C13" s="3304">
        <v>7617</v>
      </c>
      <c r="D13" s="3304">
        <v>9140.4</v>
      </c>
      <c r="E13" s="3305" t="s">
        <v>3101</v>
      </c>
      <c r="F13" s="3304" t="s">
        <v>3032</v>
      </c>
      <c r="G13" s="3304" t="s">
        <v>3033</v>
      </c>
      <c r="H13" s="3304" t="s">
        <v>3110</v>
      </c>
      <c r="I13" s="3304" t="s">
        <v>3112</v>
      </c>
      <c r="J13" s="3304">
        <v>457</v>
      </c>
      <c r="K13" s="3304">
        <v>40</v>
      </c>
      <c r="L13" s="3304">
        <f>ROUND(J13*10000/D13,0)</f>
        <v>500</v>
      </c>
      <c r="M13" s="3304">
        <v>0</v>
      </c>
      <c r="N13" s="3304" t="s">
        <v>3081</v>
      </c>
      <c r="O13" s="3304" t="s">
        <v>3089</v>
      </c>
    </row>
    <row r="14" spans="1:17">
      <c r="A14" s="2656" t="s">
        <v>3113</v>
      </c>
      <c r="B14" s="2656" t="s">
        <v>3029</v>
      </c>
      <c r="C14" s="2656">
        <v>8386</v>
      </c>
      <c r="D14" s="2656">
        <v>10063.200000000001</v>
      </c>
      <c r="E14" s="3303" t="s">
        <v>3101</v>
      </c>
      <c r="F14" s="2656" t="s">
        <v>3032</v>
      </c>
      <c r="G14" s="2656" t="s">
        <v>3033</v>
      </c>
      <c r="H14" s="2656" t="s">
        <v>3110</v>
      </c>
      <c r="I14" s="2656" t="s">
        <v>3111</v>
      </c>
      <c r="J14" s="2656">
        <v>300</v>
      </c>
      <c r="K14" s="2656">
        <v>23.85</v>
      </c>
      <c r="L14" s="2656">
        <v>298.12</v>
      </c>
      <c r="M14" s="2656">
        <v>0</v>
      </c>
      <c r="N14" s="2656" t="s">
        <v>3081</v>
      </c>
      <c r="O14" s="2656" t="s">
        <v>3089</v>
      </c>
    </row>
    <row r="15" spans="1:17">
      <c r="A15" s="2656" t="s">
        <v>3114</v>
      </c>
      <c r="B15" s="2656" t="s">
        <v>3029</v>
      </c>
      <c r="C15" s="2656">
        <v>13334</v>
      </c>
      <c r="D15" s="2656">
        <v>16000.8</v>
      </c>
      <c r="E15" s="3303" t="s">
        <v>3101</v>
      </c>
      <c r="F15" s="2656" t="s">
        <v>3032</v>
      </c>
      <c r="G15" s="2656" t="s">
        <v>3033</v>
      </c>
      <c r="H15" s="2656" t="s">
        <v>3110</v>
      </c>
      <c r="I15" s="2656" t="s">
        <v>3115</v>
      </c>
      <c r="J15" s="2656">
        <v>665</v>
      </c>
      <c r="K15" s="2656">
        <v>33.25</v>
      </c>
      <c r="L15" s="2656">
        <v>415.6</v>
      </c>
      <c r="M15" s="2656">
        <v>0</v>
      </c>
      <c r="N15" s="2656" t="s">
        <v>3081</v>
      </c>
      <c r="O15" s="2656" t="s">
        <v>3089</v>
      </c>
    </row>
    <row r="16" spans="1:17">
      <c r="A16" s="2656" t="s">
        <v>3116</v>
      </c>
      <c r="B16" s="2656" t="s">
        <v>3029</v>
      </c>
      <c r="C16" s="2656">
        <v>2667</v>
      </c>
      <c r="D16" s="2656">
        <v>1600.2</v>
      </c>
      <c r="E16" s="3303" t="s">
        <v>3091</v>
      </c>
      <c r="F16" s="2656" t="s">
        <v>3032</v>
      </c>
      <c r="G16" s="2656" t="s">
        <v>3033</v>
      </c>
      <c r="H16" s="2656" t="s">
        <v>3110</v>
      </c>
      <c r="I16" s="2656" t="s">
        <v>3117</v>
      </c>
      <c r="J16" s="2656">
        <v>202</v>
      </c>
      <c r="K16" s="2656">
        <v>50.49</v>
      </c>
      <c r="L16" s="2656">
        <v>1262.33</v>
      </c>
      <c r="M16" s="2656">
        <v>0</v>
      </c>
      <c r="N16" s="2656" t="s">
        <v>3081</v>
      </c>
      <c r="O16" s="2656" t="s">
        <v>3036</v>
      </c>
    </row>
    <row r="17" spans="1:17">
      <c r="A17" s="2656" t="s">
        <v>3118</v>
      </c>
      <c r="B17" s="2656" t="s">
        <v>3029</v>
      </c>
      <c r="C17" s="2656">
        <v>22233</v>
      </c>
      <c r="D17" s="2656">
        <v>46689.3</v>
      </c>
      <c r="E17" s="3303" t="s">
        <v>3119</v>
      </c>
      <c r="F17" s="2656" t="s">
        <v>3032</v>
      </c>
      <c r="G17" s="2656" t="s">
        <v>3033</v>
      </c>
      <c r="H17" s="2656" t="s">
        <v>3120</v>
      </c>
      <c r="I17" s="2656" t="s">
        <v>3121</v>
      </c>
      <c r="J17" s="2656">
        <v>5970</v>
      </c>
      <c r="K17" s="2656">
        <v>179.01</v>
      </c>
      <c r="L17" s="2656">
        <v>1278.67</v>
      </c>
      <c r="M17" s="2656">
        <v>0</v>
      </c>
      <c r="N17" s="2656" t="s">
        <v>3081</v>
      </c>
      <c r="O17" s="2656" t="s">
        <v>3122</v>
      </c>
    </row>
    <row r="18" spans="1:17">
      <c r="A18" s="2656" t="s">
        <v>3123</v>
      </c>
      <c r="B18" s="2656" t="s">
        <v>3029</v>
      </c>
      <c r="C18" s="2656">
        <v>15423</v>
      </c>
      <c r="D18" s="2656">
        <v>12338.4</v>
      </c>
      <c r="E18" s="3303" t="s">
        <v>3124</v>
      </c>
      <c r="F18" s="2656" t="s">
        <v>3032</v>
      </c>
      <c r="G18" s="2656" t="s">
        <v>3033</v>
      </c>
      <c r="H18" s="2656" t="s">
        <v>3120</v>
      </c>
      <c r="I18" s="2656" t="s">
        <v>3103</v>
      </c>
      <c r="J18" s="2656">
        <v>415</v>
      </c>
      <c r="K18" s="2656">
        <v>17.940000000000001</v>
      </c>
      <c r="L18" s="2656">
        <v>336.35</v>
      </c>
      <c r="M18" s="2656">
        <v>0</v>
      </c>
      <c r="N18" s="2656" t="s">
        <v>3081</v>
      </c>
      <c r="O18" s="2656" t="s">
        <v>3089</v>
      </c>
    </row>
    <row r="19" spans="1:17">
      <c r="A19" s="2656" t="s">
        <v>3125</v>
      </c>
      <c r="B19" s="2656" t="s">
        <v>3029</v>
      </c>
      <c r="C19" s="2656">
        <v>13330</v>
      </c>
      <c r="D19" s="2656">
        <v>14663</v>
      </c>
      <c r="E19" s="3303" t="s">
        <v>3126</v>
      </c>
      <c r="F19" s="2656" t="s">
        <v>3032</v>
      </c>
      <c r="G19" s="2656" t="s">
        <v>3033</v>
      </c>
      <c r="H19" s="2656" t="s">
        <v>3120</v>
      </c>
      <c r="I19" s="2656" t="s">
        <v>3127</v>
      </c>
      <c r="J19" s="2656">
        <v>348</v>
      </c>
      <c r="K19" s="2656">
        <v>17.399999999999999</v>
      </c>
      <c r="L19" s="2656">
        <v>237.33</v>
      </c>
      <c r="M19" s="2656">
        <v>0</v>
      </c>
      <c r="N19" s="2656" t="s">
        <v>3081</v>
      </c>
      <c r="O19" s="2656" t="s">
        <v>3122</v>
      </c>
    </row>
    <row r="20" spans="1:17">
      <c r="A20" s="2656" t="s">
        <v>3128</v>
      </c>
      <c r="B20" s="2656" t="s">
        <v>3029</v>
      </c>
      <c r="C20" s="2656">
        <v>12763</v>
      </c>
      <c r="D20" s="2656">
        <v>10210.4</v>
      </c>
      <c r="E20" s="3303" t="s">
        <v>3124</v>
      </c>
      <c r="F20" s="2656" t="s">
        <v>3032</v>
      </c>
      <c r="G20" s="2656" t="s">
        <v>3033</v>
      </c>
      <c r="H20" s="2656" t="s">
        <v>3120</v>
      </c>
      <c r="I20" s="2656" t="s">
        <v>3129</v>
      </c>
      <c r="J20" s="2656">
        <v>349</v>
      </c>
      <c r="K20" s="2656">
        <v>18.23</v>
      </c>
      <c r="L20" s="2656">
        <v>341.81</v>
      </c>
      <c r="M20" s="2656">
        <v>0</v>
      </c>
      <c r="N20" s="2656" t="s">
        <v>3081</v>
      </c>
      <c r="O20" s="2656" t="s">
        <v>3089</v>
      </c>
    </row>
    <row r="21" spans="1:17">
      <c r="A21" s="2656" t="s">
        <v>3038</v>
      </c>
      <c r="B21" s="2656" t="s">
        <v>3029</v>
      </c>
      <c r="C21" s="2656">
        <v>10684</v>
      </c>
      <c r="D21" s="2656">
        <v>32052</v>
      </c>
      <c r="E21" s="3303" t="s">
        <v>3039</v>
      </c>
      <c r="F21" s="2656" t="s">
        <v>3032</v>
      </c>
      <c r="G21" s="2656" t="s">
        <v>3033</v>
      </c>
      <c r="H21" s="2656" t="s">
        <v>3040</v>
      </c>
      <c r="I21" s="2656" t="s">
        <v>3041</v>
      </c>
      <c r="J21" s="2656">
        <v>4835</v>
      </c>
      <c r="K21" s="2656">
        <v>301.7</v>
      </c>
      <c r="L21" s="2656">
        <v>1508.49</v>
      </c>
      <c r="M21" s="2656">
        <v>0</v>
      </c>
      <c r="N21" s="2656" t="s">
        <v>3081</v>
      </c>
      <c r="O21" s="2656" t="s">
        <v>3042</v>
      </c>
    </row>
    <row r="22" spans="1:17">
      <c r="A22" s="2656" t="s">
        <v>3085</v>
      </c>
      <c r="B22" s="2656" t="s">
        <v>3029</v>
      </c>
      <c r="C22" s="2656">
        <v>18826</v>
      </c>
      <c r="D22" s="2656">
        <v>24473.8</v>
      </c>
      <c r="E22" s="3303" t="s">
        <v>3130</v>
      </c>
      <c r="F22" s="2656" t="s">
        <v>3032</v>
      </c>
      <c r="G22" s="2656" t="s">
        <v>3033</v>
      </c>
      <c r="H22" s="2656" t="s">
        <v>3131</v>
      </c>
      <c r="I22" s="2656" t="s">
        <v>3088</v>
      </c>
      <c r="J22" s="2656">
        <v>2202</v>
      </c>
      <c r="K22" s="2656">
        <v>77.98</v>
      </c>
      <c r="L22" s="2656">
        <v>899.74</v>
      </c>
      <c r="M22" s="2656">
        <v>0</v>
      </c>
      <c r="N22" s="2656" t="s">
        <v>3081</v>
      </c>
      <c r="O22" s="2656" t="s">
        <v>3089</v>
      </c>
    </row>
    <row r="23" spans="1:17">
      <c r="A23" s="2656" t="s">
        <v>3132</v>
      </c>
      <c r="B23" s="2656" t="s">
        <v>3029</v>
      </c>
      <c r="C23" s="2656">
        <v>44379</v>
      </c>
      <c r="D23" s="2656">
        <v>97633.8</v>
      </c>
      <c r="E23" s="3303" t="s">
        <v>3133</v>
      </c>
      <c r="F23" s="2656" t="s">
        <v>3032</v>
      </c>
      <c r="G23" s="2656" t="s">
        <v>3033</v>
      </c>
      <c r="H23" s="2656" t="s">
        <v>3134</v>
      </c>
      <c r="I23" s="2656" t="s">
        <v>3135</v>
      </c>
      <c r="J23" s="2656">
        <v>6657</v>
      </c>
      <c r="K23" s="2656">
        <v>100</v>
      </c>
      <c r="L23" s="2656">
        <v>681.83</v>
      </c>
      <c r="M23" s="2656">
        <v>0</v>
      </c>
      <c r="N23" s="2656" t="s">
        <v>3081</v>
      </c>
      <c r="O23" s="2656" t="s">
        <v>3122</v>
      </c>
      <c r="Q23" s="3284" t="s">
        <v>3245</v>
      </c>
    </row>
    <row r="24" spans="1:17">
      <c r="A24" s="2656" t="s">
        <v>3043</v>
      </c>
      <c r="B24" s="2656" t="s">
        <v>3029</v>
      </c>
      <c r="C24" s="2656">
        <v>11876</v>
      </c>
      <c r="D24" s="2656">
        <v>20189.2</v>
      </c>
      <c r="E24" s="3303" t="s">
        <v>3044</v>
      </c>
      <c r="F24" s="2656" t="s">
        <v>3032</v>
      </c>
      <c r="G24" s="2656" t="s">
        <v>3033</v>
      </c>
      <c r="H24" s="2656" t="s">
        <v>3045</v>
      </c>
      <c r="I24" s="2656" t="s">
        <v>3046</v>
      </c>
      <c r="J24" s="2656">
        <v>3158</v>
      </c>
      <c r="K24" s="2656">
        <v>177.28</v>
      </c>
      <c r="L24" s="2656">
        <v>1564.2</v>
      </c>
      <c r="M24" s="2656">
        <v>3.81</v>
      </c>
      <c r="N24" s="2656" t="s">
        <v>3081</v>
      </c>
      <c r="O24" s="2656" t="s">
        <v>3042</v>
      </c>
    </row>
    <row r="25" spans="1:17">
      <c r="A25" s="2656" t="s">
        <v>3136</v>
      </c>
      <c r="B25" s="2656" t="s">
        <v>3029</v>
      </c>
      <c r="C25" s="2656">
        <v>25180</v>
      </c>
      <c r="D25" s="2656">
        <v>45324</v>
      </c>
      <c r="E25" s="3303" t="s">
        <v>3137</v>
      </c>
      <c r="F25" s="2656" t="s">
        <v>3032</v>
      </c>
      <c r="G25" s="2656" t="s">
        <v>3033</v>
      </c>
      <c r="H25" s="2656" t="s">
        <v>3138</v>
      </c>
      <c r="I25" s="2656" t="s">
        <v>3139</v>
      </c>
      <c r="J25" s="2656">
        <v>3020</v>
      </c>
      <c r="K25" s="2656">
        <v>79.959999999999994</v>
      </c>
      <c r="L25" s="2656">
        <v>666.3</v>
      </c>
      <c r="M25" s="2656">
        <v>0</v>
      </c>
      <c r="N25" s="2656" t="s">
        <v>3081</v>
      </c>
      <c r="O25" s="2656" t="s">
        <v>3089</v>
      </c>
    </row>
    <row r="26" spans="1:17">
      <c r="A26" s="2656" t="s">
        <v>3136</v>
      </c>
      <c r="B26" s="2656" t="s">
        <v>3029</v>
      </c>
      <c r="C26" s="2656">
        <v>18698</v>
      </c>
      <c r="D26" s="2656">
        <v>33656.400000000001</v>
      </c>
      <c r="E26" s="3303" t="s">
        <v>3137</v>
      </c>
      <c r="F26" s="2656" t="s">
        <v>3032</v>
      </c>
      <c r="G26" s="2656" t="s">
        <v>3033</v>
      </c>
      <c r="H26" s="2656" t="s">
        <v>3049</v>
      </c>
      <c r="I26" s="2656" t="s">
        <v>3139</v>
      </c>
      <c r="J26" s="2656">
        <v>1042</v>
      </c>
      <c r="K26" s="2656">
        <v>37.15</v>
      </c>
      <c r="L26" s="2656">
        <v>309.60000000000002</v>
      </c>
      <c r="M26" s="2656">
        <v>0</v>
      </c>
      <c r="N26" s="2656" t="s">
        <v>3140</v>
      </c>
      <c r="O26" s="2656" t="s">
        <v>3089</v>
      </c>
    </row>
    <row r="27" spans="1:17">
      <c r="A27" s="2656" t="s">
        <v>3047</v>
      </c>
      <c r="B27" s="2656" t="s">
        <v>3029</v>
      </c>
      <c r="C27" s="2656">
        <v>4000</v>
      </c>
      <c r="D27" s="2656">
        <v>8000</v>
      </c>
      <c r="E27" s="3303" t="s">
        <v>3048</v>
      </c>
      <c r="F27" s="2656" t="s">
        <v>3032</v>
      </c>
      <c r="G27" s="2656" t="s">
        <v>3033</v>
      </c>
      <c r="H27" s="2656" t="s">
        <v>3049</v>
      </c>
      <c r="I27" s="2656" t="s">
        <v>3050</v>
      </c>
      <c r="J27" s="2656">
        <v>397</v>
      </c>
      <c r="K27" s="2656">
        <v>66.17</v>
      </c>
      <c r="L27" s="2656">
        <v>496.25</v>
      </c>
      <c r="M27" s="2656">
        <v>0</v>
      </c>
      <c r="N27" s="2656" t="s">
        <v>3081</v>
      </c>
      <c r="O27" s="2656" t="s">
        <v>3036</v>
      </c>
    </row>
    <row r="28" spans="1:17">
      <c r="A28" s="2656" t="s">
        <v>3085</v>
      </c>
      <c r="B28" s="2656" t="s">
        <v>3029</v>
      </c>
      <c r="C28" s="2656">
        <v>3737</v>
      </c>
      <c r="D28" s="2656">
        <v>4484.3999999999996</v>
      </c>
      <c r="E28" s="3303" t="s">
        <v>3086</v>
      </c>
      <c r="F28" s="2656" t="s">
        <v>3032</v>
      </c>
      <c r="G28" s="2656" t="s">
        <v>3033</v>
      </c>
      <c r="H28" s="2656" t="s">
        <v>3049</v>
      </c>
      <c r="I28" s="2656" t="s">
        <v>3088</v>
      </c>
      <c r="J28" s="2656">
        <v>168</v>
      </c>
      <c r="K28" s="2656">
        <v>29.97</v>
      </c>
      <c r="L28" s="2656">
        <v>374.62</v>
      </c>
      <c r="M28" s="2656">
        <v>0</v>
      </c>
      <c r="N28" s="2656" t="s">
        <v>3081</v>
      </c>
      <c r="O28" s="2656" t="s">
        <v>3089</v>
      </c>
    </row>
    <row r="29" spans="1:17">
      <c r="A29" s="2656" t="s">
        <v>3141</v>
      </c>
      <c r="B29" s="2656" t="s">
        <v>3029</v>
      </c>
      <c r="C29" s="2656">
        <v>28732</v>
      </c>
      <c r="D29" s="2656">
        <v>34478.400000000001</v>
      </c>
      <c r="E29" s="3303" t="s">
        <v>3101</v>
      </c>
      <c r="F29" s="2656" t="s">
        <v>3032</v>
      </c>
      <c r="G29" s="2656" t="s">
        <v>3033</v>
      </c>
      <c r="H29" s="2656" t="s">
        <v>3142</v>
      </c>
      <c r="I29" s="2656" t="s">
        <v>3139</v>
      </c>
      <c r="J29" s="2656">
        <v>1336</v>
      </c>
      <c r="K29" s="2656">
        <v>31</v>
      </c>
      <c r="L29" s="2656">
        <v>387.49</v>
      </c>
      <c r="M29" s="2656">
        <v>0</v>
      </c>
      <c r="N29" s="2656" t="s">
        <v>3081</v>
      </c>
      <c r="O29" s="2656" t="s">
        <v>3089</v>
      </c>
    </row>
    <row r="30" spans="1:17">
      <c r="A30" s="2656" t="s">
        <v>3143</v>
      </c>
      <c r="B30" s="2656" t="s">
        <v>3029</v>
      </c>
      <c r="C30" s="2656">
        <v>30099</v>
      </c>
      <c r="D30" s="2656">
        <v>36118.800000000003</v>
      </c>
      <c r="E30" s="3303" t="s">
        <v>3086</v>
      </c>
      <c r="F30" s="2656" t="s">
        <v>3032</v>
      </c>
      <c r="G30" s="2656" t="s">
        <v>3033</v>
      </c>
      <c r="H30" s="2656" t="s">
        <v>3144</v>
      </c>
      <c r="I30" s="2656" t="s">
        <v>3139</v>
      </c>
      <c r="J30" s="2656">
        <v>1693</v>
      </c>
      <c r="K30" s="2656">
        <v>37.5</v>
      </c>
      <c r="L30" s="2656">
        <v>468.73</v>
      </c>
      <c r="M30" s="2656">
        <v>0</v>
      </c>
      <c r="N30" s="2656" t="s">
        <v>3081</v>
      </c>
      <c r="O30" s="2656" t="s">
        <v>3122</v>
      </c>
    </row>
    <row r="31" spans="1:17">
      <c r="A31" s="2656" t="s">
        <v>3145</v>
      </c>
      <c r="B31" s="2656" t="s">
        <v>3029</v>
      </c>
      <c r="C31" s="2656">
        <v>3574</v>
      </c>
      <c r="D31" s="2656">
        <v>4288.8</v>
      </c>
      <c r="E31" s="3303" t="s">
        <v>3101</v>
      </c>
      <c r="F31" s="2656" t="s">
        <v>3032</v>
      </c>
      <c r="G31" s="2656" t="s">
        <v>3033</v>
      </c>
      <c r="H31" s="2656" t="s">
        <v>3144</v>
      </c>
      <c r="I31" s="2656" t="s">
        <v>3088</v>
      </c>
      <c r="J31" s="2656">
        <v>165</v>
      </c>
      <c r="K31" s="2656">
        <v>30.78</v>
      </c>
      <c r="L31" s="2656">
        <v>384.72</v>
      </c>
      <c r="M31" s="2656">
        <v>0</v>
      </c>
      <c r="N31" s="2656" t="s">
        <v>3146</v>
      </c>
      <c r="O31" s="2656" t="s">
        <v>3089</v>
      </c>
    </row>
    <row r="32" spans="1:17">
      <c r="A32" s="2656" t="s">
        <v>3147</v>
      </c>
      <c r="B32" s="2656" t="s">
        <v>3029</v>
      </c>
      <c r="C32" s="2656">
        <v>2556</v>
      </c>
      <c r="D32" s="2656">
        <v>3067.2</v>
      </c>
      <c r="E32" s="3303" t="s">
        <v>3101</v>
      </c>
      <c r="F32" s="2656" t="s">
        <v>3032</v>
      </c>
      <c r="G32" s="2656" t="s">
        <v>3033</v>
      </c>
      <c r="H32" s="2656" t="s">
        <v>3144</v>
      </c>
      <c r="I32" s="2656" t="s">
        <v>3088</v>
      </c>
      <c r="J32" s="2656">
        <v>118</v>
      </c>
      <c r="K32" s="2656">
        <v>30.78</v>
      </c>
      <c r="L32" s="2656">
        <v>384.72</v>
      </c>
      <c r="M32" s="2656">
        <v>0</v>
      </c>
      <c r="N32" s="2656" t="s">
        <v>3081</v>
      </c>
      <c r="O32" s="2656" t="s">
        <v>3089</v>
      </c>
    </row>
    <row r="33" spans="1:17">
      <c r="A33" s="2656" t="s">
        <v>3148</v>
      </c>
      <c r="B33" s="2656" t="s">
        <v>3029</v>
      </c>
      <c r="C33" s="2656">
        <v>24280</v>
      </c>
      <c r="D33" s="2656">
        <v>24280</v>
      </c>
      <c r="E33" s="3303" t="s">
        <v>3149</v>
      </c>
      <c r="F33" s="2656" t="s">
        <v>3032</v>
      </c>
      <c r="G33" s="2656" t="s">
        <v>3097</v>
      </c>
      <c r="H33" s="2656" t="s">
        <v>3150</v>
      </c>
      <c r="I33" s="2656" t="s">
        <v>3151</v>
      </c>
      <c r="J33" s="2656">
        <v>5098</v>
      </c>
      <c r="K33" s="2656">
        <v>139.97999999999999</v>
      </c>
      <c r="L33" s="2656">
        <v>2099.67</v>
      </c>
      <c r="M33" s="2656">
        <v>0</v>
      </c>
      <c r="N33" s="2656" t="s">
        <v>3081</v>
      </c>
      <c r="O33" s="2656" t="s">
        <v>3042</v>
      </c>
    </row>
    <row r="34" spans="1:17">
      <c r="A34" s="2656" t="s">
        <v>3152</v>
      </c>
      <c r="B34" s="2656" t="s">
        <v>3029</v>
      </c>
      <c r="C34" s="2656">
        <v>931</v>
      </c>
      <c r="D34" s="2656">
        <v>931</v>
      </c>
      <c r="E34" s="3303" t="s">
        <v>3149</v>
      </c>
      <c r="F34" s="2656" t="s">
        <v>3032</v>
      </c>
      <c r="G34" s="2656" t="s">
        <v>3092</v>
      </c>
      <c r="H34" s="2656" t="s">
        <v>3150</v>
      </c>
      <c r="I34" s="2656" t="s">
        <v>3153</v>
      </c>
      <c r="J34" s="2656">
        <v>68</v>
      </c>
      <c r="K34" s="2656">
        <v>48.69</v>
      </c>
      <c r="L34" s="2656">
        <v>730.39</v>
      </c>
      <c r="M34" s="2656">
        <v>0</v>
      </c>
      <c r="N34" s="2656" t="s">
        <v>3081</v>
      </c>
      <c r="O34" s="2656" t="s">
        <v>3089</v>
      </c>
    </row>
    <row r="35" spans="1:17">
      <c r="A35" s="2656" t="s">
        <v>3154</v>
      </c>
      <c r="B35" s="2656" t="s">
        <v>3029</v>
      </c>
      <c r="C35" s="2656">
        <v>11936</v>
      </c>
      <c r="D35" s="2656">
        <v>23872</v>
      </c>
      <c r="E35" s="3303" t="s">
        <v>3048</v>
      </c>
      <c r="F35" s="2656" t="s">
        <v>3032</v>
      </c>
      <c r="G35" s="2656" t="s">
        <v>3092</v>
      </c>
      <c r="H35" s="2656" t="s">
        <v>3155</v>
      </c>
      <c r="I35" s="2656" t="s">
        <v>3156</v>
      </c>
      <c r="J35" s="2656">
        <v>1106</v>
      </c>
      <c r="K35" s="2656">
        <v>61.77</v>
      </c>
      <c r="L35" s="2656">
        <v>463.3</v>
      </c>
      <c r="M35" s="2656">
        <v>0</v>
      </c>
      <c r="N35" s="2656" t="s">
        <v>3081</v>
      </c>
      <c r="O35" s="2656" t="s">
        <v>3036</v>
      </c>
    </row>
    <row r="36" spans="1:17">
      <c r="A36" s="2656" t="s">
        <v>3154</v>
      </c>
      <c r="B36" s="2656" t="s">
        <v>3029</v>
      </c>
      <c r="C36" s="2656">
        <v>14230</v>
      </c>
      <c r="D36" s="2656">
        <v>28460</v>
      </c>
      <c r="E36" s="3303" t="s">
        <v>3048</v>
      </c>
      <c r="F36" s="2656" t="s">
        <v>3032</v>
      </c>
      <c r="G36" s="2656" t="s">
        <v>3092</v>
      </c>
      <c r="H36" s="2656" t="s">
        <v>3155</v>
      </c>
      <c r="I36" s="2656" t="s">
        <v>3156</v>
      </c>
      <c r="J36" s="2656">
        <v>1318</v>
      </c>
      <c r="K36" s="2656">
        <v>61.75</v>
      </c>
      <c r="L36" s="2656">
        <v>463.11</v>
      </c>
      <c r="M36" s="2656">
        <v>0</v>
      </c>
      <c r="N36" s="2656" t="s">
        <v>3081</v>
      </c>
      <c r="O36" s="2656" t="s">
        <v>3036</v>
      </c>
    </row>
    <row r="37" spans="1:17">
      <c r="A37" s="2656" t="s">
        <v>3154</v>
      </c>
      <c r="B37" s="2656" t="s">
        <v>3029</v>
      </c>
      <c r="C37" s="2656">
        <v>13072</v>
      </c>
      <c r="D37" s="2656">
        <v>13072</v>
      </c>
      <c r="E37" s="3303" t="s">
        <v>3149</v>
      </c>
      <c r="F37" s="2656" t="s">
        <v>3032</v>
      </c>
      <c r="G37" s="2656" t="s">
        <v>3092</v>
      </c>
      <c r="H37" s="2656" t="s">
        <v>3155</v>
      </c>
      <c r="I37" s="2656" t="s">
        <v>3156</v>
      </c>
      <c r="J37" s="2656">
        <v>1021</v>
      </c>
      <c r="K37" s="2656">
        <v>52.07</v>
      </c>
      <c r="L37" s="2656">
        <v>781.05</v>
      </c>
      <c r="M37" s="2656">
        <v>0</v>
      </c>
      <c r="N37" s="2656" t="s">
        <v>3081</v>
      </c>
      <c r="O37" s="2656" t="s">
        <v>3036</v>
      </c>
    </row>
    <row r="38" spans="1:17">
      <c r="A38" s="2656" t="s">
        <v>3154</v>
      </c>
      <c r="B38" s="2656" t="s">
        <v>3029</v>
      </c>
      <c r="C38" s="2656">
        <v>2665</v>
      </c>
      <c r="D38" s="2656">
        <v>2665</v>
      </c>
      <c r="E38" s="3303" t="s">
        <v>3149</v>
      </c>
      <c r="F38" s="2656" t="s">
        <v>3032</v>
      </c>
      <c r="G38" s="2656" t="s">
        <v>3092</v>
      </c>
      <c r="H38" s="2656" t="s">
        <v>3155</v>
      </c>
      <c r="I38" s="2656" t="s">
        <v>3156</v>
      </c>
      <c r="J38" s="2656">
        <v>209</v>
      </c>
      <c r="K38" s="2656">
        <v>52.28</v>
      </c>
      <c r="L38" s="2656">
        <v>784.24</v>
      </c>
      <c r="M38" s="2656">
        <v>0</v>
      </c>
      <c r="N38" s="2656" t="s">
        <v>3081</v>
      </c>
      <c r="O38" s="2656" t="s">
        <v>3036</v>
      </c>
    </row>
    <row r="39" spans="1:17">
      <c r="A39" s="2656" t="s">
        <v>3154</v>
      </c>
      <c r="B39" s="2656" t="s">
        <v>3029</v>
      </c>
      <c r="C39" s="2656">
        <v>12049</v>
      </c>
      <c r="D39" s="2656">
        <v>42171.5</v>
      </c>
      <c r="E39" s="3303" t="s">
        <v>3157</v>
      </c>
      <c r="F39" s="2656" t="s">
        <v>3032</v>
      </c>
      <c r="G39" s="2656" t="s">
        <v>3092</v>
      </c>
      <c r="H39" s="2656" t="s">
        <v>3155</v>
      </c>
      <c r="I39" s="2656" t="s">
        <v>3156</v>
      </c>
      <c r="J39" s="2656">
        <v>1130</v>
      </c>
      <c r="K39" s="2656">
        <v>62.52</v>
      </c>
      <c r="L39" s="2656">
        <v>267.94</v>
      </c>
      <c r="M39" s="2656">
        <v>0</v>
      </c>
      <c r="N39" s="2656" t="s">
        <v>3081</v>
      </c>
      <c r="O39" s="2656" t="s">
        <v>3036</v>
      </c>
    </row>
    <row r="40" spans="1:17">
      <c r="A40" s="2656" t="s">
        <v>3154</v>
      </c>
      <c r="B40" s="2656" t="s">
        <v>3029</v>
      </c>
      <c r="C40" s="2656">
        <v>14634</v>
      </c>
      <c r="D40" s="2656">
        <v>51219</v>
      </c>
      <c r="E40" s="3303" t="s">
        <v>3157</v>
      </c>
      <c r="F40" s="2656" t="s">
        <v>3032</v>
      </c>
      <c r="G40" s="2656" t="s">
        <v>3092</v>
      </c>
      <c r="H40" s="2656" t="s">
        <v>3155</v>
      </c>
      <c r="I40" s="2656" t="s">
        <v>3156</v>
      </c>
      <c r="J40" s="2656">
        <v>1372</v>
      </c>
      <c r="K40" s="2656">
        <v>62.5</v>
      </c>
      <c r="L40" s="2656">
        <v>267.87</v>
      </c>
      <c r="M40" s="2656">
        <v>0</v>
      </c>
      <c r="N40" s="2656" t="s">
        <v>3081</v>
      </c>
      <c r="O40" s="2656" t="s">
        <v>3036</v>
      </c>
    </row>
    <row r="41" spans="1:17">
      <c r="A41" s="2656" t="s">
        <v>3158</v>
      </c>
      <c r="B41" s="2656" t="s">
        <v>3029</v>
      </c>
      <c r="C41" s="2656">
        <v>9293</v>
      </c>
      <c r="D41" s="2656">
        <v>11151.6</v>
      </c>
      <c r="E41" s="3303" t="s">
        <v>3101</v>
      </c>
      <c r="F41" s="2656" t="s">
        <v>3032</v>
      </c>
      <c r="G41" s="2656" t="s">
        <v>3033</v>
      </c>
      <c r="H41" s="2656" t="s">
        <v>2797</v>
      </c>
      <c r="I41" s="2656" t="s">
        <v>2797</v>
      </c>
      <c r="J41" s="2656" t="s">
        <v>2797</v>
      </c>
      <c r="K41" s="2656" t="s">
        <v>2797</v>
      </c>
      <c r="L41" s="2656" t="s">
        <v>2797</v>
      </c>
      <c r="M41" s="2656" t="s">
        <v>2797</v>
      </c>
      <c r="N41" s="2656" t="s">
        <v>3081</v>
      </c>
      <c r="O41" s="2656" t="s">
        <v>3089</v>
      </c>
    </row>
    <row r="42" spans="1:17">
      <c r="A42" s="2656" t="s">
        <v>3159</v>
      </c>
      <c r="B42" s="2656" t="s">
        <v>3029</v>
      </c>
      <c r="C42" s="2656">
        <v>2016</v>
      </c>
      <c r="D42" s="2656">
        <v>1209.5999999999999</v>
      </c>
      <c r="E42" s="3303" t="s">
        <v>3091</v>
      </c>
      <c r="F42" s="2656" t="s">
        <v>3032</v>
      </c>
      <c r="G42" s="2656" t="s">
        <v>3092</v>
      </c>
      <c r="H42" s="2656" t="s">
        <v>3160</v>
      </c>
      <c r="I42" s="2656" t="s">
        <v>3161</v>
      </c>
      <c r="J42" s="2656">
        <v>134</v>
      </c>
      <c r="K42" s="2656">
        <v>44.31</v>
      </c>
      <c r="L42" s="2656">
        <v>1107.79</v>
      </c>
      <c r="M42" s="2656">
        <v>0</v>
      </c>
      <c r="N42" s="2656" t="s">
        <v>3081</v>
      </c>
      <c r="O42" s="2656" t="s">
        <v>3089</v>
      </c>
    </row>
    <row r="43" spans="1:17">
      <c r="A43" s="2656" t="s">
        <v>3162</v>
      </c>
      <c r="B43" s="2656" t="s">
        <v>3029</v>
      </c>
      <c r="C43" s="2656">
        <v>19876</v>
      </c>
      <c r="D43" s="2656">
        <v>11925.6</v>
      </c>
      <c r="E43" s="3303" t="s">
        <v>3091</v>
      </c>
      <c r="F43" s="2656" t="s">
        <v>3032</v>
      </c>
      <c r="G43" s="2656" t="s">
        <v>3033</v>
      </c>
      <c r="H43" s="2656" t="s">
        <v>3160</v>
      </c>
      <c r="I43" s="2656" t="s">
        <v>3121</v>
      </c>
      <c r="J43" s="2656">
        <v>1352</v>
      </c>
      <c r="K43" s="2656">
        <v>45.35</v>
      </c>
      <c r="L43" s="2656">
        <v>1133.7</v>
      </c>
      <c r="M43" s="2656">
        <v>0</v>
      </c>
      <c r="N43" s="2656" t="s">
        <v>3081</v>
      </c>
      <c r="O43" s="2656" t="s">
        <v>3089</v>
      </c>
    </row>
    <row r="44" spans="1:17">
      <c r="A44" s="2656" t="s">
        <v>3163</v>
      </c>
      <c r="B44" s="2656" t="s">
        <v>3029</v>
      </c>
      <c r="C44" s="2656">
        <v>9430</v>
      </c>
      <c r="D44" s="2656">
        <v>7072.5</v>
      </c>
      <c r="E44" s="3303" t="s">
        <v>3164</v>
      </c>
      <c r="F44" s="2656" t="s">
        <v>3032</v>
      </c>
      <c r="G44" s="2656" t="s">
        <v>3092</v>
      </c>
      <c r="H44" s="2656" t="s">
        <v>3165</v>
      </c>
      <c r="I44" s="2656" t="s">
        <v>3166</v>
      </c>
      <c r="J44" s="2656">
        <v>666</v>
      </c>
      <c r="K44" s="2656">
        <v>47.08</v>
      </c>
      <c r="L44" s="2656">
        <v>941.67</v>
      </c>
      <c r="M44" s="2656">
        <v>0</v>
      </c>
      <c r="N44" s="2656" t="s">
        <v>3167</v>
      </c>
      <c r="O44" s="2656" t="s">
        <v>3036</v>
      </c>
    </row>
    <row r="45" spans="1:17">
      <c r="A45" s="2656" t="s">
        <v>3168</v>
      </c>
      <c r="B45" s="2656" t="s">
        <v>3029</v>
      </c>
      <c r="C45" s="2656">
        <v>74558</v>
      </c>
      <c r="D45" s="2656">
        <v>89469.6</v>
      </c>
      <c r="E45" s="3303" t="s">
        <v>3101</v>
      </c>
      <c r="F45" s="2656" t="s">
        <v>3032</v>
      </c>
      <c r="G45" s="2656" t="s">
        <v>3097</v>
      </c>
      <c r="H45" s="2656" t="s">
        <v>3165</v>
      </c>
      <c r="I45" s="2656" t="s">
        <v>3166</v>
      </c>
      <c r="J45" s="2656">
        <v>5727</v>
      </c>
      <c r="K45" s="2656">
        <v>51.21</v>
      </c>
      <c r="L45" s="2656">
        <v>640.11</v>
      </c>
      <c r="M45" s="2656">
        <v>0</v>
      </c>
      <c r="N45" s="2656" t="s">
        <v>3081</v>
      </c>
      <c r="O45" s="2656" t="s">
        <v>3036</v>
      </c>
      <c r="Q45" s="3284" t="s">
        <v>3246</v>
      </c>
    </row>
    <row r="46" spans="1:17">
      <c r="A46" s="2656" t="s">
        <v>3169</v>
      </c>
      <c r="B46" s="2656" t="s">
        <v>3029</v>
      </c>
      <c r="C46" s="2656">
        <v>24896</v>
      </c>
      <c r="D46" s="2656">
        <v>29875.200000000001</v>
      </c>
      <c r="E46" s="3303" t="s">
        <v>3101</v>
      </c>
      <c r="F46" s="2656" t="s">
        <v>3032</v>
      </c>
      <c r="G46" s="2656" t="s">
        <v>3097</v>
      </c>
      <c r="H46" s="2656" t="s">
        <v>3165</v>
      </c>
      <c r="I46" s="2656" t="s">
        <v>3166</v>
      </c>
      <c r="J46" s="2656">
        <v>1887</v>
      </c>
      <c r="K46" s="2656">
        <v>50.53</v>
      </c>
      <c r="L46" s="2656">
        <v>631.62</v>
      </c>
      <c r="M46" s="2656">
        <v>0</v>
      </c>
      <c r="N46" s="2656" t="s">
        <v>3167</v>
      </c>
      <c r="O46" s="2656" t="s">
        <v>3036</v>
      </c>
    </row>
    <row r="47" spans="1:17">
      <c r="A47" s="2656" t="s">
        <v>3170</v>
      </c>
      <c r="B47" s="2656" t="s">
        <v>3029</v>
      </c>
      <c r="C47" s="2656">
        <v>1928</v>
      </c>
      <c r="D47" s="2656">
        <v>1156.8</v>
      </c>
      <c r="E47" s="3303" t="s">
        <v>3091</v>
      </c>
      <c r="F47" s="2656" t="s">
        <v>3032</v>
      </c>
      <c r="G47" s="2656" t="s">
        <v>3171</v>
      </c>
      <c r="H47" s="2656" t="s">
        <v>3172</v>
      </c>
      <c r="I47" s="2656" t="s">
        <v>3173</v>
      </c>
      <c r="J47" s="2656">
        <v>135</v>
      </c>
      <c r="K47" s="2656">
        <v>46.68</v>
      </c>
      <c r="L47" s="2656">
        <v>1167</v>
      </c>
      <c r="M47" s="2656">
        <v>0</v>
      </c>
      <c r="N47" s="2656" t="s">
        <v>3081</v>
      </c>
      <c r="O47" s="2656" t="s">
        <v>3089</v>
      </c>
    </row>
    <row r="48" spans="1:17">
      <c r="A48" s="2656" t="s">
        <v>3162</v>
      </c>
      <c r="B48" s="2656" t="s">
        <v>3029</v>
      </c>
      <c r="C48" s="2656">
        <v>19876</v>
      </c>
      <c r="D48" s="2656">
        <v>11925.6</v>
      </c>
      <c r="E48" s="3303" t="s">
        <v>3091</v>
      </c>
      <c r="F48" s="2656" t="s">
        <v>3032</v>
      </c>
      <c r="G48" s="2656" t="s">
        <v>3033</v>
      </c>
      <c r="H48" s="2656" t="s">
        <v>2797</v>
      </c>
      <c r="I48" s="2656" t="s">
        <v>2797</v>
      </c>
      <c r="J48" s="2656" t="s">
        <v>2797</v>
      </c>
      <c r="K48" s="2656" t="s">
        <v>2797</v>
      </c>
      <c r="L48" s="2656" t="s">
        <v>2797</v>
      </c>
      <c r="M48" s="2656" t="s">
        <v>2797</v>
      </c>
      <c r="N48" s="2656" t="s">
        <v>3081</v>
      </c>
      <c r="O48" s="2656" t="s">
        <v>3089</v>
      </c>
    </row>
    <row r="49" spans="1:15">
      <c r="A49" s="2656" t="s">
        <v>3174</v>
      </c>
      <c r="B49" s="2656" t="s">
        <v>3029</v>
      </c>
      <c r="C49" s="2656">
        <v>10000</v>
      </c>
      <c r="D49" s="2656">
        <v>10000</v>
      </c>
      <c r="E49" s="3303" t="s">
        <v>3149</v>
      </c>
      <c r="F49" s="2656" t="s">
        <v>3032</v>
      </c>
      <c r="G49" s="2656" t="s">
        <v>3171</v>
      </c>
      <c r="H49" s="2656" t="s">
        <v>3172</v>
      </c>
      <c r="I49" s="2656" t="s">
        <v>3175</v>
      </c>
      <c r="J49" s="2656">
        <v>646</v>
      </c>
      <c r="K49" s="2656">
        <v>43.07</v>
      </c>
      <c r="L49" s="2656">
        <v>646</v>
      </c>
      <c r="M49" s="2656">
        <v>0</v>
      </c>
      <c r="N49" s="2656" t="s">
        <v>3081</v>
      </c>
      <c r="O49" s="2656" t="s">
        <v>3036</v>
      </c>
    </row>
    <row r="50" spans="1:15">
      <c r="A50" s="2656" t="s">
        <v>3116</v>
      </c>
      <c r="B50" s="2656" t="s">
        <v>3029</v>
      </c>
      <c r="C50" s="2656">
        <v>2667</v>
      </c>
      <c r="D50" s="2656">
        <v>1600.2</v>
      </c>
      <c r="E50" s="3303" t="s">
        <v>3091</v>
      </c>
      <c r="F50" s="2656" t="s">
        <v>3032</v>
      </c>
      <c r="G50" s="2656" t="s">
        <v>3171</v>
      </c>
      <c r="H50" s="2656" t="s">
        <v>2797</v>
      </c>
      <c r="I50" s="2656" t="s">
        <v>2797</v>
      </c>
      <c r="J50" s="2656" t="s">
        <v>2797</v>
      </c>
      <c r="K50" s="2656" t="s">
        <v>2797</v>
      </c>
      <c r="L50" s="2656" t="s">
        <v>2797</v>
      </c>
      <c r="M50" s="2656" t="s">
        <v>2797</v>
      </c>
      <c r="N50" s="2656" t="s">
        <v>3081</v>
      </c>
      <c r="O50" s="2656" t="s">
        <v>3036</v>
      </c>
    </row>
    <row r="51" spans="1:15">
      <c r="A51" s="2656" t="s">
        <v>3152</v>
      </c>
      <c r="B51" s="2656" t="s">
        <v>3029</v>
      </c>
      <c r="C51" s="2656">
        <v>931</v>
      </c>
      <c r="D51" s="2656">
        <v>931</v>
      </c>
      <c r="E51" s="3303" t="s">
        <v>3149</v>
      </c>
      <c r="F51" s="2656" t="s">
        <v>3032</v>
      </c>
      <c r="G51" s="2656" t="s">
        <v>3171</v>
      </c>
      <c r="H51" s="2656" t="s">
        <v>2797</v>
      </c>
      <c r="I51" s="2656" t="s">
        <v>2797</v>
      </c>
      <c r="J51" s="2656" t="s">
        <v>2797</v>
      </c>
      <c r="K51" s="2656" t="s">
        <v>2797</v>
      </c>
      <c r="L51" s="2656" t="s">
        <v>2797</v>
      </c>
      <c r="M51" s="2656" t="s">
        <v>2797</v>
      </c>
      <c r="N51" s="2656" t="s">
        <v>3081</v>
      </c>
      <c r="O51" s="2656" t="s">
        <v>3089</v>
      </c>
    </row>
    <row r="52" spans="1:15">
      <c r="A52" s="2656" t="s">
        <v>3169</v>
      </c>
      <c r="B52" s="2656" t="s">
        <v>3029</v>
      </c>
      <c r="C52" s="2656">
        <v>24896</v>
      </c>
      <c r="D52" s="2656">
        <v>29875.200000000001</v>
      </c>
      <c r="E52" s="3303" t="s">
        <v>3101</v>
      </c>
      <c r="F52" s="2656" t="s">
        <v>3032</v>
      </c>
      <c r="G52" s="2656" t="s">
        <v>3033</v>
      </c>
      <c r="H52" s="2656" t="s">
        <v>2797</v>
      </c>
      <c r="I52" s="2656" t="s">
        <v>2797</v>
      </c>
      <c r="J52" s="2656" t="s">
        <v>2797</v>
      </c>
      <c r="K52" s="2656" t="s">
        <v>2797</v>
      </c>
      <c r="L52" s="2656" t="s">
        <v>2797</v>
      </c>
      <c r="M52" s="2656" t="s">
        <v>2797</v>
      </c>
      <c r="N52" s="2656" t="s">
        <v>3167</v>
      </c>
      <c r="O52" s="2656" t="s">
        <v>3089</v>
      </c>
    </row>
    <row r="53" spans="1:15">
      <c r="A53" s="2656" t="s">
        <v>3100</v>
      </c>
      <c r="B53" s="2656" t="s">
        <v>3029</v>
      </c>
      <c r="C53" s="2656">
        <v>9386</v>
      </c>
      <c r="D53" s="2656">
        <v>10324.6</v>
      </c>
      <c r="E53" s="3303" t="s">
        <v>3126</v>
      </c>
      <c r="F53" s="2656" t="s">
        <v>3032</v>
      </c>
      <c r="G53" s="2656" t="s">
        <v>3171</v>
      </c>
      <c r="H53" s="2656" t="s">
        <v>2797</v>
      </c>
      <c r="I53" s="2656" t="s">
        <v>2797</v>
      </c>
      <c r="J53" s="2656" t="s">
        <v>2797</v>
      </c>
      <c r="K53" s="2656" t="s">
        <v>2797</v>
      </c>
      <c r="L53" s="2656" t="s">
        <v>2797</v>
      </c>
      <c r="M53" s="2656" t="s">
        <v>2797</v>
      </c>
      <c r="N53" s="2656" t="s">
        <v>3081</v>
      </c>
      <c r="O53" s="2656" t="s">
        <v>3089</v>
      </c>
    </row>
    <row r="54" spans="1:15">
      <c r="A54" s="2656" t="s">
        <v>3176</v>
      </c>
      <c r="B54" s="2656" t="s">
        <v>3029</v>
      </c>
      <c r="C54" s="2656">
        <v>1313</v>
      </c>
      <c r="D54" s="2656">
        <v>787.8</v>
      </c>
      <c r="E54" s="3303" t="s">
        <v>3091</v>
      </c>
      <c r="F54" s="2656" t="s">
        <v>3032</v>
      </c>
      <c r="G54" s="2656" t="s">
        <v>3171</v>
      </c>
      <c r="H54" s="2656" t="s">
        <v>3177</v>
      </c>
      <c r="I54" s="2656" t="s">
        <v>3178</v>
      </c>
      <c r="J54" s="2656">
        <v>92</v>
      </c>
      <c r="K54" s="2656">
        <v>46.71</v>
      </c>
      <c r="L54" s="2656">
        <v>1167.8</v>
      </c>
      <c r="M54" s="2656">
        <v>0</v>
      </c>
      <c r="N54" s="2656" t="s">
        <v>3081</v>
      </c>
      <c r="O54" s="2656" t="s">
        <v>3089</v>
      </c>
    </row>
    <row r="55" spans="1:15">
      <c r="A55" s="2656" t="s">
        <v>3163</v>
      </c>
      <c r="B55" s="2656" t="s">
        <v>3029</v>
      </c>
      <c r="C55" s="2656">
        <v>9430</v>
      </c>
      <c r="D55" s="2656">
        <v>7072.5</v>
      </c>
      <c r="E55" s="3303" t="s">
        <v>3164</v>
      </c>
      <c r="F55" s="2656" t="s">
        <v>3032</v>
      </c>
      <c r="G55" s="2656" t="s">
        <v>3033</v>
      </c>
      <c r="H55" s="2656" t="s">
        <v>2797</v>
      </c>
      <c r="I55" s="2656" t="s">
        <v>2797</v>
      </c>
      <c r="J55" s="2656" t="s">
        <v>2797</v>
      </c>
      <c r="K55" s="2656" t="s">
        <v>2797</v>
      </c>
      <c r="L55" s="2656" t="s">
        <v>2797</v>
      </c>
      <c r="M55" s="2656" t="s">
        <v>2797</v>
      </c>
      <c r="N55" s="2656" t="s">
        <v>3167</v>
      </c>
      <c r="O55" s="2656" t="s">
        <v>3042</v>
      </c>
    </row>
    <row r="56" spans="1:15">
      <c r="A56" s="2656" t="s">
        <v>3100</v>
      </c>
      <c r="B56" s="2656" t="s">
        <v>3029</v>
      </c>
      <c r="C56" s="2656">
        <v>15713</v>
      </c>
      <c r="D56" s="2656">
        <v>17284.3</v>
      </c>
      <c r="E56" s="3303" t="s">
        <v>3126</v>
      </c>
      <c r="F56" s="2656" t="s">
        <v>3032</v>
      </c>
      <c r="G56" s="2656" t="s">
        <v>3171</v>
      </c>
      <c r="H56" s="2656" t="s">
        <v>2797</v>
      </c>
      <c r="I56" s="2656" t="s">
        <v>2797</v>
      </c>
      <c r="J56" s="2656" t="s">
        <v>2797</v>
      </c>
      <c r="K56" s="2656" t="s">
        <v>2797</v>
      </c>
      <c r="L56" s="2656" t="s">
        <v>2797</v>
      </c>
      <c r="M56" s="2656" t="s">
        <v>2797</v>
      </c>
      <c r="N56" s="2656" t="s">
        <v>3081</v>
      </c>
      <c r="O56" s="2656" t="s">
        <v>3089</v>
      </c>
    </row>
    <row r="57" spans="1:15">
      <c r="A57" s="2656" t="s">
        <v>3168</v>
      </c>
      <c r="B57" s="2656" t="s">
        <v>3029</v>
      </c>
      <c r="C57" s="2656">
        <v>74558</v>
      </c>
      <c r="D57" s="2656">
        <v>89469.6</v>
      </c>
      <c r="E57" s="3303" t="s">
        <v>3101</v>
      </c>
      <c r="F57" s="2656" t="s">
        <v>3032</v>
      </c>
      <c r="G57" s="2656" t="s">
        <v>3033</v>
      </c>
      <c r="H57" s="2656" t="s">
        <v>2797</v>
      </c>
      <c r="I57" s="2656" t="s">
        <v>2797</v>
      </c>
      <c r="J57" s="2656" t="s">
        <v>2797</v>
      </c>
      <c r="K57" s="2656" t="s">
        <v>2797</v>
      </c>
      <c r="L57" s="2656" t="s">
        <v>2797</v>
      </c>
      <c r="M57" s="2656" t="s">
        <v>2797</v>
      </c>
      <c r="N57" s="2656" t="s">
        <v>3081</v>
      </c>
      <c r="O57" s="2656" t="s">
        <v>3089</v>
      </c>
    </row>
    <row r="58" spans="1:15">
      <c r="A58" s="2656" t="s">
        <v>3179</v>
      </c>
      <c r="B58" s="2656" t="s">
        <v>3029</v>
      </c>
      <c r="C58" s="2656">
        <v>2000</v>
      </c>
      <c r="D58" s="2656">
        <v>1200</v>
      </c>
      <c r="E58" s="3303" t="s">
        <v>3091</v>
      </c>
      <c r="F58" s="2656" t="s">
        <v>3032</v>
      </c>
      <c r="G58" s="2656" t="s">
        <v>3171</v>
      </c>
      <c r="H58" s="2656" t="s">
        <v>3177</v>
      </c>
      <c r="I58" s="2656" t="s">
        <v>3180</v>
      </c>
      <c r="J58" s="2656">
        <v>115</v>
      </c>
      <c r="K58" s="2656">
        <v>38.33</v>
      </c>
      <c r="L58" s="2656">
        <v>958.33</v>
      </c>
      <c r="M58" s="2656">
        <v>0</v>
      </c>
      <c r="N58" s="2656" t="s">
        <v>3081</v>
      </c>
      <c r="O58" s="2656" t="s">
        <v>3089</v>
      </c>
    </row>
    <row r="59" spans="1:15">
      <c r="A59" s="2656" t="s">
        <v>3181</v>
      </c>
      <c r="B59" s="2656" t="s">
        <v>3029</v>
      </c>
      <c r="C59" s="2656">
        <v>1568</v>
      </c>
      <c r="D59" s="2656">
        <v>940.8</v>
      </c>
      <c r="E59" s="3303" t="s">
        <v>3091</v>
      </c>
      <c r="F59" s="2656" t="s">
        <v>3032</v>
      </c>
      <c r="G59" s="2656" t="s">
        <v>3171</v>
      </c>
      <c r="H59" s="2656" t="s">
        <v>3177</v>
      </c>
      <c r="I59" s="2656" t="s">
        <v>3182</v>
      </c>
      <c r="J59" s="2656">
        <v>107</v>
      </c>
      <c r="K59" s="2656">
        <v>45.49</v>
      </c>
      <c r="L59" s="2656">
        <v>1137.32</v>
      </c>
      <c r="M59" s="2656">
        <v>0</v>
      </c>
      <c r="N59" s="2656" t="s">
        <v>3081</v>
      </c>
      <c r="O59" s="2656" t="s">
        <v>3122</v>
      </c>
    </row>
    <row r="60" spans="1:15">
      <c r="A60" s="2656" t="s">
        <v>3163</v>
      </c>
      <c r="B60" s="2656" t="s">
        <v>3029</v>
      </c>
      <c r="C60" s="2656">
        <v>9430</v>
      </c>
      <c r="D60" s="2656">
        <v>7072.5</v>
      </c>
      <c r="E60" s="3303" t="s">
        <v>3164</v>
      </c>
      <c r="F60" s="2656" t="s">
        <v>3032</v>
      </c>
      <c r="G60" s="2656" t="s">
        <v>3171</v>
      </c>
      <c r="H60" s="2656" t="s">
        <v>2797</v>
      </c>
      <c r="I60" s="2656" t="s">
        <v>2797</v>
      </c>
      <c r="J60" s="2656" t="s">
        <v>2797</v>
      </c>
      <c r="K60" s="2656" t="s">
        <v>2797</v>
      </c>
      <c r="L60" s="2656" t="s">
        <v>2797</v>
      </c>
      <c r="M60" s="2656" t="s">
        <v>2797</v>
      </c>
      <c r="N60" s="2656" t="s">
        <v>3183</v>
      </c>
      <c r="O60" s="2656" t="s">
        <v>3042</v>
      </c>
    </row>
    <row r="61" spans="1:15">
      <c r="A61" s="2656" t="s">
        <v>3168</v>
      </c>
      <c r="B61" s="2656" t="s">
        <v>3029</v>
      </c>
      <c r="C61" s="2656">
        <v>74558</v>
      </c>
      <c r="D61" s="2656">
        <v>89469.6</v>
      </c>
      <c r="E61" s="3303" t="s">
        <v>3101</v>
      </c>
      <c r="F61" s="2656" t="s">
        <v>3032</v>
      </c>
      <c r="G61" s="2656" t="s">
        <v>3171</v>
      </c>
      <c r="H61" s="2656" t="s">
        <v>2797</v>
      </c>
      <c r="I61" s="2656" t="s">
        <v>2797</v>
      </c>
      <c r="J61" s="2656" t="s">
        <v>2797</v>
      </c>
      <c r="K61" s="2656" t="s">
        <v>2797</v>
      </c>
      <c r="L61" s="2656" t="s">
        <v>2797</v>
      </c>
      <c r="M61" s="2656" t="s">
        <v>2797</v>
      </c>
      <c r="N61" s="2656" t="s">
        <v>3183</v>
      </c>
      <c r="O61" s="2656" t="s">
        <v>3089</v>
      </c>
    </row>
    <row r="62" spans="1:15">
      <c r="A62" s="2656" t="s">
        <v>3169</v>
      </c>
      <c r="B62" s="2656" t="s">
        <v>3029</v>
      </c>
      <c r="C62" s="2656">
        <v>24896</v>
      </c>
      <c r="D62" s="2656">
        <v>29875.200000000001</v>
      </c>
      <c r="E62" s="3303" t="s">
        <v>3101</v>
      </c>
      <c r="F62" s="2656" t="s">
        <v>3032</v>
      </c>
      <c r="G62" s="2656" t="s">
        <v>3171</v>
      </c>
      <c r="H62" s="2656" t="s">
        <v>2797</v>
      </c>
      <c r="I62" s="2656" t="s">
        <v>2797</v>
      </c>
      <c r="J62" s="2656" t="s">
        <v>2797</v>
      </c>
      <c r="K62" s="2656" t="s">
        <v>2797</v>
      </c>
      <c r="L62" s="2656" t="s">
        <v>2797</v>
      </c>
      <c r="M62" s="2656" t="s">
        <v>2797</v>
      </c>
      <c r="N62" s="2656" t="s">
        <v>3183</v>
      </c>
      <c r="O62" s="2656" t="s">
        <v>3089</v>
      </c>
    </row>
    <row r="63" spans="1:15">
      <c r="A63" s="2656" t="s">
        <v>3184</v>
      </c>
      <c r="B63" s="2656" t="s">
        <v>3029</v>
      </c>
      <c r="C63" s="2656">
        <v>2000</v>
      </c>
      <c r="D63" s="2656">
        <v>1200</v>
      </c>
      <c r="E63" s="3303" t="s">
        <v>3091</v>
      </c>
      <c r="F63" s="2656" t="s">
        <v>3032</v>
      </c>
      <c r="G63" s="2656" t="s">
        <v>3171</v>
      </c>
      <c r="H63" s="2656" t="s">
        <v>3185</v>
      </c>
      <c r="I63" s="2656" t="s">
        <v>3186</v>
      </c>
      <c r="J63" s="2656">
        <v>75</v>
      </c>
      <c r="K63" s="2656">
        <v>25</v>
      </c>
      <c r="L63" s="2656">
        <v>625</v>
      </c>
      <c r="M63" s="2656">
        <v>0</v>
      </c>
      <c r="N63" s="2656" t="s">
        <v>3187</v>
      </c>
      <c r="O63" s="2656" t="s">
        <v>3089</v>
      </c>
    </row>
    <row r="64" spans="1:15">
      <c r="A64" s="2656" t="s">
        <v>3188</v>
      </c>
      <c r="B64" s="2656" t="s">
        <v>3029</v>
      </c>
      <c r="C64" s="2656">
        <v>3022</v>
      </c>
      <c r="D64" s="2656">
        <v>1813.2</v>
      </c>
      <c r="E64" s="3303" t="s">
        <v>3091</v>
      </c>
      <c r="F64" s="2656" t="s">
        <v>3032</v>
      </c>
      <c r="G64" s="2656" t="s">
        <v>3171</v>
      </c>
      <c r="H64" s="2656" t="s">
        <v>3189</v>
      </c>
      <c r="I64" s="2656" t="s">
        <v>3190</v>
      </c>
      <c r="J64" s="2656">
        <v>169</v>
      </c>
      <c r="K64" s="2656">
        <v>37.28</v>
      </c>
      <c r="L64" s="2656">
        <v>932.04</v>
      </c>
      <c r="M64" s="2656">
        <v>0</v>
      </c>
      <c r="N64" s="2656" t="s">
        <v>3081</v>
      </c>
      <c r="O64" s="2656" t="s">
        <v>3036</v>
      </c>
    </row>
    <row r="65" spans="1:15">
      <c r="A65" s="2656" t="s">
        <v>3191</v>
      </c>
      <c r="B65" s="2656" t="s">
        <v>3029</v>
      </c>
      <c r="C65" s="2656">
        <v>16582</v>
      </c>
      <c r="D65" s="2656">
        <v>13265.6</v>
      </c>
      <c r="E65" s="3303" t="s">
        <v>3124</v>
      </c>
      <c r="F65" s="2656" t="s">
        <v>3032</v>
      </c>
      <c r="G65" s="2656" t="s">
        <v>3171</v>
      </c>
      <c r="H65" s="2656" t="s">
        <v>2797</v>
      </c>
      <c r="I65" s="2656" t="s">
        <v>2797</v>
      </c>
      <c r="J65" s="2656" t="s">
        <v>2797</v>
      </c>
      <c r="K65" s="2656" t="s">
        <v>2797</v>
      </c>
      <c r="L65" s="2656" t="s">
        <v>2797</v>
      </c>
      <c r="M65" s="2656" t="s">
        <v>2797</v>
      </c>
      <c r="N65" s="2656" t="s">
        <v>3081</v>
      </c>
      <c r="O65" s="2656" t="s">
        <v>3042</v>
      </c>
    </row>
    <row r="66" spans="1:15">
      <c r="A66" s="2656" t="s">
        <v>3123</v>
      </c>
      <c r="B66" s="2656" t="s">
        <v>3029</v>
      </c>
      <c r="C66" s="2656">
        <v>15423</v>
      </c>
      <c r="D66" s="2656">
        <v>12338.4</v>
      </c>
      <c r="E66" s="3303" t="s">
        <v>3124</v>
      </c>
      <c r="F66" s="2656" t="s">
        <v>3032</v>
      </c>
      <c r="G66" s="2656" t="s">
        <v>3171</v>
      </c>
      <c r="H66" s="2656" t="s">
        <v>2797</v>
      </c>
      <c r="I66" s="2656" t="s">
        <v>2797</v>
      </c>
      <c r="J66" s="2656" t="s">
        <v>2797</v>
      </c>
      <c r="K66" s="2656" t="s">
        <v>2797</v>
      </c>
      <c r="L66" s="2656" t="s">
        <v>2797</v>
      </c>
      <c r="M66" s="2656" t="s">
        <v>2797</v>
      </c>
      <c r="N66" s="2656" t="s">
        <v>3081</v>
      </c>
      <c r="O66" s="2656" t="s">
        <v>3042</v>
      </c>
    </row>
    <row r="67" spans="1:15">
      <c r="A67" s="2656" t="s">
        <v>3192</v>
      </c>
      <c r="B67" s="2656" t="s">
        <v>3029</v>
      </c>
      <c r="C67" s="2656">
        <v>10393</v>
      </c>
      <c r="D67" s="2656">
        <v>8314.4</v>
      </c>
      <c r="E67" s="3303" t="s">
        <v>3124</v>
      </c>
      <c r="F67" s="2656" t="s">
        <v>3032</v>
      </c>
      <c r="G67" s="2656" t="s">
        <v>3171</v>
      </c>
      <c r="H67" s="2656" t="s">
        <v>2797</v>
      </c>
      <c r="I67" s="2656" t="s">
        <v>2797</v>
      </c>
      <c r="J67" s="2656" t="s">
        <v>2797</v>
      </c>
      <c r="K67" s="2656" t="s">
        <v>2797</v>
      </c>
      <c r="L67" s="2656" t="s">
        <v>2797</v>
      </c>
      <c r="M67" s="2656" t="s">
        <v>2797</v>
      </c>
      <c r="N67" s="2656" t="s">
        <v>3081</v>
      </c>
      <c r="O67" s="2656" t="s">
        <v>3122</v>
      </c>
    </row>
    <row r="68" spans="1:15">
      <c r="A68" s="2656" t="s">
        <v>3193</v>
      </c>
      <c r="B68" s="2656" t="s">
        <v>3029</v>
      </c>
      <c r="C68" s="2656">
        <v>5562</v>
      </c>
      <c r="D68" s="2656">
        <v>4449.6000000000004</v>
      </c>
      <c r="E68" s="3303" t="s">
        <v>3124</v>
      </c>
      <c r="F68" s="2656" t="s">
        <v>3032</v>
      </c>
      <c r="G68" s="2656" t="s">
        <v>3171</v>
      </c>
      <c r="H68" s="2656" t="s">
        <v>2797</v>
      </c>
      <c r="I68" s="2656" t="s">
        <v>2797</v>
      </c>
      <c r="J68" s="2656" t="s">
        <v>2797</v>
      </c>
      <c r="K68" s="2656" t="s">
        <v>2797</v>
      </c>
      <c r="L68" s="2656" t="s">
        <v>2797</v>
      </c>
      <c r="M68" s="2656" t="s">
        <v>2797</v>
      </c>
      <c r="N68" s="2656" t="s">
        <v>3081</v>
      </c>
      <c r="O68" s="2656" t="s">
        <v>3089</v>
      </c>
    </row>
    <row r="69" spans="1:15">
      <c r="A69" s="2656" t="s">
        <v>3194</v>
      </c>
      <c r="B69" s="2656" t="s">
        <v>3029</v>
      </c>
      <c r="C69" s="2656">
        <v>6411</v>
      </c>
      <c r="D69" s="2656">
        <v>5128.8</v>
      </c>
      <c r="E69" s="3303" t="s">
        <v>3124</v>
      </c>
      <c r="F69" s="2656" t="s">
        <v>3032</v>
      </c>
      <c r="G69" s="2656" t="s">
        <v>3171</v>
      </c>
      <c r="H69" s="2656" t="s">
        <v>2797</v>
      </c>
      <c r="I69" s="2656" t="s">
        <v>2797</v>
      </c>
      <c r="J69" s="2656" t="s">
        <v>2797</v>
      </c>
      <c r="K69" s="2656" t="s">
        <v>2797</v>
      </c>
      <c r="L69" s="2656" t="s">
        <v>2797</v>
      </c>
      <c r="M69" s="2656" t="s">
        <v>2797</v>
      </c>
      <c r="N69" s="2656" t="s">
        <v>3081</v>
      </c>
      <c r="O69" s="2656" t="s">
        <v>3089</v>
      </c>
    </row>
    <row r="70" spans="1:15">
      <c r="A70" s="2656" t="s">
        <v>3195</v>
      </c>
      <c r="B70" s="2656" t="s">
        <v>3029</v>
      </c>
      <c r="C70" s="2656">
        <v>12913</v>
      </c>
      <c r="D70" s="2656">
        <v>10330.4</v>
      </c>
      <c r="E70" s="3303" t="s">
        <v>3124</v>
      </c>
      <c r="F70" s="2656" t="s">
        <v>3032</v>
      </c>
      <c r="G70" s="2656" t="s">
        <v>3171</v>
      </c>
      <c r="H70" s="2656" t="s">
        <v>2797</v>
      </c>
      <c r="I70" s="2656" t="s">
        <v>2797</v>
      </c>
      <c r="J70" s="2656" t="s">
        <v>2797</v>
      </c>
      <c r="K70" s="2656" t="s">
        <v>2797</v>
      </c>
      <c r="L70" s="2656" t="s">
        <v>2797</v>
      </c>
      <c r="M70" s="2656" t="s">
        <v>2797</v>
      </c>
      <c r="N70" s="2656" t="s">
        <v>3081</v>
      </c>
      <c r="O70" s="2656" t="s">
        <v>3089</v>
      </c>
    </row>
    <row r="71" spans="1:15">
      <c r="A71" s="2656" t="s">
        <v>3196</v>
      </c>
      <c r="B71" s="2656" t="s">
        <v>3029</v>
      </c>
      <c r="C71" s="2656">
        <v>19306</v>
      </c>
      <c r="D71" s="2656">
        <v>15444.8</v>
      </c>
      <c r="E71" s="3303" t="s">
        <v>3124</v>
      </c>
      <c r="F71" s="2656" t="s">
        <v>3032</v>
      </c>
      <c r="G71" s="2656" t="s">
        <v>3171</v>
      </c>
      <c r="H71" s="2656" t="s">
        <v>2797</v>
      </c>
      <c r="I71" s="2656" t="s">
        <v>2797</v>
      </c>
      <c r="J71" s="2656" t="s">
        <v>2797</v>
      </c>
      <c r="K71" s="2656" t="s">
        <v>2797</v>
      </c>
      <c r="L71" s="2656" t="s">
        <v>2797</v>
      </c>
      <c r="M71" s="2656" t="s">
        <v>2797</v>
      </c>
      <c r="N71" s="2656" t="s">
        <v>3081</v>
      </c>
      <c r="O71" s="2656" t="s">
        <v>3089</v>
      </c>
    </row>
    <row r="72" spans="1:15">
      <c r="A72" s="2656" t="s">
        <v>3125</v>
      </c>
      <c r="B72" s="2656" t="s">
        <v>3029</v>
      </c>
      <c r="C72" s="2656">
        <v>13330</v>
      </c>
      <c r="D72" s="2656">
        <v>10664</v>
      </c>
      <c r="E72" s="3303" t="s">
        <v>3124</v>
      </c>
      <c r="F72" s="2656" t="s">
        <v>3032</v>
      </c>
      <c r="G72" s="2656" t="s">
        <v>3171</v>
      </c>
      <c r="H72" s="2656" t="s">
        <v>2797</v>
      </c>
      <c r="I72" s="2656" t="s">
        <v>2797</v>
      </c>
      <c r="J72" s="2656" t="s">
        <v>2797</v>
      </c>
      <c r="K72" s="2656" t="s">
        <v>2797</v>
      </c>
      <c r="L72" s="2656" t="s">
        <v>2797</v>
      </c>
      <c r="M72" s="2656" t="s">
        <v>2797</v>
      </c>
      <c r="N72" s="2656" t="s">
        <v>3081</v>
      </c>
      <c r="O72" s="2656" t="s">
        <v>3122</v>
      </c>
    </row>
    <row r="73" spans="1:15">
      <c r="A73" s="2656" t="s">
        <v>3197</v>
      </c>
      <c r="B73" s="2656" t="s">
        <v>3029</v>
      </c>
      <c r="C73" s="2656">
        <v>1500</v>
      </c>
      <c r="D73" s="2656">
        <v>900</v>
      </c>
      <c r="E73" s="3303" t="s">
        <v>3091</v>
      </c>
      <c r="F73" s="2656" t="s">
        <v>3032</v>
      </c>
      <c r="G73" s="2656" t="s">
        <v>3171</v>
      </c>
      <c r="H73" s="2656" t="s">
        <v>3198</v>
      </c>
      <c r="I73" s="2656" t="s">
        <v>3199</v>
      </c>
      <c r="J73" s="2656">
        <v>54</v>
      </c>
      <c r="K73" s="2656">
        <v>24</v>
      </c>
      <c r="L73" s="2656">
        <v>600</v>
      </c>
      <c r="M73" s="2656">
        <v>0</v>
      </c>
      <c r="N73" s="2656" t="s">
        <v>3081</v>
      </c>
      <c r="O73" s="2656" t="s">
        <v>3089</v>
      </c>
    </row>
    <row r="74" spans="1:15">
      <c r="A74" s="2656" t="s">
        <v>3047</v>
      </c>
      <c r="B74" s="2656" t="s">
        <v>3029</v>
      </c>
      <c r="C74" s="2656">
        <v>2938</v>
      </c>
      <c r="D74" s="2656">
        <v>11164.4</v>
      </c>
      <c r="E74" s="3303" t="s">
        <v>3200</v>
      </c>
      <c r="F74" s="2656" t="s">
        <v>3032</v>
      </c>
      <c r="G74" s="2656" t="s">
        <v>3201</v>
      </c>
      <c r="H74" s="2656" t="s">
        <v>3202</v>
      </c>
      <c r="I74" s="2656" t="s">
        <v>3203</v>
      </c>
      <c r="J74" s="2656">
        <v>183</v>
      </c>
      <c r="K74" s="2656">
        <v>41.52</v>
      </c>
      <c r="L74" s="2656">
        <v>163.9</v>
      </c>
      <c r="M74" s="2656">
        <v>0</v>
      </c>
      <c r="N74" s="2656" t="s">
        <v>3081</v>
      </c>
      <c r="O74" s="2656" t="s">
        <v>3122</v>
      </c>
    </row>
    <row r="75" spans="1:15">
      <c r="A75" s="2656" t="s">
        <v>3047</v>
      </c>
      <c r="B75" s="2656" t="s">
        <v>3029</v>
      </c>
      <c r="C75" s="2656">
        <v>5040</v>
      </c>
      <c r="D75" s="2656">
        <v>27720</v>
      </c>
      <c r="E75" s="3303" t="s">
        <v>3204</v>
      </c>
      <c r="F75" s="2656" t="s">
        <v>3032</v>
      </c>
      <c r="G75" s="2656" t="s">
        <v>3201</v>
      </c>
      <c r="H75" s="2656" t="s">
        <v>3202</v>
      </c>
      <c r="I75" s="2656" t="s">
        <v>3203</v>
      </c>
      <c r="J75" s="2656">
        <v>334</v>
      </c>
      <c r="K75" s="2656">
        <v>44.18</v>
      </c>
      <c r="L75" s="2656">
        <v>120.48</v>
      </c>
      <c r="M75" s="2656">
        <v>0</v>
      </c>
      <c r="N75" s="2656" t="s">
        <v>3081</v>
      </c>
      <c r="O75" s="2656" t="s">
        <v>3122</v>
      </c>
    </row>
    <row r="76" spans="1:15">
      <c r="A76" s="2656" t="s">
        <v>3047</v>
      </c>
      <c r="B76" s="2656" t="s">
        <v>3029</v>
      </c>
      <c r="C76" s="2656">
        <v>3071</v>
      </c>
      <c r="D76" s="2656">
        <v>11055.6</v>
      </c>
      <c r="E76" s="3303" t="s">
        <v>3205</v>
      </c>
      <c r="F76" s="2656" t="s">
        <v>3032</v>
      </c>
      <c r="G76" s="2656" t="s">
        <v>3201</v>
      </c>
      <c r="H76" s="2656" t="s">
        <v>3202</v>
      </c>
      <c r="I76" s="2656" t="s">
        <v>3206</v>
      </c>
      <c r="J76" s="2656">
        <v>186</v>
      </c>
      <c r="K76" s="2656">
        <v>40.380000000000003</v>
      </c>
      <c r="L76" s="2656">
        <v>168.24</v>
      </c>
      <c r="M76" s="2656">
        <v>0</v>
      </c>
      <c r="N76" s="2656" t="s">
        <v>3081</v>
      </c>
      <c r="O76" s="2656" t="s">
        <v>3122</v>
      </c>
    </row>
    <row r="77" spans="1:15">
      <c r="A77" s="2656" t="s">
        <v>3207</v>
      </c>
      <c r="B77" s="2656" t="s">
        <v>3029</v>
      </c>
      <c r="C77" s="2656">
        <v>25180</v>
      </c>
      <c r="D77" s="2656">
        <v>45324</v>
      </c>
      <c r="E77" s="3303" t="s">
        <v>3137</v>
      </c>
      <c r="F77" s="2656" t="s">
        <v>3032</v>
      </c>
      <c r="G77" s="2656" t="s">
        <v>3208</v>
      </c>
      <c r="H77" s="2656" t="s">
        <v>3209</v>
      </c>
      <c r="I77" s="2656" t="s">
        <v>3210</v>
      </c>
      <c r="J77" s="2656">
        <v>643</v>
      </c>
      <c r="K77" s="2656">
        <v>17.02</v>
      </c>
      <c r="L77" s="2656">
        <v>141.87</v>
      </c>
      <c r="M77" s="2656">
        <v>0</v>
      </c>
      <c r="N77" s="2656" t="s">
        <v>3081</v>
      </c>
      <c r="O77" s="2656" t="s">
        <v>3122</v>
      </c>
    </row>
    <row r="78" spans="1:15">
      <c r="A78" s="2656" t="s">
        <v>3207</v>
      </c>
      <c r="B78" s="2656" t="s">
        <v>3029</v>
      </c>
      <c r="C78" s="2656">
        <v>25180</v>
      </c>
      <c r="D78" s="2656">
        <v>45324</v>
      </c>
      <c r="E78" s="3303" t="s">
        <v>3137</v>
      </c>
      <c r="F78" s="2656" t="s">
        <v>3032</v>
      </c>
      <c r="G78" s="2656" t="s">
        <v>3208</v>
      </c>
      <c r="H78" s="2656" t="s">
        <v>2797</v>
      </c>
      <c r="I78" s="2656" t="s">
        <v>2797</v>
      </c>
      <c r="J78" s="2656" t="s">
        <v>2797</v>
      </c>
      <c r="K78" s="2656" t="s">
        <v>2797</v>
      </c>
      <c r="L78" s="2656" t="s">
        <v>2797</v>
      </c>
      <c r="M78" s="2656" t="s">
        <v>2797</v>
      </c>
      <c r="N78" s="2656" t="s">
        <v>3081</v>
      </c>
      <c r="O78" s="2656" t="s">
        <v>3122</v>
      </c>
    </row>
    <row r="79" spans="1:15">
      <c r="A79" s="2656" t="s">
        <v>3211</v>
      </c>
      <c r="B79" s="2656" t="s">
        <v>3029</v>
      </c>
      <c r="C79" s="2656">
        <v>39602</v>
      </c>
      <c r="D79" s="2656">
        <v>69303.5</v>
      </c>
      <c r="E79" s="3303" t="s">
        <v>3212</v>
      </c>
      <c r="F79" s="2656" t="s">
        <v>3032</v>
      </c>
      <c r="G79" s="2656" t="s">
        <v>3033</v>
      </c>
      <c r="H79" s="2656" t="s">
        <v>3213</v>
      </c>
      <c r="I79" s="2656" t="s">
        <v>3214</v>
      </c>
      <c r="J79" s="2656">
        <v>3145</v>
      </c>
      <c r="K79" s="2656">
        <v>52.94</v>
      </c>
      <c r="L79" s="2656">
        <v>453.8</v>
      </c>
      <c r="M79" s="2656">
        <v>0</v>
      </c>
      <c r="N79" s="2656" t="s">
        <v>3081</v>
      </c>
      <c r="O79" s="2656" t="s">
        <v>3122</v>
      </c>
    </row>
    <row r="80" spans="1:15">
      <c r="A80" s="2656" t="s">
        <v>3211</v>
      </c>
      <c r="B80" s="2656" t="s">
        <v>3029</v>
      </c>
      <c r="C80" s="2656">
        <v>55420</v>
      </c>
      <c r="D80" s="2656">
        <v>96985</v>
      </c>
      <c r="E80" s="3303" t="s">
        <v>3212</v>
      </c>
      <c r="F80" s="2656" t="s">
        <v>3032</v>
      </c>
      <c r="G80" s="2656" t="s">
        <v>3033</v>
      </c>
      <c r="H80" s="2656" t="s">
        <v>3213</v>
      </c>
      <c r="I80" s="2656" t="s">
        <v>3214</v>
      </c>
      <c r="J80" s="2656">
        <v>4401</v>
      </c>
      <c r="K80" s="2656">
        <v>52.94</v>
      </c>
      <c r="L80" s="2656">
        <v>453.77</v>
      </c>
      <c r="M80" s="2656">
        <v>0</v>
      </c>
      <c r="N80" s="2656" t="s">
        <v>3081</v>
      </c>
      <c r="O80" s="2656" t="s">
        <v>3122</v>
      </c>
    </row>
    <row r="81" spans="1:15">
      <c r="A81" s="2656" t="s">
        <v>3215</v>
      </c>
      <c r="B81" s="2656" t="s">
        <v>3029</v>
      </c>
      <c r="C81" s="2656">
        <v>3520</v>
      </c>
      <c r="D81" s="2656">
        <v>2112</v>
      </c>
      <c r="E81" s="3303" t="s">
        <v>3091</v>
      </c>
      <c r="F81" s="2656" t="s">
        <v>3032</v>
      </c>
      <c r="G81" s="2656" t="s">
        <v>3171</v>
      </c>
      <c r="H81" s="2656" t="s">
        <v>3216</v>
      </c>
      <c r="I81" s="2656" t="s">
        <v>3217</v>
      </c>
      <c r="J81" s="2656">
        <v>218</v>
      </c>
      <c r="K81" s="2656">
        <v>41.29</v>
      </c>
      <c r="L81" s="2656">
        <v>1032.2</v>
      </c>
      <c r="M81" s="2656">
        <v>0</v>
      </c>
      <c r="N81" s="2656" t="s">
        <v>3081</v>
      </c>
      <c r="O81" s="2656" t="s">
        <v>3036</v>
      </c>
    </row>
    <row r="82" spans="1:15">
      <c r="A82" s="2656" t="s">
        <v>3218</v>
      </c>
      <c r="B82" s="2656" t="s">
        <v>3029</v>
      </c>
      <c r="C82" s="2656">
        <v>3732</v>
      </c>
      <c r="D82" s="2656">
        <v>5598</v>
      </c>
      <c r="E82" s="3303" t="s">
        <v>3219</v>
      </c>
      <c r="F82" s="2656" t="s">
        <v>3032</v>
      </c>
      <c r="G82" s="2656" t="s">
        <v>3033</v>
      </c>
      <c r="H82" s="2656" t="s">
        <v>3220</v>
      </c>
      <c r="I82" s="2656" t="s">
        <v>3221</v>
      </c>
      <c r="J82" s="2656">
        <v>90</v>
      </c>
      <c r="K82" s="2656">
        <v>16.079999999999998</v>
      </c>
      <c r="L82" s="2656">
        <v>160.77000000000001</v>
      </c>
      <c r="M82" s="2656">
        <v>0</v>
      </c>
      <c r="N82" s="2656" t="s">
        <v>3081</v>
      </c>
      <c r="O82" s="2656" t="s">
        <v>3036</v>
      </c>
    </row>
    <row r="83" spans="1:15">
      <c r="A83" s="2656" t="s">
        <v>3222</v>
      </c>
      <c r="B83" s="2656" t="s">
        <v>3029</v>
      </c>
      <c r="C83" s="2656">
        <v>3333</v>
      </c>
      <c r="D83" s="2656">
        <v>3999.6</v>
      </c>
      <c r="E83" s="3303" t="s">
        <v>3101</v>
      </c>
      <c r="F83" s="2656" t="s">
        <v>3032</v>
      </c>
      <c r="G83" s="2656" t="s">
        <v>3033</v>
      </c>
      <c r="H83" s="2656" t="s">
        <v>2797</v>
      </c>
      <c r="I83" s="2656" t="s">
        <v>2797</v>
      </c>
      <c r="J83" s="2656" t="s">
        <v>2797</v>
      </c>
      <c r="K83" s="2656" t="s">
        <v>2797</v>
      </c>
      <c r="L83" s="2656" t="s">
        <v>2797</v>
      </c>
      <c r="M83" s="2656" t="s">
        <v>2797</v>
      </c>
      <c r="N83" s="2656" t="s">
        <v>3081</v>
      </c>
      <c r="O83" s="2656" t="s">
        <v>3122</v>
      </c>
    </row>
    <row r="84" spans="1:15">
      <c r="A84" s="2656" t="s">
        <v>3223</v>
      </c>
      <c r="B84" s="2656" t="s">
        <v>3029</v>
      </c>
      <c r="C84" s="2656">
        <v>1566</v>
      </c>
      <c r="D84" s="2656">
        <v>7516.8</v>
      </c>
      <c r="E84" s="3303" t="s">
        <v>3224</v>
      </c>
      <c r="F84" s="2656" t="s">
        <v>3032</v>
      </c>
      <c r="G84" s="2656" t="s">
        <v>3171</v>
      </c>
      <c r="H84" s="2656" t="s">
        <v>3225</v>
      </c>
      <c r="I84" s="2656" t="s">
        <v>3226</v>
      </c>
      <c r="J84" s="2656">
        <v>312</v>
      </c>
      <c r="K84" s="2656">
        <v>132.82</v>
      </c>
      <c r="L84" s="2656">
        <v>415.06</v>
      </c>
      <c r="M84" s="2656">
        <v>0</v>
      </c>
      <c r="N84" s="2656" t="s">
        <v>3227</v>
      </c>
      <c r="O84" s="2656" t="s">
        <v>3122</v>
      </c>
    </row>
    <row r="85" spans="1:15">
      <c r="A85" s="2656" t="s">
        <v>3228</v>
      </c>
      <c r="B85" s="2656" t="s">
        <v>3029</v>
      </c>
      <c r="C85" s="2656">
        <v>2966</v>
      </c>
      <c r="D85" s="2656">
        <v>1779.6</v>
      </c>
      <c r="E85" s="3303" t="s">
        <v>3091</v>
      </c>
      <c r="F85" s="2656" t="s">
        <v>3032</v>
      </c>
      <c r="G85" s="2656" t="s">
        <v>3171</v>
      </c>
      <c r="H85" s="2656" t="s">
        <v>3229</v>
      </c>
      <c r="I85" s="2656" t="s">
        <v>3230</v>
      </c>
      <c r="J85" s="2656">
        <v>152</v>
      </c>
      <c r="K85" s="2656">
        <v>34.159999999999997</v>
      </c>
      <c r="L85" s="2656">
        <v>854.12</v>
      </c>
      <c r="M85" s="2656">
        <v>0</v>
      </c>
      <c r="N85" s="2656" t="s">
        <v>3081</v>
      </c>
      <c r="O85" s="2656" t="s">
        <v>3042</v>
      </c>
    </row>
    <row r="86" spans="1:15">
      <c r="A86" s="2656" t="s">
        <v>3231</v>
      </c>
      <c r="B86" s="2656" t="s">
        <v>3029</v>
      </c>
      <c r="C86" s="2656">
        <v>26000</v>
      </c>
      <c r="D86" s="2656">
        <v>64220</v>
      </c>
      <c r="E86" s="3303" t="s">
        <v>3232</v>
      </c>
      <c r="F86" s="2656" t="s">
        <v>3032</v>
      </c>
      <c r="G86" s="2656" t="s">
        <v>3171</v>
      </c>
      <c r="H86" s="2656" t="s">
        <v>3233</v>
      </c>
      <c r="I86" s="2656" t="s">
        <v>3234</v>
      </c>
      <c r="J86" s="2656">
        <v>1680</v>
      </c>
      <c r="K86" s="2656">
        <v>43.08</v>
      </c>
      <c r="L86" s="2656">
        <v>261.60000000000002</v>
      </c>
      <c r="M86" s="2656">
        <v>0</v>
      </c>
      <c r="N86" s="2656" t="s">
        <v>3081</v>
      </c>
      <c r="O86" s="2656" t="s">
        <v>3122</v>
      </c>
    </row>
    <row r="87" spans="1:15">
      <c r="A87" s="2656" t="s">
        <v>3228</v>
      </c>
      <c r="B87" s="2656" t="s">
        <v>3029</v>
      </c>
      <c r="C87" s="2656">
        <v>2966</v>
      </c>
      <c r="D87" s="2656">
        <v>1779.6</v>
      </c>
      <c r="E87" s="3303" t="s">
        <v>3091</v>
      </c>
      <c r="F87" s="2656" t="s">
        <v>3032</v>
      </c>
      <c r="G87" s="2656" t="s">
        <v>3033</v>
      </c>
      <c r="H87" s="2656" t="s">
        <v>2797</v>
      </c>
      <c r="I87" s="2656" t="s">
        <v>2797</v>
      </c>
      <c r="J87" s="2656" t="s">
        <v>2797</v>
      </c>
      <c r="K87" s="2656" t="s">
        <v>2797</v>
      </c>
      <c r="L87" s="2656" t="s">
        <v>2797</v>
      </c>
      <c r="M87" s="2656" t="s">
        <v>2797</v>
      </c>
      <c r="N87" s="2656" t="s">
        <v>3081</v>
      </c>
      <c r="O87" s="2656" t="s">
        <v>3042</v>
      </c>
    </row>
    <row r="88" spans="1:15">
      <c r="A88" s="2656" t="s">
        <v>3235</v>
      </c>
      <c r="B88" s="2656" t="s">
        <v>3029</v>
      </c>
      <c r="C88" s="2656">
        <v>2130</v>
      </c>
      <c r="D88" s="2656">
        <v>1278</v>
      </c>
      <c r="E88" s="3303" t="s">
        <v>3091</v>
      </c>
      <c r="F88" s="2656" t="s">
        <v>3032</v>
      </c>
      <c r="G88" s="2656" t="s">
        <v>3171</v>
      </c>
      <c r="H88" s="2656" t="s">
        <v>3236</v>
      </c>
      <c r="I88" s="2656" t="s">
        <v>3237</v>
      </c>
      <c r="J88" s="2656">
        <v>149</v>
      </c>
      <c r="K88" s="2656">
        <v>46.64</v>
      </c>
      <c r="L88" s="2656">
        <v>1165.8800000000001</v>
      </c>
      <c r="M88" s="2656">
        <v>0</v>
      </c>
      <c r="N88" s="2656" t="s">
        <v>3081</v>
      </c>
      <c r="O88" s="2656" t="s">
        <v>3036</v>
      </c>
    </row>
    <row r="89" spans="1:15">
      <c r="A89" s="2656" t="s">
        <v>3238</v>
      </c>
      <c r="B89" s="2656" t="s">
        <v>3029</v>
      </c>
      <c r="C89" s="2656">
        <v>1407</v>
      </c>
      <c r="D89" s="2656">
        <v>844.2</v>
      </c>
      <c r="E89" s="3303" t="s">
        <v>3091</v>
      </c>
      <c r="F89" s="2656" t="s">
        <v>3032</v>
      </c>
      <c r="G89" s="2656" t="s">
        <v>3171</v>
      </c>
      <c r="H89" s="2656" t="s">
        <v>3239</v>
      </c>
      <c r="I89" s="2656" t="s">
        <v>3240</v>
      </c>
      <c r="J89" s="2656">
        <v>55</v>
      </c>
      <c r="K89" s="2656">
        <v>26.06</v>
      </c>
      <c r="L89" s="2656">
        <v>651.5</v>
      </c>
      <c r="M89" s="2656">
        <v>0</v>
      </c>
      <c r="N89" s="2656" t="s">
        <v>3081</v>
      </c>
      <c r="O89" s="2656" t="s">
        <v>3089</v>
      </c>
    </row>
    <row r="90" spans="1:15">
      <c r="A90" s="2656" t="s">
        <v>3241</v>
      </c>
      <c r="B90" s="2656" t="s">
        <v>3029</v>
      </c>
      <c r="C90" s="2656">
        <v>67453</v>
      </c>
      <c r="D90" s="2656">
        <v>41820.86</v>
      </c>
      <c r="E90" s="3303" t="s">
        <v>3242</v>
      </c>
      <c r="F90" s="2656" t="s">
        <v>3032</v>
      </c>
      <c r="G90" s="2656" t="s">
        <v>3033</v>
      </c>
      <c r="H90" s="2656" t="s">
        <v>3239</v>
      </c>
      <c r="I90" s="2656" t="s">
        <v>3243</v>
      </c>
      <c r="J90" s="2656">
        <v>1835</v>
      </c>
      <c r="K90" s="2656">
        <v>18.14</v>
      </c>
      <c r="L90" s="2656">
        <v>438.77</v>
      </c>
      <c r="M90" s="2656">
        <v>0</v>
      </c>
      <c r="N90" s="2656" t="s">
        <v>3081</v>
      </c>
      <c r="O90" s="2656" t="s">
        <v>3036</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3" t="s">
        <v>2027</v>
      </c>
      <c r="B1" s="3323"/>
      <c r="C1" s="3323"/>
      <c r="D1" s="3323"/>
      <c r="E1" s="3323"/>
      <c r="F1" s="3323"/>
      <c r="G1" s="3323"/>
      <c r="H1" s="3323"/>
      <c r="I1" s="3323"/>
      <c r="J1" s="3323"/>
      <c r="K1" s="3323"/>
      <c r="L1" s="3323"/>
      <c r="M1" s="3323"/>
      <c r="N1" s="3323"/>
      <c r="O1" s="3323"/>
      <c r="P1" s="3323"/>
      <c r="Q1" s="3323"/>
      <c r="R1" s="3323"/>
    </row>
    <row r="2" spans="1:18">
      <c r="A2" s="1723" t="s">
        <v>2029</v>
      </c>
      <c r="B2" s="1723"/>
      <c r="C2" s="1723"/>
      <c r="D2" s="1723"/>
      <c r="E2" s="1723"/>
      <c r="F2" s="1723"/>
      <c r="G2" s="1723"/>
      <c r="H2" s="1723"/>
      <c r="I2" s="1724"/>
      <c r="J2" s="1724"/>
      <c r="K2" s="1725" t="str">
        <f>"估价期日："&amp;TEXT(项目基本情况!D3,"yyyy年m月d日;;")</f>
        <v>估价期日：2021年10月30日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4" t="s">
        <v>2018</v>
      </c>
      <c r="B3" s="3324" t="s">
        <v>2711</v>
      </c>
      <c r="C3" s="3325" t="s">
        <v>2019</v>
      </c>
      <c r="D3" s="3324" t="s">
        <v>2715</v>
      </c>
      <c r="E3" s="3327" t="s">
        <v>2020</v>
      </c>
      <c r="F3" s="3327"/>
      <c r="G3" s="3327"/>
      <c r="H3" s="3327" t="s">
        <v>2021</v>
      </c>
      <c r="I3" s="3327"/>
      <c r="J3" s="3327"/>
      <c r="K3" s="3325" t="s">
        <v>2022</v>
      </c>
      <c r="L3" s="3325" t="s">
        <v>2023</v>
      </c>
      <c r="M3" s="3324" t="s">
        <v>2712</v>
      </c>
      <c r="N3" s="3326" t="str">
        <f>"（分摊）"&amp;项目基本情况!B16&amp;"国有建设用地使用权面积/㎡"</f>
        <v>（分摊）出让国有建设用地使用权面积/㎡</v>
      </c>
      <c r="O3" s="3324" t="s">
        <v>2052</v>
      </c>
      <c r="P3" s="3325" t="s">
        <v>2032</v>
      </c>
      <c r="Q3" s="3325" t="s">
        <v>2053</v>
      </c>
      <c r="R3" s="3325" t="s">
        <v>2024</v>
      </c>
    </row>
    <row r="4" spans="1:18" ht="36.75" customHeight="1">
      <c r="A4" s="3324"/>
      <c r="B4" s="3324"/>
      <c r="C4" s="3325"/>
      <c r="D4" s="3324"/>
      <c r="E4" s="2491" t="s">
        <v>2031</v>
      </c>
      <c r="F4" s="2491" t="s">
        <v>2724</v>
      </c>
      <c r="G4" s="2491" t="s">
        <v>2025</v>
      </c>
      <c r="H4" s="2491" t="s">
        <v>2026</v>
      </c>
      <c r="I4" s="2491" t="s">
        <v>2725</v>
      </c>
      <c r="J4" s="2491" t="s">
        <v>2025</v>
      </c>
      <c r="K4" s="3325"/>
      <c r="L4" s="3325"/>
      <c r="M4" s="3324"/>
      <c r="N4" s="3326"/>
      <c r="O4" s="3324"/>
      <c r="P4" s="3325"/>
      <c r="Q4" s="3325"/>
      <c r="R4" s="3325"/>
    </row>
    <row r="5" spans="1:18" ht="135" customHeight="1">
      <c r="A5" s="1858" t="s">
        <v>2635</v>
      </c>
      <c r="B5" s="2584" t="s">
        <v>2633</v>
      </c>
      <c r="C5" s="2490">
        <v>22</v>
      </c>
      <c r="D5" s="2489" t="s">
        <v>2634</v>
      </c>
      <c r="E5" s="1726">
        <f>项目基本情况!B12</f>
        <v>0</v>
      </c>
      <c r="F5" s="2489">
        <v>258</v>
      </c>
      <c r="G5" s="1726">
        <f>项目基本情况!B13</f>
        <v>0</v>
      </c>
      <c r="H5" s="2489">
        <v>1.5</v>
      </c>
      <c r="I5" s="2489">
        <v>1.5</v>
      </c>
      <c r="J5" s="2489">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266666.3</v>
      </c>
      <c r="O5" s="1726">
        <f>项目基本情况!C21</f>
        <v>1146665.0900000001</v>
      </c>
      <c r="P5" s="1726">
        <f ca="1">结果表!E42</f>
        <v>1467</v>
      </c>
      <c r="Q5" s="1726">
        <f ca="1">结果表!D42</f>
        <v>341</v>
      </c>
      <c r="R5" s="1727">
        <f ca="1">结果表!C42</f>
        <v>39124</v>
      </c>
    </row>
    <row r="6" spans="1:18">
      <c r="A6" s="3328" t="str">
        <f>IF(项目基本情况!B9="市场价格","——","抵押价格")</f>
        <v>抵押价格</v>
      </c>
      <c r="B6" s="3329"/>
      <c r="C6" s="3329"/>
      <c r="D6" s="3329"/>
      <c r="E6" s="3329"/>
      <c r="F6" s="3329"/>
      <c r="G6" s="3329"/>
      <c r="H6" s="3329"/>
      <c r="I6" s="3329"/>
      <c r="J6" s="3329"/>
      <c r="K6" s="3329"/>
      <c r="L6" s="3329"/>
      <c r="M6" s="3329"/>
      <c r="N6" s="3329"/>
      <c r="O6" s="3329"/>
      <c r="P6" s="3329"/>
      <c r="Q6" s="3330"/>
      <c r="R6" s="1728">
        <f ca="1">结果表!O39</f>
        <v>39124</v>
      </c>
    </row>
    <row r="7" spans="1:18">
      <c r="A7" s="3328" t="str">
        <f>IF(项目基本情况!B9="市场价格","——",IF(项目基本情况!E8="已注销及未注销","抵押担保权已注销时的抵押价格","——"))</f>
        <v>——</v>
      </c>
      <c r="B7" s="3329"/>
      <c r="C7" s="3329"/>
      <c r="D7" s="3329"/>
      <c r="E7" s="3329"/>
      <c r="F7" s="3329"/>
      <c r="G7" s="3329"/>
      <c r="H7" s="3329"/>
      <c r="I7" s="3329"/>
      <c r="J7" s="3329"/>
      <c r="K7" s="3329"/>
      <c r="L7" s="3329"/>
      <c r="M7" s="3329"/>
      <c r="N7" s="3329"/>
      <c r="O7" s="3329"/>
      <c r="P7" s="3329"/>
      <c r="Q7" s="3330"/>
      <c r="R7" s="1728" t="str">
        <f>结果表!O40</f>
        <v>——</v>
      </c>
    </row>
    <row r="8" spans="1:18">
      <c r="A8" s="3328" t="str">
        <f>IF(项目基本情况!B9="市场价格","——",项目基本情况!E9)</f>
        <v>抵押净值</v>
      </c>
      <c r="B8" s="3329"/>
      <c r="C8" s="3329"/>
      <c r="D8" s="3329"/>
      <c r="E8" s="3329"/>
      <c r="F8" s="3329"/>
      <c r="G8" s="3329"/>
      <c r="H8" s="3329"/>
      <c r="I8" s="3329"/>
      <c r="J8" s="3329"/>
      <c r="K8" s="3329"/>
      <c r="L8" s="3329"/>
      <c r="M8" s="3329"/>
      <c r="N8" s="3329"/>
      <c r="O8" s="3329"/>
      <c r="P8" s="3329"/>
      <c r="Q8" s="3330"/>
      <c r="R8" s="1728">
        <f ca="1">结果表!O41</f>
        <v>37055</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2" t="s">
        <v>2054</v>
      </c>
      <c r="B1" s="3332"/>
      <c r="C1" s="3332"/>
      <c r="D1" s="3332"/>
    </row>
    <row r="2" spans="1:4" ht="47.25" customHeight="1">
      <c r="A2" s="3333" t="str">
        <f>"1.权利限制："&amp;项目基本情况!L24&amp;"未设定租赁等其他他项权利。"</f>
        <v>1.权利限制：根据估价对象《不动产权证书》原件、《国有土地使用权》复印件，截至估价期日，估价对象抵押权未见登记。未设定租赁等其他他项权利。</v>
      </c>
      <c r="B2" s="3333"/>
      <c r="C2" s="3333"/>
      <c r="D2" s="3333"/>
    </row>
    <row r="3" spans="1:4" ht="48" customHeight="1">
      <c r="A3" s="33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2"/>
      <c r="C3" s="3332"/>
      <c r="D3" s="3332"/>
    </row>
    <row r="4" spans="1:4" ht="36.75" customHeight="1">
      <c r="A4" s="3332" t="str">
        <f>"3.估价规划限制条件：详见"&amp;项目基本情况!E21&amp;"。"</f>
        <v>3.估价规划限制条件：详见《建设工程规划许可证》[]、《出让合同》[]。</v>
      </c>
      <c r="B4" s="3332"/>
      <c r="C4" s="3332"/>
      <c r="D4" s="3332"/>
    </row>
    <row r="5" spans="1:4">
      <c r="A5" s="3331" t="s">
        <v>2055</v>
      </c>
      <c r="B5" s="3331"/>
      <c r="C5" s="3331"/>
      <c r="D5" s="3331"/>
    </row>
    <row r="6" spans="1:4">
      <c r="A6" s="3332" t="s">
        <v>2033</v>
      </c>
      <c r="B6" s="3332"/>
      <c r="C6" s="3332"/>
      <c r="D6" s="3332"/>
    </row>
    <row r="7" spans="1:4" ht="33" customHeight="1">
      <c r="A7" s="3332" t="s">
        <v>2555</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4"/>
      <c r="C11" s="3334"/>
      <c r="D11" s="3334"/>
    </row>
    <row r="12" spans="1:4" ht="168" customHeight="1">
      <c r="A12" s="3331" t="s">
        <v>2057</v>
      </c>
      <c r="B12" s="3331"/>
      <c r="C12" s="3331"/>
      <c r="D12" s="3331"/>
    </row>
    <row r="13" spans="1:4">
      <c r="A13" s="3335" t="s">
        <v>2726</v>
      </c>
      <c r="B13" s="3335"/>
      <c r="C13" s="3335"/>
      <c r="D13" s="3335"/>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2682</v>
      </c>
      <c r="B17" s="3332"/>
      <c r="C17" s="3332"/>
      <c r="D17" s="3332"/>
    </row>
    <row r="18" spans="1:4">
      <c r="A18" s="3332" t="s">
        <v>2674</v>
      </c>
      <c r="B18" s="3332"/>
      <c r="C18" s="3332"/>
      <c r="D18" s="3332"/>
    </row>
    <row r="19" spans="1:4">
      <c r="A19" s="2585" t="s">
        <v>2675</v>
      </c>
      <c r="B19" s="2585" t="s">
        <v>2676</v>
      </c>
      <c r="C19" s="2585" t="s">
        <v>2677</v>
      </c>
      <c r="D19" s="2585" t="s">
        <v>2678</v>
      </c>
    </row>
    <row r="20" spans="1:4">
      <c r="A20" s="2585" t="str">
        <f>项目基本情况!B4</f>
        <v>土地估价师</v>
      </c>
      <c r="B20" s="2585">
        <f>项目基本情况!C4</f>
        <v>0</v>
      </c>
      <c r="C20" s="2587"/>
      <c r="D20" s="1716" t="s">
        <v>2683</v>
      </c>
    </row>
    <row r="21" spans="1:4">
      <c r="A21" s="2585" t="str">
        <f>项目基本情况!D4</f>
        <v>土地估价师</v>
      </c>
      <c r="B21" s="2585">
        <f>项目基本情况!E4</f>
        <v>0</v>
      </c>
      <c r="C21" s="2587"/>
      <c r="D21" s="1716" t="s">
        <v>2684</v>
      </c>
    </row>
    <row r="23" spans="1:4">
      <c r="A23" s="3332" t="s">
        <v>2679</v>
      </c>
      <c r="B23" s="3332"/>
      <c r="C23" s="3332"/>
      <c r="D23" s="3332"/>
    </row>
    <row r="24" spans="1:4">
      <c r="A24" s="2585" t="s">
        <v>2675</v>
      </c>
      <c r="B24" s="2585" t="s">
        <v>2680</v>
      </c>
      <c r="C24" s="2585" t="s">
        <v>2677</v>
      </c>
      <c r="D24" s="2585" t="s">
        <v>2678</v>
      </c>
    </row>
    <row r="25" spans="1:4">
      <c r="A25" s="2588" t="s">
        <v>2681</v>
      </c>
      <c r="B25" s="2585" t="s">
        <v>943</v>
      </c>
      <c r="C25" s="2587"/>
      <c r="D25" s="1716" t="s">
        <v>2684</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3" t="s">
        <v>53</v>
      </c>
      <c r="B15" s="3344" t="s">
        <v>838</v>
      </c>
      <c r="C15" s="3340"/>
    </row>
    <row r="16" spans="1:7" ht="14.25">
      <c r="A16" s="3343"/>
      <c r="B16" s="3341" t="s">
        <v>54</v>
      </c>
      <c r="C16" s="1155" t="s">
        <v>53</v>
      </c>
    </row>
    <row r="17" spans="1:3" ht="14.25">
      <c r="A17" s="3343"/>
      <c r="B17" s="3341"/>
      <c r="C17" s="1155" t="s">
        <v>55</v>
      </c>
    </row>
    <row r="18" spans="1:3" ht="14.25">
      <c r="A18" s="3343"/>
      <c r="B18" s="3341"/>
      <c r="C18" s="1155" t="s">
        <v>56</v>
      </c>
    </row>
    <row r="19" spans="1:3" ht="14.25">
      <c r="A19" s="3343"/>
      <c r="B19" s="3339" t="s">
        <v>57</v>
      </c>
      <c r="C19" s="3340"/>
    </row>
    <row r="20" spans="1:3" ht="14.25">
      <c r="A20" s="1156" t="s">
        <v>58</v>
      </c>
      <c r="B20" s="1157"/>
      <c r="C20" s="1158"/>
    </row>
    <row r="21" spans="1:3" ht="14.25">
      <c r="A21" s="3342" t="s">
        <v>59</v>
      </c>
      <c r="B21" s="3339" t="s">
        <v>60</v>
      </c>
      <c r="C21" s="3340"/>
    </row>
    <row r="22" spans="1:3" ht="14.25">
      <c r="A22" s="3342"/>
      <c r="B22" s="3339" t="s">
        <v>61</v>
      </c>
      <c r="C22" s="3340"/>
    </row>
    <row r="23" spans="1:3" ht="14.25">
      <c r="A23" s="3342"/>
      <c r="B23" s="3339" t="s">
        <v>62</v>
      </c>
      <c r="C23" s="3340"/>
    </row>
    <row r="24" spans="1:3" ht="14.25">
      <c r="A24" s="3342"/>
      <c r="B24" s="3345" t="s">
        <v>63</v>
      </c>
      <c r="C24" s="1159" t="s">
        <v>829</v>
      </c>
    </row>
    <row r="25" spans="1:3" ht="14.25">
      <c r="A25" s="3342"/>
      <c r="B25" s="3346"/>
      <c r="C25" s="1159" t="s">
        <v>830</v>
      </c>
    </row>
    <row r="26" spans="1:3" ht="14.25">
      <c r="A26" s="3342"/>
      <c r="B26" s="3346"/>
      <c r="C26" s="1159" t="s">
        <v>831</v>
      </c>
    </row>
    <row r="27" spans="1:3" ht="14.25">
      <c r="A27" s="3342"/>
      <c r="B27" s="3346"/>
      <c r="C27" s="1159" t="s">
        <v>832</v>
      </c>
    </row>
    <row r="28" spans="1:3" ht="14.25">
      <c r="A28" s="3342"/>
      <c r="B28" s="3346"/>
      <c r="C28" s="1159" t="s">
        <v>833</v>
      </c>
    </row>
    <row r="29" spans="1:3" ht="14.25">
      <c r="A29" s="3342"/>
      <c r="B29" s="3346"/>
      <c r="C29" s="1159" t="s">
        <v>834</v>
      </c>
    </row>
    <row r="30" spans="1:3" ht="14.25">
      <c r="A30" s="3342"/>
      <c r="B30" s="3346"/>
      <c r="C30" s="1159" t="s">
        <v>835</v>
      </c>
    </row>
    <row r="31" spans="1:3" ht="14.25">
      <c r="A31" s="3342"/>
      <c r="B31" s="3346"/>
      <c r="C31" s="1159" t="s">
        <v>836</v>
      </c>
    </row>
    <row r="32" spans="1:3" ht="14.25">
      <c r="A32" s="3342"/>
      <c r="B32" s="3346"/>
      <c r="C32" s="1159" t="s">
        <v>1637</v>
      </c>
    </row>
    <row r="33" spans="1:3" ht="14.25">
      <c r="A33" s="3342"/>
      <c r="B33" s="3336" t="s">
        <v>1643</v>
      </c>
      <c r="C33" s="1159" t="s">
        <v>1638</v>
      </c>
    </row>
    <row r="34" spans="1:3" ht="14.25">
      <c r="A34" s="3342"/>
      <c r="B34" s="3337"/>
      <c r="C34" s="1164" t="s">
        <v>1639</v>
      </c>
    </row>
    <row r="35" spans="1:3" ht="14.25">
      <c r="A35" s="3342"/>
      <c r="B35" s="3337"/>
      <c r="C35" s="1165" t="s">
        <v>1640</v>
      </c>
    </row>
    <row r="36" spans="1:3" ht="14.25">
      <c r="A36" s="3342"/>
      <c r="B36" s="3337"/>
      <c r="C36" s="1165" t="s">
        <v>1641</v>
      </c>
    </row>
    <row r="37" spans="1:3" ht="14.25">
      <c r="A37" s="3342"/>
      <c r="B37" s="333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44502</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t="str">
        <f ca="1">IF(C6&lt;B2,"已过期",1120050019)</f>
        <v>已过期</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2945</v>
      </c>
      <c r="B12" s="3028">
        <f ca="1">IF(C12&lt;B2,"已过期",1120040230)</f>
        <v>1120040230</v>
      </c>
      <c r="C12" s="3031">
        <v>44864</v>
      </c>
      <c r="D12" s="3039" t="s">
        <v>2946</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t="str">
        <f ca="1">IF(C14&lt;B2,"已过期",1120020033)</f>
        <v>已过期</v>
      </c>
      <c r="C14" s="3031">
        <v>44339</v>
      </c>
      <c r="D14" s="3039" t="s">
        <v>1914</v>
      </c>
      <c r="E14" s="3028">
        <f ca="1">IF(F14&lt;B2,"已过期",2000110137)</f>
        <v>2000110137</v>
      </c>
      <c r="F14" s="3030">
        <v>46387</v>
      </c>
      <c r="G14" s="3023"/>
    </row>
    <row r="15" spans="1:7" ht="20.25" customHeight="1">
      <c r="A15" s="3028" t="s">
        <v>2960</v>
      </c>
      <c r="B15" s="3028" t="str">
        <f ca="1">IF(C14&lt;B2,"已过期",1119980106)</f>
        <v>已过期</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50" t="s">
        <v>1915</v>
      </c>
      <c r="B17" s="3351"/>
      <c r="C17" s="3351"/>
      <c r="D17" s="3351"/>
      <c r="E17" s="3351"/>
      <c r="F17" s="3351"/>
      <c r="G17" s="3032"/>
    </row>
    <row r="18" spans="1:7" ht="20.25" customHeight="1">
      <c r="A18" s="3347" t="s">
        <v>1916</v>
      </c>
      <c r="B18" s="3347"/>
      <c r="C18" s="3348"/>
      <c r="D18" s="3349" t="s">
        <v>1917</v>
      </c>
      <c r="E18" s="3347"/>
      <c r="F18" s="3347"/>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2959</v>
      </c>
      <c r="F21" s="3036">
        <v>44012</v>
      </c>
      <c r="G21" s="3024"/>
    </row>
    <row r="22" spans="1:7" ht="20.25" customHeight="1">
      <c r="A22" s="3023"/>
      <c r="B22" s="3023"/>
      <c r="C22" s="3037"/>
      <c r="D22" s="3045"/>
      <c r="E22" s="3046"/>
      <c r="F22" s="3038" t="s">
        <v>2973</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0" t="s">
        <v>2921</v>
      </c>
      <c r="C18" s="1493"/>
    </row>
    <row r="19" spans="1:3">
      <c r="A19" s="8" t="s">
        <v>120</v>
      </c>
      <c r="B19" s="2790" t="s">
        <v>2928</v>
      </c>
      <c r="C19" s="1493"/>
    </row>
    <row r="20" spans="1:3">
      <c r="A20" s="8" t="s">
        <v>121</v>
      </c>
      <c r="B20" s="2790"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52"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c r="D53" s="1686"/>
      <c r="E53" s="1686"/>
    </row>
    <row r="54" spans="1:5">
      <c r="A54" s="3352"/>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2"/>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2"/>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2"/>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2021-11-02T07:40:44Z</dcterms:modified>
</cp:coreProperties>
</file>