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龙湖项目\"/>
    </mc:Choice>
  </mc:AlternateContent>
  <bookViews>
    <workbookView xWindow="11625" yWindow="45" windowWidth="11385" windowHeight="958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信息"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state="hidden" r:id="rId22"/>
    <sheet name="基准地价修正" sheetId="43"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4" hidden="1">信息!$A$1:$AT$74</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M71" i="77" l="1"/>
  <c r="O71" i="77"/>
  <c r="O74" i="77" l="1"/>
  <c r="O47" i="77"/>
  <c r="M7" i="12"/>
  <c r="N8" i="1"/>
  <c r="N7" i="1"/>
  <c r="G21" i="6"/>
  <c r="F20" i="6"/>
  <c r="M13" i="3"/>
  <c r="K13" i="3"/>
  <c r="K79" i="77"/>
  <c r="K78" i="77"/>
  <c r="M74" i="77"/>
  <c r="O73" i="77"/>
  <c r="M73" i="77"/>
  <c r="M76" i="77" s="1"/>
  <c r="O72" i="77"/>
  <c r="M72" i="77"/>
  <c r="K77" i="77" l="1"/>
  <c r="I13" i="3" s="1"/>
  <c r="F19" i="6" s="1"/>
  <c r="P72" i="77"/>
  <c r="P74" i="77"/>
  <c r="P73" i="77"/>
  <c r="Q73" i="77" s="1"/>
  <c r="R73" i="77"/>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M19" i="43"/>
  <c r="D11" i="71"/>
  <c r="AH9" i="71"/>
  <c r="AG9" i="71"/>
  <c r="AE9" i="71"/>
  <c r="AF9" i="71"/>
  <c r="AD9" i="71"/>
  <c r="AD10" i="71"/>
  <c r="AG10" i="71"/>
  <c r="AH10" i="71"/>
  <c r="AE10" i="71"/>
  <c r="AF10" i="71"/>
  <c r="N10" i="71"/>
  <c r="Q10" i="71"/>
  <c r="P10" i="71"/>
  <c r="O10" i="71"/>
  <c r="C10" i="71"/>
  <c r="Q11" i="71"/>
  <c r="F10" i="71"/>
  <c r="P11" i="71"/>
  <c r="E10" i="71"/>
  <c r="O11" i="71"/>
  <c r="N11" i="71"/>
  <c r="B10" i="71"/>
  <c r="V10"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B61" i="72" s="1"/>
  <c r="A14" i="62"/>
  <c r="B60" i="72" s="1"/>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59" i="72"/>
  <c r="B10" i="72"/>
  <c r="C53" i="10"/>
  <c r="B51" i="10"/>
  <c r="A18" i="51"/>
  <c r="B13" i="72" s="1"/>
  <c r="C8" i="68"/>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s="1"/>
  <c r="D39" i="71"/>
  <c r="Q38" i="71"/>
  <c r="P38" i="71"/>
  <c r="O38" i="71"/>
  <c r="N38" i="71"/>
  <c r="Q37" i="71"/>
  <c r="P37" i="71"/>
  <c r="O37" i="71"/>
  <c r="N37" i="71"/>
  <c r="Q36" i="71"/>
  <c r="P36" i="71"/>
  <c r="O36" i="71"/>
  <c r="N36" i="71"/>
  <c r="Q35" i="71"/>
  <c r="F36" i="71"/>
  <c r="F37" i="71" s="1"/>
  <c r="F38" i="71" s="1"/>
  <c r="V38" i="71" s="1"/>
  <c r="P35" i="71"/>
  <c r="E36" i="71"/>
  <c r="E37" i="71" s="1"/>
  <c r="E38" i="71" s="1"/>
  <c r="U38" i="71" s="1"/>
  <c r="O35" i="71"/>
  <c r="C36" i="71"/>
  <c r="D36" i="71" s="1"/>
  <c r="N35" i="71"/>
  <c r="B36" i="7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Q27" i="71"/>
  <c r="F28" i="71" s="1"/>
  <c r="F29" i="71" s="1"/>
  <c r="F30" i="71" s="1"/>
  <c r="V30" i="71" s="1"/>
  <c r="P27" i="71"/>
  <c r="E28" i="71" s="1"/>
  <c r="E29" i="71"/>
  <c r="E30" i="71" s="1"/>
  <c r="U30" i="71" s="1"/>
  <c r="O27" i="71"/>
  <c r="C28" i="71"/>
  <c r="C29" i="71" s="1"/>
  <c r="D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V26" i="71" s="1"/>
  <c r="P23" i="71"/>
  <c r="O23" i="71"/>
  <c r="N23" i="71"/>
  <c r="D23" i="71"/>
  <c r="Q22" i="71"/>
  <c r="AB22" i="71" s="1"/>
  <c r="P22" i="71"/>
  <c r="O22" i="71"/>
  <c r="Y22" i="71"/>
  <c r="Z22" i="71" s="1"/>
  <c r="N22" i="71"/>
  <c r="X19" i="71" s="1"/>
  <c r="Q21" i="71"/>
  <c r="AB21" i="71"/>
  <c r="P21" i="71"/>
  <c r="O21" i="71"/>
  <c r="N21" i="71"/>
  <c r="Q20" i="71"/>
  <c r="P20" i="71"/>
  <c r="AA20" i="71" s="1"/>
  <c r="O20" i="71"/>
  <c r="Y20" i="71"/>
  <c r="Z20" i="71" s="1"/>
  <c r="N20" i="71"/>
  <c r="Q19" i="71"/>
  <c r="F20" i="71" s="1"/>
  <c r="F21" i="71" s="1"/>
  <c r="F22" i="71" s="1"/>
  <c r="V22" i="71" s="1"/>
  <c r="P19" i="71"/>
  <c r="O19" i="71"/>
  <c r="N19" i="71"/>
  <c r="D19" i="71"/>
  <c r="Q18" i="71"/>
  <c r="P18" i="71"/>
  <c r="AA17" i="71" s="1"/>
  <c r="O18" i="71"/>
  <c r="Y18" i="71"/>
  <c r="Z18" i="71" s="1"/>
  <c r="N18" i="71"/>
  <c r="Q17" i="71"/>
  <c r="P17" i="71"/>
  <c r="O17" i="71"/>
  <c r="N17" i="71"/>
  <c r="Q16" i="71"/>
  <c r="P16" i="71"/>
  <c r="O16" i="71"/>
  <c r="N16" i="71"/>
  <c r="X16" i="71" s="1"/>
  <c r="Q15" i="71"/>
  <c r="F16" i="71" s="1"/>
  <c r="F17" i="71" s="1"/>
  <c r="F18" i="71" s="1"/>
  <c r="V18" i="71" s="1"/>
  <c r="P15" i="71"/>
  <c r="O15" i="71"/>
  <c r="N15" i="71"/>
  <c r="D15" i="71"/>
  <c r="O14" i="71"/>
  <c r="N14" i="71"/>
  <c r="B16" i="71"/>
  <c r="B17" i="71" s="1"/>
  <c r="B18" i="71" s="1"/>
  <c r="S18" i="71" s="1"/>
  <c r="X15" i="71"/>
  <c r="B20" i="71"/>
  <c r="B21" i="71" s="1"/>
  <c r="B22" i="71"/>
  <c r="S22" i="71" s="1"/>
  <c r="E24" i="71"/>
  <c r="E25" i="71" s="1"/>
  <c r="E26" i="71" s="1"/>
  <c r="U26" i="71" s="1"/>
  <c r="AA23" i="71"/>
  <c r="N54" i="71"/>
  <c r="E20" i="71"/>
  <c r="E21" i="71" s="1"/>
  <c r="E22" i="71" s="1"/>
  <c r="U22" i="71" s="1"/>
  <c r="AA19" i="71"/>
  <c r="C16" i="71"/>
  <c r="Y15" i="71"/>
  <c r="Z15" i="71" s="1"/>
  <c r="AA16" i="71"/>
  <c r="AA18" i="71"/>
  <c r="C20" i="71"/>
  <c r="C21" i="71"/>
  <c r="D21" i="71" s="1"/>
  <c r="X20" i="71"/>
  <c r="X22" i="71"/>
  <c r="C24" i="71"/>
  <c r="C25" i="71" s="1"/>
  <c r="D25" i="71" s="1"/>
  <c r="Y23" i="71"/>
  <c r="Z23" i="71"/>
  <c r="X24" i="71"/>
  <c r="B14" i="71"/>
  <c r="B13" i="71"/>
  <c r="B12" i="71" s="1"/>
  <c r="X11" i="71"/>
  <c r="C17" i="71"/>
  <c r="D17" i="71" s="1"/>
  <c r="D16" i="71"/>
  <c r="D20" i="71"/>
  <c r="D24" i="71"/>
  <c r="D28" i="71"/>
  <c r="C37" i="71"/>
  <c r="D37" i="71" s="1"/>
  <c r="P14" i="71"/>
  <c r="E41" i="71"/>
  <c r="E42" i="71"/>
  <c r="U42" i="71" s="1"/>
  <c r="E45" i="71"/>
  <c r="E46" i="71" s="1"/>
  <c r="U46" i="71" s="1"/>
  <c r="E49" i="71"/>
  <c r="E50" i="71"/>
  <c r="U50" i="71" s="1"/>
  <c r="Q14" i="71"/>
  <c r="C41" i="71"/>
  <c r="D41" i="71" s="1"/>
  <c r="C45" i="71"/>
  <c r="D45" i="71" s="1"/>
  <c r="C49" i="71"/>
  <c r="C50" i="71" s="1"/>
  <c r="T50" i="71" s="1"/>
  <c r="D48" i="71"/>
  <c r="N53" i="71"/>
  <c r="B52" i="71"/>
  <c r="T54" i="71"/>
  <c r="O54" i="71"/>
  <c r="D54" i="71"/>
  <c r="C53" i="71"/>
  <c r="O53" i="71" s="1"/>
  <c r="Q54" i="71"/>
  <c r="C57" i="71"/>
  <c r="D57" i="71" s="1"/>
  <c r="E57" i="71"/>
  <c r="E56" i="71"/>
  <c r="D58" i="71"/>
  <c r="C61" i="71"/>
  <c r="C60" i="71" s="1"/>
  <c r="D62" i="71"/>
  <c r="C65" i="71"/>
  <c r="C64" i="71" s="1"/>
  <c r="E65" i="71"/>
  <c r="E64" i="71"/>
  <c r="D66" i="71"/>
  <c r="C69" i="71"/>
  <c r="D69" i="71" s="1"/>
  <c r="C73" i="71"/>
  <c r="S14" i="71"/>
  <c r="F14" i="71"/>
  <c r="F13" i="71"/>
  <c r="F12" i="71" s="1"/>
  <c r="AB11" i="71"/>
  <c r="E14" i="71"/>
  <c r="AA11" i="71"/>
  <c r="C52" i="71"/>
  <c r="D52" i="71" s="1"/>
  <c r="D53" i="71"/>
  <c r="D49" i="71"/>
  <c r="C68" i="71"/>
  <c r="D68" i="71" s="1"/>
  <c r="D61" i="71"/>
  <c r="D60" i="71"/>
  <c r="N51" i="71"/>
  <c r="N52" i="71"/>
  <c r="D73" i="71"/>
  <c r="C72" i="71"/>
  <c r="D72" i="71" s="1"/>
  <c r="D64" i="71"/>
  <c r="C56" i="71"/>
  <c r="D56" i="71" s="1"/>
  <c r="C46" i="71"/>
  <c r="T46" i="71" s="1"/>
  <c r="C42" i="71"/>
  <c r="T42" i="71" s="1"/>
  <c r="C30" i="71"/>
  <c r="T30" i="71" s="1"/>
  <c r="C26" i="71"/>
  <c r="T26" i="71" s="1"/>
  <c r="C22" i="71"/>
  <c r="T22" i="71" s="1"/>
  <c r="O52" i="71"/>
  <c r="O51" i="71"/>
  <c r="D22" i="71"/>
  <c r="D26" i="71"/>
  <c r="D30" i="7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G68" i="35"/>
  <c r="J18" i="35"/>
  <c r="F77" i="37"/>
  <c r="G77" i="37" s="1"/>
  <c r="H21" i="37"/>
  <c r="F21" i="37"/>
  <c r="AA21" i="37" s="1"/>
  <c r="H21" i="34"/>
  <c r="H21" i="33"/>
  <c r="U21" i="33" s="1"/>
  <c r="F21" i="33"/>
  <c r="E83" i="21"/>
  <c r="F83" i="21" s="1"/>
  <c r="G83" i="21" s="1"/>
  <c r="S21" i="21"/>
  <c r="H1" i="69"/>
  <c r="W25" i="40"/>
  <c r="U25" i="40"/>
  <c r="W29" i="39"/>
  <c r="W18" i="36"/>
  <c r="AB21" i="37"/>
  <c r="U21" i="37"/>
  <c r="S21" i="37"/>
  <c r="AB21" i="34"/>
  <c r="U21" i="34"/>
  <c r="AB21" i="33"/>
  <c r="AA21" i="33"/>
  <c r="S21" i="33"/>
  <c r="AB18" i="35"/>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C40" i="68"/>
  <c r="Q72" i="67"/>
  <c r="Q59" i="67"/>
  <c r="Q58" i="67"/>
  <c r="Q51" i="67"/>
  <c r="J50" i="67"/>
  <c r="M47" i="67"/>
  <c r="J53" i="67" s="1"/>
  <c r="Q52"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B43" i="1"/>
  <c r="D78" i="9" s="1"/>
  <c r="BQ13" i="3"/>
  <c r="BQ5" i="3" s="1"/>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C7" i="12" s="1"/>
  <c r="C8" i="12" s="1"/>
  <c r="E20" i="6"/>
  <c r="E21" i="6"/>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c r="C92"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A520" i="3" s="1"/>
  <c r="AZ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J31" i="35"/>
  <c r="H31" i="35"/>
  <c r="AB31" i="35" s="1"/>
  <c r="F31" i="35"/>
  <c r="D87" i="35"/>
  <c r="E87" i="35" s="1"/>
  <c r="F87" i="35" s="1"/>
  <c r="G87" i="35" s="1"/>
  <c r="H87" i="35"/>
  <c r="I87" i="35" s="1"/>
  <c r="J87" i="35" s="1"/>
  <c r="K87" i="35" s="1"/>
  <c r="L87" i="35" s="1"/>
  <c r="M87" i="35" s="1"/>
  <c r="H34" i="37"/>
  <c r="D101" i="37"/>
  <c r="F34" i="37"/>
  <c r="S34" i="37" s="1"/>
  <c r="D99" i="37"/>
  <c r="E99" i="37"/>
  <c r="F99" i="37" s="1"/>
  <c r="G99" i="37"/>
  <c r="H99" i="37" s="1"/>
  <c r="I99" i="37" s="1"/>
  <c r="J99" i="37" s="1"/>
  <c r="K99" i="37"/>
  <c r="L99" i="37" s="1"/>
  <c r="M99" i="37" s="1"/>
  <c r="H42" i="34"/>
  <c r="J42" i="34"/>
  <c r="W42" i="34" s="1"/>
  <c r="F42" i="34"/>
  <c r="J38" i="34"/>
  <c r="W38" i="34"/>
  <c r="D114" i="34"/>
  <c r="F38" i="34"/>
  <c r="D112" i="34"/>
  <c r="E112" i="34" s="1"/>
  <c r="F112" i="34"/>
  <c r="G112" i="34" s="1"/>
  <c r="H112" i="34" s="1"/>
  <c r="I112" i="34" s="1"/>
  <c r="J112" i="34"/>
  <c r="K112" i="34" s="1"/>
  <c r="L112" i="34" s="1"/>
  <c r="M112" i="34" s="1"/>
  <c r="F40" i="33"/>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G95" i="39" s="1"/>
  <c r="D93" i="39"/>
  <c r="E93" i="39"/>
  <c r="F93" i="39" s="1"/>
  <c r="G93" i="39"/>
  <c r="D91" i="39"/>
  <c r="E91" i="39"/>
  <c r="F91" i="39" s="1"/>
  <c r="G91" i="39" s="1"/>
  <c r="D89" i="39"/>
  <c r="E89" i="39"/>
  <c r="F89" i="39" s="1"/>
  <c r="G89" i="39"/>
  <c r="B86" i="39"/>
  <c r="B84" i="39"/>
  <c r="F13" i="39" s="1"/>
  <c r="AA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H31" i="36"/>
  <c r="AB31" i="36"/>
  <c r="F31" i="36"/>
  <c r="S31" i="36"/>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09" i="33"/>
  <c r="E109" i="33"/>
  <c r="D109" i="33"/>
  <c r="C109" i="33"/>
  <c r="D91" i="33"/>
  <c r="E91" i="33"/>
  <c r="F91" i="33" s="1"/>
  <c r="B88" i="33"/>
  <c r="J26" i="33"/>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43" s="1"/>
  <c r="G16" i="20"/>
  <c r="G15" i="20"/>
  <c r="B81" i="43" s="1"/>
  <c r="C24" i="20"/>
  <c r="C21" i="20"/>
  <c r="B74" i="43" s="1"/>
  <c r="C20" i="20"/>
  <c r="C18" i="20"/>
  <c r="C17" i="20"/>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E8" i="12" s="1"/>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F36" i="39"/>
  <c r="S36" i="39"/>
  <c r="H36" i="39"/>
  <c r="AB36" i="39"/>
  <c r="J36" i="39"/>
  <c r="AC36" i="39"/>
  <c r="W40" i="39"/>
  <c r="U30" i="37"/>
  <c r="E103" i="37"/>
  <c r="F103" i="37" s="1"/>
  <c r="G103" i="37" s="1"/>
  <c r="H103" i="37" s="1"/>
  <c r="I103" i="37"/>
  <c r="J103" i="37" s="1"/>
  <c r="K103" i="37" s="1"/>
  <c r="L103" i="37" s="1"/>
  <c r="M103" i="37" s="1"/>
  <c r="F39" i="37"/>
  <c r="S39" i="37"/>
  <c r="F29" i="36"/>
  <c r="AA29" i="36" s="1"/>
  <c r="F16" i="36"/>
  <c r="AA16" i="36"/>
  <c r="AA31" i="36"/>
  <c r="U31" i="36"/>
  <c r="J33" i="36"/>
  <c r="W33" i="36" s="1"/>
  <c r="H22" i="35"/>
  <c r="AC27" i="35"/>
  <c r="U31" i="35"/>
  <c r="W22" i="35"/>
  <c r="S31" i="35"/>
  <c r="F36" i="34"/>
  <c r="J35" i="34"/>
  <c r="W35" i="34" s="1"/>
  <c r="S34" i="34"/>
  <c r="U34" i="34"/>
  <c r="H39" i="33"/>
  <c r="AB39" i="33" s="1"/>
  <c r="F26" i="33"/>
  <c r="S9" i="33"/>
  <c r="U33" i="33"/>
  <c r="U35" i="33"/>
  <c r="W33" i="33"/>
  <c r="W39" i="33"/>
  <c r="H39" i="37"/>
  <c r="AB39" i="37" s="1"/>
  <c r="S27" i="35"/>
  <c r="F11" i="40"/>
  <c r="AA11" i="40"/>
  <c r="H11" i="40"/>
  <c r="AB11" i="40"/>
  <c r="AB39" i="40"/>
  <c r="AA9" i="40"/>
  <c r="U9" i="40"/>
  <c r="W31" i="40"/>
  <c r="S38" i="40"/>
  <c r="F42" i="39"/>
  <c r="AA42" i="39" s="1"/>
  <c r="F41" i="39"/>
  <c r="S41" i="39" s="1"/>
  <c r="H40" i="39"/>
  <c r="H39" i="39"/>
  <c r="U39" i="39" s="1"/>
  <c r="S38" i="39"/>
  <c r="S34" i="39"/>
  <c r="H34" i="39"/>
  <c r="U34" i="39" s="1"/>
  <c r="E109" i="39"/>
  <c r="E101" i="39"/>
  <c r="H19" i="39"/>
  <c r="AB19" i="39" s="1"/>
  <c r="F19" i="39"/>
  <c r="AA19" i="39" s="1"/>
  <c r="H17" i="39"/>
  <c r="AB17" i="39" s="1"/>
  <c r="F17" i="39"/>
  <c r="J23" i="40"/>
  <c r="AC23" i="40" s="1"/>
  <c r="F21" i="40"/>
  <c r="J21" i="40"/>
  <c r="W21" i="40" s="1"/>
  <c r="H42" i="39"/>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U30" i="36"/>
  <c r="J30" i="35"/>
  <c r="H30" i="35"/>
  <c r="F22" i="35"/>
  <c r="AA22" i="35" s="1"/>
  <c r="H10" i="35"/>
  <c r="U10" i="35" s="1"/>
  <c r="AC16" i="36"/>
  <c r="H16" i="36"/>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H14" i="35"/>
  <c r="AB14" i="35" s="1"/>
  <c r="J29" i="35"/>
  <c r="AC29" i="35" s="1"/>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F37" i="34"/>
  <c r="AA37" i="34" s="1"/>
  <c r="S35" i="34"/>
  <c r="F27" i="34"/>
  <c r="AA27" i="34"/>
  <c r="F25" i="34"/>
  <c r="S25" i="34"/>
  <c r="H23" i="34"/>
  <c r="U23" i="34"/>
  <c r="J23" i="34"/>
  <c r="F19" i="34"/>
  <c r="H17" i="34"/>
  <c r="U17" i="34"/>
  <c r="F15" i="34"/>
  <c r="J15" i="34"/>
  <c r="H15" i="34"/>
  <c r="AB15" i="34"/>
  <c r="W8" i="34"/>
  <c r="F41" i="33"/>
  <c r="AA41" i="33"/>
  <c r="S38" i="33"/>
  <c r="F32" i="33"/>
  <c r="AA32" i="33"/>
  <c r="J19" i="33"/>
  <c r="AC19" i="33"/>
  <c r="J15" i="33"/>
  <c r="AC15" i="33"/>
  <c r="F11" i="33"/>
  <c r="AA11" i="33"/>
  <c r="U8" i="33"/>
  <c r="S8" i="33"/>
  <c r="F37" i="40"/>
  <c r="AA37" i="40" s="1"/>
  <c r="F36" i="40"/>
  <c r="AA36" i="40" s="1"/>
  <c r="H28" i="40"/>
  <c r="U28" i="40" s="1"/>
  <c r="F23" i="40"/>
  <c r="AA23" i="40" s="1"/>
  <c r="F17" i="40"/>
  <c r="AA17" i="40" s="1"/>
  <c r="J17" i="40"/>
  <c r="F15" i="40"/>
  <c r="S15" i="40" s="1"/>
  <c r="H15" i="40"/>
  <c r="AC11" i="40"/>
  <c r="S12" i="36"/>
  <c r="AA12" i="36"/>
  <c r="AB30"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C38" i="34"/>
  <c r="J37" i="34"/>
  <c r="AC37" i="34" s="1"/>
  <c r="J11" i="33"/>
  <c r="W11" i="33" s="1"/>
  <c r="U23" i="40"/>
  <c r="J42" i="21"/>
  <c r="AC42" i="21"/>
  <c r="H42" i="21"/>
  <c r="U42" i="21"/>
  <c r="J44" i="34"/>
  <c r="F44" i="34"/>
  <c r="AA44" i="34" s="1"/>
  <c r="J10" i="35"/>
  <c r="W10" i="35" s="1"/>
  <c r="BL587" i="3"/>
  <c r="J14" i="2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J28" i="33"/>
  <c r="W28" i="33" s="1"/>
  <c r="F33" i="35"/>
  <c r="S33" i="35" s="1"/>
  <c r="J33" i="35"/>
  <c r="AC33" i="35" s="1"/>
  <c r="F30" i="35"/>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F29" i="33"/>
  <c r="S29" i="33" s="1"/>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J26" i="36"/>
  <c r="W26" i="36" s="1"/>
  <c r="H28" i="36"/>
  <c r="U28" i="36" s="1"/>
  <c r="J32" i="36"/>
  <c r="W32" i="36" s="1"/>
  <c r="J11" i="36"/>
  <c r="AC11" i="36" s="1"/>
  <c r="H11" i="36"/>
  <c r="F11" i="36"/>
  <c r="H13" i="36"/>
  <c r="J13" i="36"/>
  <c r="AC13" i="36" s="1"/>
  <c r="F13" i="36"/>
  <c r="S13" i="36"/>
  <c r="E89" i="37"/>
  <c r="F89" i="37"/>
  <c r="G89" i="37" s="1"/>
  <c r="H89" i="37"/>
  <c r="I89" i="37" s="1"/>
  <c r="J89" i="37" s="1"/>
  <c r="K89" i="37" s="1"/>
  <c r="L89" i="37" s="1"/>
  <c r="M89" i="37" s="1"/>
  <c r="J29" i="37"/>
  <c r="W29" i="37" s="1"/>
  <c r="F29" i="37"/>
  <c r="F105" i="37"/>
  <c r="H36" i="37"/>
  <c r="AB36" i="37"/>
  <c r="J37" i="37"/>
  <c r="AC37" i="37" s="1"/>
  <c r="H37" i="37"/>
  <c r="U37" i="37" s="1"/>
  <c r="H40" i="37"/>
  <c r="J40" i="37"/>
  <c r="F40" i="37"/>
  <c r="AA40" i="37" s="1"/>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F14" i="39"/>
  <c r="S14" i="39" s="1"/>
  <c r="H14" i="39"/>
  <c r="AB14" i="39"/>
  <c r="F12" i="40"/>
  <c r="S12" i="40"/>
  <c r="H12" i="40"/>
  <c r="AB12" i="40"/>
  <c r="H30" i="40"/>
  <c r="AB30" i="40"/>
  <c r="F33" i="40"/>
  <c r="AA33" i="40"/>
  <c r="H33" i="40"/>
  <c r="U33" i="40"/>
  <c r="J35" i="40"/>
  <c r="AC35" i="40"/>
  <c r="J37" i="40"/>
  <c r="AC37" i="40"/>
  <c r="F14" i="37"/>
  <c r="S14" i="37"/>
  <c r="F27" i="37"/>
  <c r="AA27" i="37"/>
  <c r="J13" i="39"/>
  <c r="W13" i="39" s="1"/>
  <c r="H14" i="40"/>
  <c r="AB14" i="40"/>
  <c r="J14" i="40"/>
  <c r="W14" i="40"/>
  <c r="F14" i="40"/>
  <c r="AA14" i="40"/>
  <c r="J14" i="37"/>
  <c r="AC14" i="37"/>
  <c r="J27" i="37"/>
  <c r="AC27" i="37"/>
  <c r="AA13" i="35"/>
  <c r="U31" i="34"/>
  <c r="U46" i="33"/>
  <c r="J36" i="37"/>
  <c r="G105" i="37"/>
  <c r="J10" i="36"/>
  <c r="AC10" i="36"/>
  <c r="AB30" i="21"/>
  <c r="AA14" i="37"/>
  <c r="W31" i="34"/>
  <c r="W13" i="36"/>
  <c r="W11" i="36"/>
  <c r="AA14" i="34"/>
  <c r="U31" i="33"/>
  <c r="U13" i="33"/>
  <c r="S44" i="34"/>
  <c r="BA585" i="3"/>
  <c r="F17" i="21"/>
  <c r="AA17" i="21"/>
  <c r="H17" i="21"/>
  <c r="AB17" i="21"/>
  <c r="F15" i="21"/>
  <c r="S15" i="21"/>
  <c r="AB11" i="21"/>
  <c r="J41" i="39"/>
  <c r="W41" i="39" s="1"/>
  <c r="W36" i="39"/>
  <c r="U36" i="39"/>
  <c r="G544" i="3"/>
  <c r="G536" i="3"/>
  <c r="G528" i="3"/>
  <c r="G514" i="3"/>
  <c r="G500" i="3"/>
  <c r="G584" i="3"/>
  <c r="G576" i="3"/>
  <c r="G572" i="3"/>
  <c r="G568" i="3"/>
  <c r="G560" i="3"/>
  <c r="G554" i="3"/>
  <c r="BL584" i="3"/>
  <c r="BL580" i="3"/>
  <c r="BL572" i="3"/>
  <c r="AZ572" i="3" s="1"/>
  <c r="BL568" i="3"/>
  <c r="BL564" i="3"/>
  <c r="BL554" i="3"/>
  <c r="BL546" i="3"/>
  <c r="BL542" i="3"/>
  <c r="BL534" i="3"/>
  <c r="BL516" i="3"/>
  <c r="BL498" i="3"/>
  <c r="BL582" i="3"/>
  <c r="BL574" i="3"/>
  <c r="BL570" i="3"/>
  <c r="BL566" i="3"/>
  <c r="AZ566" i="3" s="1"/>
  <c r="BL556" i="3"/>
  <c r="BL552" i="3"/>
  <c r="BL544" i="3"/>
  <c r="BL536" i="3"/>
  <c r="BL528" i="3"/>
  <c r="BL514" i="3"/>
  <c r="BL496" i="3"/>
  <c r="BA584" i="3"/>
  <c r="BA582" i="3"/>
  <c r="AZ582" i="3"/>
  <c r="BA572" i="3"/>
  <c r="BA570" i="3"/>
  <c r="AZ570" i="3"/>
  <c r="BA568" i="3"/>
  <c r="AZ568" i="3"/>
  <c r="BA566" i="3"/>
  <c r="BA558" i="3"/>
  <c r="AZ558" i="3" s="1"/>
  <c r="BA556" i="3"/>
  <c r="AZ556" i="3" s="1"/>
  <c r="BA554" i="3"/>
  <c r="AZ554" i="3" s="1"/>
  <c r="BA552" i="3"/>
  <c r="AZ552" i="3" s="1"/>
  <c r="BA548" i="3"/>
  <c r="BA546" i="3"/>
  <c r="BA544" i="3"/>
  <c r="AZ544" i="3" s="1"/>
  <c r="BA542" i="3"/>
  <c r="AZ542" i="3" s="1"/>
  <c r="BA540" i="3"/>
  <c r="BA536" i="3"/>
  <c r="AZ536" i="3" s="1"/>
  <c r="BA532" i="3"/>
  <c r="BA512" i="3"/>
  <c r="BA508" i="3"/>
  <c r="BA502" i="3"/>
  <c r="BA496" i="3"/>
  <c r="BA587" i="3"/>
  <c r="BA583" i="3"/>
  <c r="AZ583" i="3" s="1"/>
  <c r="BA577" i="3"/>
  <c r="BA573" i="3"/>
  <c r="BA571" i="3"/>
  <c r="BA569" i="3"/>
  <c r="BA567" i="3"/>
  <c r="BA565" i="3"/>
  <c r="BA561" i="3"/>
  <c r="BA555" i="3"/>
  <c r="BA553" i="3"/>
  <c r="BA547" i="3"/>
  <c r="BA545" i="3"/>
  <c r="BA543" i="3"/>
  <c r="BA537" i="3"/>
  <c r="BA529" i="3"/>
  <c r="BA519" i="3"/>
  <c r="BA511" i="3"/>
  <c r="BA501"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AC521" i="3"/>
  <c r="BQ521" i="3"/>
  <c r="BL520" i="3"/>
  <c r="G515" i="3"/>
  <c r="BQ519" i="3"/>
  <c r="BQ517" i="3"/>
  <c r="BQ515" i="3"/>
  <c r="BQ513" i="3"/>
  <c r="BQ511" i="3"/>
  <c r="BA509"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c r="H17" i="37"/>
  <c r="U17" i="37"/>
  <c r="U32" i="33"/>
  <c r="AA36" i="39"/>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U14" i="40"/>
  <c r="AC33" i="36"/>
  <c r="U35" i="35"/>
  <c r="W23" i="35"/>
  <c r="W14" i="37"/>
  <c r="U33" i="37"/>
  <c r="U39" i="37"/>
  <c r="AC8" i="37"/>
  <c r="U26" i="37"/>
  <c r="W47" i="34"/>
  <c r="W37" i="34"/>
  <c r="AC36" i="34"/>
  <c r="AC31" i="33"/>
  <c r="U11" i="33"/>
  <c r="U19" i="21"/>
  <c r="W44" i="21"/>
  <c r="U26" i="21"/>
  <c r="AC46" i="21"/>
  <c r="U12" i="21"/>
  <c r="AB38" i="21"/>
  <c r="F43" i="33"/>
  <c r="AA43" i="33" s="1"/>
  <c r="W15" i="34"/>
  <c r="AC15" i="34"/>
  <c r="W16" i="35"/>
  <c r="G107" i="37"/>
  <c r="H107" i="37" s="1"/>
  <c r="I107" i="37"/>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H21" i="40"/>
  <c r="AB21" i="40" s="1"/>
  <c r="AC12" i="37"/>
  <c r="F94" i="37"/>
  <c r="G94" i="37"/>
  <c r="H94" i="37" s="1"/>
  <c r="I94" i="37" s="1"/>
  <c r="J94" i="37" s="1"/>
  <c r="K94" i="37" s="1"/>
  <c r="L94" i="37" s="1"/>
  <c r="M94" i="37" s="1"/>
  <c r="H31" i="37"/>
  <c r="U31" i="37"/>
  <c r="G71" i="37"/>
  <c r="J15" i="37"/>
  <c r="W15" i="37"/>
  <c r="AT6" i="3"/>
  <c r="AA25" i="21"/>
  <c r="C12" i="43"/>
  <c r="H19" i="40"/>
  <c r="F88" i="40"/>
  <c r="G88" i="40" s="1"/>
  <c r="F19" i="40"/>
  <c r="S14" i="40"/>
  <c r="AB33" i="40"/>
  <c r="W23" i="39"/>
  <c r="AC43" i="39"/>
  <c r="W43" i="39"/>
  <c r="G101" i="39"/>
  <c r="H25" i="39"/>
  <c r="AB25" i="39"/>
  <c r="J25" i="39"/>
  <c r="F25" i="39"/>
  <c r="AA25" i="39" s="1"/>
  <c r="F15" i="39"/>
  <c r="H15" i="39"/>
  <c r="U15" i="39" s="1"/>
  <c r="J15" i="39"/>
  <c r="W15" i="39" s="1"/>
  <c r="H41" i="39"/>
  <c r="U41" i="39" s="1"/>
  <c r="W27" i="39"/>
  <c r="AB34" i="39"/>
  <c r="S42" i="39"/>
  <c r="AA41" i="39"/>
  <c r="W8" i="39"/>
  <c r="J19" i="40"/>
  <c r="AC19" i="40"/>
  <c r="J50" i="40"/>
  <c r="H103" i="9"/>
  <c r="D8" i="53"/>
  <c r="B16" i="53"/>
  <c r="B33" i="72"/>
  <c r="C7" i="37"/>
  <c r="C7" i="34"/>
  <c r="C59" i="34" s="1"/>
  <c r="C7" i="36"/>
  <c r="W35" i="40"/>
  <c r="A118" i="9"/>
  <c r="J11" i="39"/>
  <c r="F11" i="39"/>
  <c r="AA11" i="39" s="1"/>
  <c r="A12" i="52"/>
  <c r="B56" i="72" s="1"/>
  <c r="S11" i="39"/>
  <c r="G4" i="4"/>
  <c r="I4" i="4"/>
  <c r="K5" i="4"/>
  <c r="B47" i="48"/>
  <c r="N2" i="43"/>
  <c r="F59" i="43"/>
  <c r="AZ20" i="3"/>
  <c r="AZ24" i="3"/>
  <c r="AZ28" i="3"/>
  <c r="AZ32"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22" i="3"/>
  <c r="G498"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AZ317" i="3"/>
  <c r="AZ333" i="3"/>
  <c r="AZ496" i="3"/>
  <c r="G548" i="3"/>
  <c r="G538" i="3"/>
  <c r="BP5" i="3"/>
  <c r="BI5" i="3"/>
  <c r="G17" i="3"/>
  <c r="BA17" i="3"/>
  <c r="AZ350" i="3"/>
  <c r="AZ352" i="3"/>
  <c r="AZ368" i="3"/>
  <c r="BA15" i="3"/>
  <c r="AZ15" i="3"/>
  <c r="AZ380" i="3"/>
  <c r="AZ388" i="3"/>
  <c r="AZ396" i="3"/>
  <c r="G509" i="3"/>
  <c r="AZ491" i="3"/>
  <c r="U36" i="40"/>
  <c r="N4" i="43"/>
  <c r="F36" i="43"/>
  <c r="F81" i="43"/>
  <c r="H113" i="43"/>
  <c r="F48" i="43"/>
  <c r="H52" i="43"/>
  <c r="N7" i="43"/>
  <c r="F70" i="43"/>
  <c r="M6" i="43"/>
  <c r="M11" i="43"/>
  <c r="D17" i="43"/>
  <c r="F39" i="43"/>
  <c r="I17" i="43"/>
  <c r="F35" i="43"/>
  <c r="J17" i="43"/>
  <c r="F6" i="1"/>
  <c r="U17" i="39"/>
  <c r="S14" i="35"/>
  <c r="U43" i="21"/>
  <c r="U35" i="21"/>
  <c r="AC35" i="21"/>
  <c r="U10" i="2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J27" i="40"/>
  <c r="J30" i="40"/>
  <c r="AC30" i="40" s="1"/>
  <c r="F30" i="40"/>
  <c r="AA30" i="40" s="1"/>
  <c r="AC21" i="40"/>
  <c r="S11" i="40"/>
  <c r="E98" i="40"/>
  <c r="F98" i="40"/>
  <c r="G98" i="40" s="1"/>
  <c r="H98" i="40"/>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H96" i="37"/>
  <c r="I96" i="37" s="1"/>
  <c r="J96" i="37"/>
  <c r="K96" i="37" s="1"/>
  <c r="L96" i="37" s="1"/>
  <c r="M96" i="37" s="1"/>
  <c r="F20" i="36"/>
  <c r="J33" i="34"/>
  <c r="AC33" i="34" s="1"/>
  <c r="H23" i="39"/>
  <c r="U23" i="39" s="1"/>
  <c r="D48" i="9"/>
  <c r="M52" i="9" s="1"/>
  <c r="H86" i="43"/>
  <c r="K9" i="1"/>
  <c r="M9" i="1" s="1"/>
  <c r="AE9" i="1"/>
  <c r="K6" i="1"/>
  <c r="W26" i="33"/>
  <c r="AC27" i="34"/>
  <c r="AC39" i="40"/>
  <c r="W39" i="40"/>
  <c r="AZ401" i="3"/>
  <c r="AZ412" i="3"/>
  <c r="AZ417" i="3"/>
  <c r="AZ428" i="3"/>
  <c r="AZ433" i="3"/>
  <c r="AZ465" i="3"/>
  <c r="W12" i="33"/>
  <c r="AA32" i="36"/>
  <c r="AZ408" i="3"/>
  <c r="AZ437" i="3"/>
  <c r="AZ441" i="3"/>
  <c r="AZ457" i="3"/>
  <c r="AZ473" i="3"/>
  <c r="AZ490" i="3"/>
  <c r="AA39" i="34"/>
  <c r="BL14" i="3"/>
  <c r="AZ266" i="3"/>
  <c r="U30" i="33"/>
  <c r="AA47" i="34"/>
  <c r="F12" i="33"/>
  <c r="H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T10" i="1" s="1"/>
  <c r="R10" i="1"/>
  <c r="B10" i="1"/>
  <c r="E10" i="1"/>
  <c r="D1" i="66"/>
  <c r="E10" i="66"/>
  <c r="AZ80" i="3"/>
  <c r="AZ84" i="3"/>
  <c r="AZ88" i="3"/>
  <c r="AZ107" i="3"/>
  <c r="AZ111" i="3"/>
  <c r="K12" i="1"/>
  <c r="M12" i="1" s="1"/>
  <c r="S13" i="1"/>
  <c r="AR13" i="1" s="1"/>
  <c r="R13" i="1"/>
  <c r="S11" i="1"/>
  <c r="AQ11" i="1" s="1"/>
  <c r="R11" i="1"/>
  <c r="S9" i="1"/>
  <c r="R9" i="1"/>
  <c r="J51" i="67"/>
  <c r="C42" i="1"/>
  <c r="H100" i="43"/>
  <c r="C30" i="66"/>
  <c r="E26" i="66" s="1"/>
  <c r="J100" i="43"/>
  <c r="AB37" i="40"/>
  <c r="S35" i="40"/>
  <c r="U35" i="40"/>
  <c r="AC36" i="40"/>
  <c r="W38" i="40"/>
  <c r="AA32" i="40"/>
  <c r="S17" i="40"/>
  <c r="S23" i="40"/>
  <c r="AC15" i="40"/>
  <c r="S30" i="40"/>
  <c r="S28" i="40"/>
  <c r="U21" i="40"/>
  <c r="W42" i="39"/>
  <c r="W39" i="39"/>
  <c r="S43" i="39"/>
  <c r="F32" i="39"/>
  <c r="S32" i="39" s="1"/>
  <c r="F107" i="39"/>
  <c r="G107" i="39"/>
  <c r="H107" i="39" s="1"/>
  <c r="U25" i="39"/>
  <c r="AB27" i="39"/>
  <c r="J21" i="39"/>
  <c r="F21" i="39"/>
  <c r="S21" i="39" s="1"/>
  <c r="H21" i="39"/>
  <c r="U21" i="39" s="1"/>
  <c r="W19" i="39"/>
  <c r="U19" i="39"/>
  <c r="AC15" i="39"/>
  <c r="AB15" i="39"/>
  <c r="U14" i="39"/>
  <c r="S23" i="36"/>
  <c r="AC27" i="36"/>
  <c r="AB27" i="36"/>
  <c r="U26" i="36"/>
  <c r="S27" i="36"/>
  <c r="AA26" i="36"/>
  <c r="AA34" i="36"/>
  <c r="S29" i="36"/>
  <c r="AC26" i="36"/>
  <c r="AA22" i="36"/>
  <c r="W14" i="36"/>
  <c r="AB14" i="36"/>
  <c r="U22" i="36"/>
  <c r="S16" i="36"/>
  <c r="S24" i="36"/>
  <c r="U24" i="36"/>
  <c r="U23" i="36"/>
  <c r="AB20" i="36"/>
  <c r="S14" i="36"/>
  <c r="U10" i="36"/>
  <c r="W10" i="36"/>
  <c r="AA25" i="35"/>
  <c r="AB13" i="35"/>
  <c r="U29" i="35"/>
  <c r="U28" i="35"/>
  <c r="U32" i="35"/>
  <c r="AA33" i="35"/>
  <c r="S32" i="35"/>
  <c r="W32" i="35"/>
  <c r="AB16" i="35"/>
  <c r="S20" i="35"/>
  <c r="AC20" i="35"/>
  <c r="U14" i="35"/>
  <c r="AC10" i="35"/>
  <c r="AA10" i="35"/>
  <c r="AB10" i="35"/>
  <c r="S8" i="35"/>
  <c r="W13" i="35"/>
  <c r="F9" i="35"/>
  <c r="H9" i="35"/>
  <c r="U9" i="35" s="1"/>
  <c r="W27" i="37"/>
  <c r="S26" i="37"/>
  <c r="AC29" i="37"/>
  <c r="S32" i="37"/>
  <c r="AB31" i="37"/>
  <c r="W30" i="37"/>
  <c r="S36" i="37"/>
  <c r="U32" i="37"/>
  <c r="AC35" i="37"/>
  <c r="W39" i="37"/>
  <c r="S37" i="37"/>
  <c r="AC15" i="37"/>
  <c r="J17" i="37"/>
  <c r="G73" i="37"/>
  <c r="F17" i="37"/>
  <c r="AA17" i="37"/>
  <c r="AB17" i="37"/>
  <c r="F75" i="37"/>
  <c r="F19" i="37"/>
  <c r="F79" i="37"/>
  <c r="G79" i="37" s="1"/>
  <c r="F23" i="37"/>
  <c r="S23" i="37"/>
  <c r="U23" i="37"/>
  <c r="U15" i="37"/>
  <c r="AC13" i="37"/>
  <c r="U9" i="37"/>
  <c r="AA13" i="37"/>
  <c r="AA12" i="37"/>
  <c r="H10" i="37"/>
  <c r="U10" i="37" s="1"/>
  <c r="F63" i="37"/>
  <c r="F11" i="37"/>
  <c r="S11" i="37"/>
  <c r="S27" i="34"/>
  <c r="AB8" i="34"/>
  <c r="AA33" i="34"/>
  <c r="U43" i="34"/>
  <c r="W41" i="34"/>
  <c r="AC42" i="34"/>
  <c r="AB35" i="34"/>
  <c r="U39" i="34"/>
  <c r="AB41" i="34"/>
  <c r="AA45" i="34"/>
  <c r="W34" i="34"/>
  <c r="AA25" i="34"/>
  <c r="S17" i="34"/>
  <c r="AA29" i="34"/>
  <c r="U27" i="34"/>
  <c r="S23" i="34"/>
  <c r="U15" i="34"/>
  <c r="S10" i="34"/>
  <c r="S13" i="34"/>
  <c r="H10" i="34"/>
  <c r="U10" i="34" s="1"/>
  <c r="F11" i="34"/>
  <c r="S11" i="34"/>
  <c r="W42" i="33"/>
  <c r="S27" i="33"/>
  <c r="S32" i="33"/>
  <c r="AA29" i="33"/>
  <c r="W38" i="33"/>
  <c r="H41" i="33"/>
  <c r="F121" i="33"/>
  <c r="G121" i="33" s="1"/>
  <c r="H121" i="33" s="1"/>
  <c r="I121" i="33" s="1"/>
  <c r="J121" i="33" s="1"/>
  <c r="K121" i="33" s="1"/>
  <c r="L121" i="33" s="1"/>
  <c r="M121" i="33" s="1"/>
  <c r="U42" i="33"/>
  <c r="S42" i="33"/>
  <c r="F36" i="33"/>
  <c r="AA36" i="33" s="1"/>
  <c r="J35" i="33"/>
  <c r="S37" i="33"/>
  <c r="AA37" i="33"/>
  <c r="S39" i="33"/>
  <c r="J32" i="33"/>
  <c r="S46" i="33"/>
  <c r="W43" i="33"/>
  <c r="S43" i="33"/>
  <c r="H27" i="33"/>
  <c r="AB27" i="33" s="1"/>
  <c r="F87" i="33"/>
  <c r="H25" i="33"/>
  <c r="AB25" i="33" s="1"/>
  <c r="F25" i="33"/>
  <c r="J23" i="33"/>
  <c r="W23" i="33" s="1"/>
  <c r="H23" i="33"/>
  <c r="U23" i="33" s="1"/>
  <c r="F81" i="33"/>
  <c r="F19" i="33"/>
  <c r="S19" i="33" s="1"/>
  <c r="W19" i="33"/>
  <c r="J17" i="33"/>
  <c r="S15" i="33"/>
  <c r="W15" i="33"/>
  <c r="U9" i="33"/>
  <c r="J10" i="33"/>
  <c r="H10" i="33"/>
  <c r="AB10" i="33" s="1"/>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BL17" i="3"/>
  <c r="AZ17" i="3"/>
  <c r="BL13" i="3"/>
  <c r="J56" i="9"/>
  <c r="J57" i="9"/>
  <c r="A24" i="51"/>
  <c r="B18" i="72" s="1"/>
  <c r="U29" i="34"/>
  <c r="E32" i="6"/>
  <c r="L19" i="6"/>
  <c r="G1" i="68"/>
  <c r="E19" i="69"/>
  <c r="E19" i="68"/>
  <c r="E19" i="11"/>
  <c r="G41" i="69"/>
  <c r="G41" i="68"/>
  <c r="G27" i="12"/>
  <c r="G41" i="11"/>
  <c r="G25" i="12"/>
  <c r="C100" i="43"/>
  <c r="E11" i="43"/>
  <c r="E10" i="43"/>
  <c r="E9" i="43"/>
  <c r="E8" i="43"/>
  <c r="C7" i="43"/>
  <c r="E81" i="43"/>
  <c r="B79" i="43"/>
  <c r="E48" i="43"/>
  <c r="B46" i="43" s="1"/>
  <c r="E70" i="43"/>
  <c r="B68" i="43" s="1"/>
  <c r="F100" i="43"/>
  <c r="H17" i="43"/>
  <c r="D9" i="53"/>
  <c r="B25" i="72" s="1"/>
  <c r="B24" i="72"/>
  <c r="G6" i="1"/>
  <c r="H85" i="43"/>
  <c r="H53" i="43"/>
  <c r="H54" i="43"/>
  <c r="H78"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48" i="35" s="1"/>
  <c r="D48" i="35" s="1"/>
  <c r="E48" i="35" s="1"/>
  <c r="F48" i="35" s="1"/>
  <c r="C7" i="33"/>
  <c r="C58" i="33" s="1"/>
  <c r="D58" i="33"/>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E46" i="36" s="1"/>
  <c r="F46" i="36" s="1"/>
  <c r="G46" i="36" s="1"/>
  <c r="H46" i="36" s="1"/>
  <c r="I46" i="36" s="1"/>
  <c r="J46" i="36" s="1"/>
  <c r="K46" i="36" s="1"/>
  <c r="D59" i="34"/>
  <c r="C52" i="37"/>
  <c r="D52" i="37"/>
  <c r="E52" i="37" s="1"/>
  <c r="A4" i="51"/>
  <c r="B6" i="72" s="1"/>
  <c r="D58" i="21"/>
  <c r="E58" i="21" s="1"/>
  <c r="F58" i="21" s="1"/>
  <c r="G58" i="21" s="1"/>
  <c r="C94" i="9"/>
  <c r="H62" i="43"/>
  <c r="H66" i="43"/>
  <c r="H61" i="43"/>
  <c r="H65" i="43"/>
  <c r="H60" i="43"/>
  <c r="H64" i="43"/>
  <c r="H59" i="43"/>
  <c r="H63" i="43"/>
  <c r="H67" i="43"/>
  <c r="H55" i="43"/>
  <c r="H51" i="43"/>
  <c r="H56" i="43"/>
  <c r="H76" i="43"/>
  <c r="H77" i="43"/>
  <c r="L20" i="6"/>
  <c r="B6" i="1"/>
  <c r="E6" i="1"/>
  <c r="K11" i="1"/>
  <c r="M11" i="1" s="1"/>
  <c r="AP6" i="1"/>
  <c r="B9" i="1"/>
  <c r="E9" i="1"/>
  <c r="K7" i="1"/>
  <c r="M7" i="1" s="1"/>
  <c r="G1" i="69"/>
  <c r="W23" i="40"/>
  <c r="U32" i="40"/>
  <c r="AB31" i="40"/>
  <c r="S37" i="40"/>
  <c r="AB28" i="40"/>
  <c r="W28" i="40"/>
  <c r="W34" i="40"/>
  <c r="W19" i="40"/>
  <c r="S36" i="40"/>
  <c r="W37" i="40"/>
  <c r="AC14" i="40"/>
  <c r="S33" i="40"/>
  <c r="AA15" i="40"/>
  <c r="U11" i="40"/>
  <c r="S31" i="40"/>
  <c r="AB17" i="40"/>
  <c r="U8" i="40"/>
  <c r="AA39" i="39"/>
  <c r="AC41" i="39"/>
  <c r="AB23" i="39"/>
  <c r="W25" i="39"/>
  <c r="AC25" i="39"/>
  <c r="AA14" i="39"/>
  <c r="U43" i="39"/>
  <c r="AB43" i="39"/>
  <c r="AB11" i="39"/>
  <c r="U11" i="39"/>
  <c r="AA27" i="39"/>
  <c r="S27" i="39"/>
  <c r="AC31" i="39"/>
  <c r="S23" i="39"/>
  <c r="AB39" i="39"/>
  <c r="W34" i="39"/>
  <c r="S8" i="39"/>
  <c r="S28" i="36"/>
  <c r="W29" i="36"/>
  <c r="AC20" i="36"/>
  <c r="AA13" i="36"/>
  <c r="W9" i="36"/>
  <c r="W23" i="36"/>
  <c r="S9" i="36"/>
  <c r="AB20" i="35"/>
  <c r="AC25" i="35"/>
  <c r="U25" i="35"/>
  <c r="S35" i="35"/>
  <c r="W35" i="35"/>
  <c r="S27" i="37"/>
  <c r="W32" i="37"/>
  <c r="U36" i="37"/>
  <c r="AB37" i="37"/>
  <c r="S33" i="37"/>
  <c r="AC34" i="37"/>
  <c r="AB35" i="37"/>
  <c r="AA11" i="37"/>
  <c r="U19" i="37"/>
  <c r="AA8" i="37"/>
  <c r="AA40" i="34"/>
  <c r="AB40" i="34"/>
  <c r="W19" i="34"/>
  <c r="AB33" i="34"/>
  <c r="AC45" i="34"/>
  <c r="AA31" i="34"/>
  <c r="AB45" i="34"/>
  <c r="AB47" i="34"/>
  <c r="U25" i="34"/>
  <c r="W33" i="34"/>
  <c r="AC32" i="34"/>
  <c r="AC46" i="34"/>
  <c r="AA32" i="34"/>
  <c r="AB30" i="34"/>
  <c r="S37" i="34"/>
  <c r="U38" i="34"/>
  <c r="AC40" i="34"/>
  <c r="W40" i="34"/>
  <c r="AA19" i="34"/>
  <c r="S19" i="34"/>
  <c r="AA36" i="34"/>
  <c r="S36" i="34"/>
  <c r="S8" i="34"/>
  <c r="AA46" i="34"/>
  <c r="AB32" i="34"/>
  <c r="AB14" i="34"/>
  <c r="AC43" i="34"/>
  <c r="W43" i="34"/>
  <c r="AA11" i="34"/>
  <c r="W23" i="34"/>
  <c r="AC23" i="34"/>
  <c r="U12" i="34"/>
  <c r="AC37" i="33"/>
  <c r="U39" i="33"/>
  <c r="U38" i="33"/>
  <c r="S33" i="33"/>
  <c r="AB34" i="33"/>
  <c r="U44" i="33"/>
  <c r="AB44" i="33"/>
  <c r="S30" i="33"/>
  <c r="AA30" i="33"/>
  <c r="W14" i="33"/>
  <c r="AA31" i="33"/>
  <c r="AC13" i="33"/>
  <c r="U15" i="33"/>
  <c r="S11" i="33"/>
  <c r="U37" i="33"/>
  <c r="W9" i="33"/>
  <c r="W8" i="33"/>
  <c r="S44" i="21"/>
  <c r="AB42" i="21"/>
  <c r="S45" i="21"/>
  <c r="J101" i="21"/>
  <c r="K101" i="21" s="1"/>
  <c r="L101" i="21" s="1"/>
  <c r="M101" i="21" s="1"/>
  <c r="F33" i="21"/>
  <c r="AA33" i="21" s="1"/>
  <c r="J33" i="21"/>
  <c r="H33" i="21"/>
  <c r="F37" i="21"/>
  <c r="AA37" i="21" s="1"/>
  <c r="AA26" i="21"/>
  <c r="AB14" i="21"/>
  <c r="AB46" i="21"/>
  <c r="U40"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25" i="21"/>
  <c r="AA29" i="21"/>
  <c r="S27" i="21"/>
  <c r="S17" i="21"/>
  <c r="AA15" i="21"/>
  <c r="AC27" i="21"/>
  <c r="AB29" i="21"/>
  <c r="AC34" i="21"/>
  <c r="W10" i="21"/>
  <c r="W12" i="21"/>
  <c r="AB36" i="21"/>
  <c r="W30" i="40"/>
  <c r="C15" i="40"/>
  <c r="C23" i="40"/>
  <c r="U30" i="40"/>
  <c r="B54" i="43"/>
  <c r="B65" i="43"/>
  <c r="B49" i="43"/>
  <c r="B52" i="43"/>
  <c r="B60" i="43"/>
  <c r="B67" i="43"/>
  <c r="D23" i="15"/>
  <c r="D22" i="15"/>
  <c r="E4" i="4"/>
  <c r="C4" i="4"/>
  <c r="K4" i="4" s="1"/>
  <c r="B46" i="48"/>
  <c r="B4" i="72" s="1"/>
  <c r="D68" i="39"/>
  <c r="D70" i="39" s="1"/>
  <c r="C77" i="9"/>
  <c r="S39" i="40"/>
  <c r="S12" i="33"/>
  <c r="AA12" i="33"/>
  <c r="J32" i="39"/>
  <c r="AC32" i="39" s="1"/>
  <c r="I107" i="39"/>
  <c r="J107" i="39" s="1"/>
  <c r="K107" i="39" s="1"/>
  <c r="L107" i="39" s="1"/>
  <c r="M107" i="39" s="1"/>
  <c r="H32" i="39"/>
  <c r="AA32" i="39"/>
  <c r="AA21" i="39"/>
  <c r="AC21" i="39"/>
  <c r="W21" i="39"/>
  <c r="AB9" i="35"/>
  <c r="AA9" i="35"/>
  <c r="S9" i="35"/>
  <c r="S17" i="37"/>
  <c r="J19" i="37"/>
  <c r="G75" i="37"/>
  <c r="S19" i="37"/>
  <c r="AA19" i="37"/>
  <c r="AA23" i="37"/>
  <c r="J23" i="37"/>
  <c r="W23" i="37" s="1"/>
  <c r="J10" i="37"/>
  <c r="AC10" i="37" s="1"/>
  <c r="G63" i="37"/>
  <c r="H63" i="37" s="1"/>
  <c r="H11" i="37"/>
  <c r="G70" i="34"/>
  <c r="H11" i="34"/>
  <c r="AB10" i="34"/>
  <c r="J10" i="34"/>
  <c r="W10" i="34" s="1"/>
  <c r="AB41" i="33"/>
  <c r="U41" i="33"/>
  <c r="W35" i="33"/>
  <c r="AC35" i="33"/>
  <c r="H111" i="33"/>
  <c r="I111" i="33" s="1"/>
  <c r="J111" i="33" s="1"/>
  <c r="K111" i="33" s="1"/>
  <c r="L111" i="33" s="1"/>
  <c r="M111" i="33" s="1"/>
  <c r="J36" i="33"/>
  <c r="AC36" i="33" s="1"/>
  <c r="H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AA23" i="33" s="1"/>
  <c r="AC23" i="33"/>
  <c r="H19" i="33"/>
  <c r="G81" i="33"/>
  <c r="H17" i="33"/>
  <c r="U17" i="33" s="1"/>
  <c r="F17" i="33"/>
  <c r="W17" i="33"/>
  <c r="AC17" i="33"/>
  <c r="U10" i="33"/>
  <c r="AC10" i="33"/>
  <c r="W10" i="33"/>
  <c r="AC37" i="21"/>
  <c r="S37" i="21"/>
  <c r="AA23" i="21"/>
  <c r="AB15" i="21"/>
  <c r="J23" i="21"/>
  <c r="F85" i="21"/>
  <c r="G85" i="21" s="1"/>
  <c r="H23" i="21"/>
  <c r="U23" i="21" s="1"/>
  <c r="S13" i="21"/>
  <c r="D6" i="52"/>
  <c r="J59" i="9"/>
  <c r="J61" i="9" s="1"/>
  <c r="E59" i="34"/>
  <c r="F59" i="34" s="1"/>
  <c r="B5" i="62"/>
  <c r="B73" i="72" s="1"/>
  <c r="AP7" i="1"/>
  <c r="AB45" i="21"/>
  <c r="AC33" i="21"/>
  <c r="W33" i="21"/>
  <c r="W32" i="21"/>
  <c r="AC32" i="21"/>
  <c r="AB9" i="21"/>
  <c r="U9" i="21"/>
  <c r="AA32" i="21"/>
  <c r="AB32" i="21"/>
  <c r="AA10" i="21"/>
  <c r="S10" i="21"/>
  <c r="E6" i="70"/>
  <c r="U32" i="39"/>
  <c r="AB32" i="39"/>
  <c r="W32" i="39"/>
  <c r="W19" i="37"/>
  <c r="AC19" i="37"/>
  <c r="AC23" i="37"/>
  <c r="AB11" i="37"/>
  <c r="U11" i="37"/>
  <c r="I63" i="37"/>
  <c r="J63" i="37" s="1"/>
  <c r="K63" i="37" s="1"/>
  <c r="L63" i="37" s="1"/>
  <c r="M63" i="37"/>
  <c r="J11" i="37"/>
  <c r="W10" i="37"/>
  <c r="U11" i="34"/>
  <c r="AB11" i="34"/>
  <c r="AC10" i="34"/>
  <c r="H70" i="34"/>
  <c r="I70" i="34" s="1"/>
  <c r="J70" i="34" s="1"/>
  <c r="K70" i="34" s="1"/>
  <c r="L70" i="34" s="1"/>
  <c r="M70" i="34" s="1"/>
  <c r="J11" i="34"/>
  <c r="W36" i="33"/>
  <c r="U36" i="33"/>
  <c r="AB36" i="33"/>
  <c r="W27" i="33"/>
  <c r="AC27" i="33"/>
  <c r="W25" i="33"/>
  <c r="AC25" i="33"/>
  <c r="S23" i="33"/>
  <c r="AB19" i="33"/>
  <c r="U19" i="33"/>
  <c r="AA17" i="33"/>
  <c r="S17" i="33"/>
  <c r="AB17" i="33"/>
  <c r="AB23" i="21"/>
  <c r="AC23" i="21"/>
  <c r="W23" i="21"/>
  <c r="G59" i="34"/>
  <c r="H58" i="21"/>
  <c r="I58" i="21" s="1"/>
  <c r="J58" i="21"/>
  <c r="K58" i="21" s="1"/>
  <c r="L58" i="21" s="1"/>
  <c r="AC11" i="37"/>
  <c r="W11" i="37"/>
  <c r="W11" i="34"/>
  <c r="AC11" i="34"/>
  <c r="AE8" i="1"/>
  <c r="AE6" i="1"/>
  <c r="AG6" i="1"/>
  <c r="H109" i="9"/>
  <c r="M49" i="9"/>
  <c r="H110" i="9"/>
  <c r="D18" i="53" s="1"/>
  <c r="B35" i="72" s="1"/>
  <c r="D124" i="9"/>
  <c r="D16" i="53"/>
  <c r="B34" i="72"/>
  <c r="D17" i="53"/>
  <c r="B36" i="72" s="1"/>
  <c r="F7" i="33"/>
  <c r="S7" i="33" s="1"/>
  <c r="AA7" i="33"/>
  <c r="R48" i="33" s="1"/>
  <c r="E48" i="33" s="1"/>
  <c r="E52" i="33"/>
  <c r="F52" i="33" s="1"/>
  <c r="H112" i="9"/>
  <c r="D21" i="53"/>
  <c r="B39" i="72" s="1"/>
  <c r="H111" i="9"/>
  <c r="D126" i="9" s="1"/>
  <c r="D19" i="53"/>
  <c r="D59" i="9"/>
  <c r="M55" i="9"/>
  <c r="I14" i="74"/>
  <c r="B8" i="74" s="1"/>
  <c r="D127" i="9"/>
  <c r="D13" i="52" s="1"/>
  <c r="D12" i="52"/>
  <c r="AD3" i="71"/>
  <c r="B4" i="62"/>
  <c r="B71" i="72" s="1"/>
  <c r="AO11" i="1"/>
  <c r="AO8" i="1"/>
  <c r="B9" i="76"/>
  <c r="E8" i="76"/>
  <c r="D2" i="33"/>
  <c r="E12" i="76"/>
  <c r="E2" i="69"/>
  <c r="D2" i="21"/>
  <c r="B12" i="76"/>
  <c r="AO10" i="1"/>
  <c r="B10" i="76"/>
  <c r="E2" i="68"/>
  <c r="E13" i="76"/>
  <c r="B7" i="76"/>
  <c r="D34" i="9"/>
  <c r="B13" i="76"/>
  <c r="AO6" i="1"/>
  <c r="D2" i="37"/>
  <c r="E7" i="76"/>
  <c r="D2" i="36"/>
  <c r="AO13" i="1"/>
  <c r="D35" i="9"/>
  <c r="D2" i="34"/>
  <c r="E9" i="76"/>
  <c r="E10" i="76"/>
  <c r="AO12" i="1"/>
  <c r="F20" i="31"/>
  <c r="D2" i="35"/>
  <c r="AO9" i="1"/>
  <c r="B11" i="76"/>
  <c r="B8" i="76"/>
  <c r="E11" i="76"/>
  <c r="B41" i="1" l="1"/>
  <c r="M18" i="15" s="1"/>
  <c r="D93" i="9"/>
  <c r="D68" i="9"/>
  <c r="F52" i="9"/>
  <c r="C40" i="69"/>
  <c r="F1" i="67"/>
  <c r="G22" i="11"/>
  <c r="G26" i="12"/>
  <c r="G22" i="68"/>
  <c r="G22" i="69"/>
  <c r="G1" i="67"/>
  <c r="G1" i="15"/>
  <c r="K1" i="12"/>
  <c r="K8" i="1"/>
  <c r="M8" i="1" s="1"/>
  <c r="O8" i="1" s="1"/>
  <c r="L27" i="6"/>
  <c r="BA13" i="3"/>
  <c r="AZ13" i="3" s="1"/>
  <c r="F22" i="43"/>
  <c r="K101" i="43"/>
  <c r="K104" i="43" s="1"/>
  <c r="E101" i="43"/>
  <c r="E107" i="43" s="1"/>
  <c r="AD11" i="43"/>
  <c r="AI11" i="43"/>
  <c r="AI13" i="43" s="1"/>
  <c r="AA11" i="43"/>
  <c r="AA13" i="43" s="1"/>
  <c r="M101" i="43"/>
  <c r="M105" i="43" s="1"/>
  <c r="AH11" i="43"/>
  <c r="Z11" i="43"/>
  <c r="AE11" i="43"/>
  <c r="T11" i="1"/>
  <c r="P10" i="1"/>
  <c r="AR11" i="1"/>
  <c r="N101" i="43"/>
  <c r="N106" i="43" s="1"/>
  <c r="O9" i="1"/>
  <c r="P9" i="1" s="1"/>
  <c r="O7" i="1"/>
  <c r="P7" i="1" s="1"/>
  <c r="C36" i="69"/>
  <c r="AR12" i="1"/>
  <c r="G28" i="6"/>
  <c r="BD5" i="3"/>
  <c r="G8" i="1"/>
  <c r="G12" i="1"/>
  <c r="G10" i="1"/>
  <c r="G11" i="1"/>
  <c r="G9" i="1"/>
  <c r="A2" i="9"/>
  <c r="A4" i="52"/>
  <c r="B41" i="72" s="1"/>
  <c r="D63" i="40"/>
  <c r="C65" i="40"/>
  <c r="R49" i="33"/>
  <c r="H7" i="33"/>
  <c r="AB7" i="33" s="1"/>
  <c r="T48" i="33" s="1"/>
  <c r="G48" i="33" s="1"/>
  <c r="E53" i="33" s="1"/>
  <c r="F53" i="33" s="1"/>
  <c r="J7" i="33"/>
  <c r="B38" i="72"/>
  <c r="D20" i="53"/>
  <c r="B40" i="72" s="1"/>
  <c r="G52" i="33"/>
  <c r="H52" i="33" s="1"/>
  <c r="H14" i="74"/>
  <c r="B7" i="74" s="1"/>
  <c r="D10" i="52"/>
  <c r="D125" i="9"/>
  <c r="D11" i="52" s="1"/>
  <c r="M58" i="21"/>
  <c r="N58" i="21" s="1"/>
  <c r="O58" i="21" s="1"/>
  <c r="L46" i="36"/>
  <c r="M46" i="36" s="1"/>
  <c r="N46" i="36" s="1"/>
  <c r="O46" i="36" s="1"/>
  <c r="W7" i="33"/>
  <c r="AC7" i="33"/>
  <c r="V48" i="33" s="1"/>
  <c r="I48" i="33" s="1"/>
  <c r="L68" i="9"/>
  <c r="M68" i="9" s="1"/>
  <c r="L65" i="9"/>
  <c r="M65" i="9" s="1"/>
  <c r="L66" i="9"/>
  <c r="M66" i="9" s="1"/>
  <c r="L64" i="9"/>
  <c r="M64" i="9" s="1"/>
  <c r="L63" i="9"/>
  <c r="M63" i="9" s="1"/>
  <c r="M69" i="9" s="1"/>
  <c r="N69" i="9" s="1"/>
  <c r="L67" i="9"/>
  <c r="M67" i="9" s="1"/>
  <c r="G48" i="35"/>
  <c r="F52" i="37"/>
  <c r="AZ515" i="3"/>
  <c r="AZ504" i="3"/>
  <c r="H59" i="34"/>
  <c r="U27" i="40"/>
  <c r="AB27" i="40"/>
  <c r="E106" i="43"/>
  <c r="W17" i="37"/>
  <c r="AC17" i="37"/>
  <c r="K103" i="43"/>
  <c r="W39" i="34"/>
  <c r="AC39" i="34"/>
  <c r="S35" i="33"/>
  <c r="AA35" i="33"/>
  <c r="S34" i="33"/>
  <c r="AA34" i="33"/>
  <c r="S19" i="40"/>
  <c r="AA19" i="40"/>
  <c r="AZ511" i="3"/>
  <c r="AZ519" i="3"/>
  <c r="AZ577" i="3"/>
  <c r="AZ508" i="3"/>
  <c r="AZ532" i="3"/>
  <c r="W13" i="34"/>
  <c r="AC13" i="34"/>
  <c r="U14" i="33"/>
  <c r="AB14" i="33"/>
  <c r="U40" i="37"/>
  <c r="AB40" i="37"/>
  <c r="S29" i="37"/>
  <c r="AA29" i="37"/>
  <c r="AB13" i="36"/>
  <c r="U13" i="36"/>
  <c r="U11" i="36"/>
  <c r="AB11" i="36"/>
  <c r="U36" i="34"/>
  <c r="AB36" i="34"/>
  <c r="AB42" i="39"/>
  <c r="U42" i="39"/>
  <c r="AA17" i="39"/>
  <c r="S17" i="39"/>
  <c r="AA26" i="33"/>
  <c r="S26" i="33"/>
  <c r="W26" i="21"/>
  <c r="AC26" i="21"/>
  <c r="BA586" i="3"/>
  <c r="AZ586" i="3" s="1"/>
  <c r="B113" i="43"/>
  <c r="G101" i="43"/>
  <c r="C101" i="43"/>
  <c r="J101" i="43"/>
  <c r="N104" i="46"/>
  <c r="L101" i="43"/>
  <c r="H101" i="43"/>
  <c r="G22" i="43"/>
  <c r="S2" i="43"/>
  <c r="S5" i="43"/>
  <c r="C23" i="43"/>
  <c r="C21" i="43" s="1"/>
  <c r="S4" i="43"/>
  <c r="S7" i="43"/>
  <c r="J22" i="43"/>
  <c r="H28" i="21"/>
  <c r="F28" i="21"/>
  <c r="J28" i="21"/>
  <c r="F28" i="34"/>
  <c r="J28" i="34"/>
  <c r="H28" i="34"/>
  <c r="U12" i="35"/>
  <c r="AB12" i="35"/>
  <c r="U27" i="35"/>
  <c r="AB27" i="35"/>
  <c r="AB9" i="36"/>
  <c r="U9" i="36"/>
  <c r="U12" i="36"/>
  <c r="AB12" i="36"/>
  <c r="AC22" i="36"/>
  <c r="W22" i="36"/>
  <c r="AC28" i="36"/>
  <c r="W28" i="36"/>
  <c r="AC31" i="36"/>
  <c r="W31" i="36"/>
  <c r="U8" i="39"/>
  <c r="AB8" i="39"/>
  <c r="AC9" i="39"/>
  <c r="W9" i="39"/>
  <c r="AC8" i="40"/>
  <c r="W8" i="40"/>
  <c r="AB34" i="40"/>
  <c r="U34" i="40"/>
  <c r="AB38" i="40"/>
  <c r="U38" i="40"/>
  <c r="AB40" i="40"/>
  <c r="U40" i="40"/>
  <c r="H13" i="40"/>
  <c r="J13" i="40"/>
  <c r="F13" i="40"/>
  <c r="BL549" i="3"/>
  <c r="AZ549" i="3" s="1"/>
  <c r="BL541" i="3"/>
  <c r="AZ541" i="3" s="1"/>
  <c r="BA539" i="3"/>
  <c r="AZ539" i="3" s="1"/>
  <c r="BL537" i="3"/>
  <c r="AZ537" i="3" s="1"/>
  <c r="BA535" i="3"/>
  <c r="AZ535" i="3" s="1"/>
  <c r="BL533" i="3"/>
  <c r="AZ533" i="3" s="1"/>
  <c r="BA531" i="3"/>
  <c r="AZ531" i="3" s="1"/>
  <c r="BL529" i="3"/>
  <c r="AZ529" i="3" s="1"/>
  <c r="BA527" i="3"/>
  <c r="AZ527" i="3" s="1"/>
  <c r="BL525" i="3"/>
  <c r="AZ525" i="3" s="1"/>
  <c r="BA523" i="3"/>
  <c r="AZ523" i="3" s="1"/>
  <c r="BL521" i="3"/>
  <c r="AZ521" i="3" s="1"/>
  <c r="BL517" i="3"/>
  <c r="BA517" i="3"/>
  <c r="AZ517" i="3" s="1"/>
  <c r="BL512" i="3"/>
  <c r="AZ512" i="3" s="1"/>
  <c r="BL510" i="3"/>
  <c r="AZ510" i="3" s="1"/>
  <c r="BA507" i="3"/>
  <c r="AZ507" i="3" s="1"/>
  <c r="BL505" i="3"/>
  <c r="AZ505" i="3" s="1"/>
  <c r="BA503" i="3"/>
  <c r="AZ503" i="3" s="1"/>
  <c r="BL501" i="3"/>
  <c r="AZ501" i="3" s="1"/>
  <c r="BL499" i="3"/>
  <c r="BA499" i="3"/>
  <c r="BL497" i="3"/>
  <c r="AZ497" i="3" s="1"/>
  <c r="BL495" i="3"/>
  <c r="BA495" i="3"/>
  <c r="BJ5" i="3"/>
  <c r="H5" i="3"/>
  <c r="G494" i="3"/>
  <c r="BK5" i="3"/>
  <c r="BC5" i="3"/>
  <c r="AB33" i="21"/>
  <c r="U33" i="21"/>
  <c r="M109" i="43"/>
  <c r="C74" i="9"/>
  <c r="H16" i="1"/>
  <c r="AA20" i="36"/>
  <c r="S20" i="36"/>
  <c r="AC27" i="40"/>
  <c r="W27" i="40"/>
  <c r="H83" i="43"/>
  <c r="H82" i="43"/>
  <c r="H81" i="43"/>
  <c r="H88" i="43"/>
  <c r="W11" i="39"/>
  <c r="AC11" i="39"/>
  <c r="U19" i="40"/>
  <c r="AB19" i="40"/>
  <c r="S31" i="37"/>
  <c r="AA31" i="37"/>
  <c r="AB12" i="37"/>
  <c r="U12" i="37"/>
  <c r="S9" i="37"/>
  <c r="AA9" i="37"/>
  <c r="W9" i="37"/>
  <c r="AC9" i="37"/>
  <c r="S11" i="35"/>
  <c r="AA11" i="35"/>
  <c r="S30" i="34"/>
  <c r="AA30" i="34"/>
  <c r="AA45" i="33"/>
  <c r="S45" i="33"/>
  <c r="U29" i="33"/>
  <c r="AB29" i="33"/>
  <c r="S13" i="33"/>
  <c r="AA13" i="33"/>
  <c r="U37" i="34"/>
  <c r="AB37" i="34"/>
  <c r="S16" i="35"/>
  <c r="AA16" i="35"/>
  <c r="W30" i="35"/>
  <c r="AC30" i="35"/>
  <c r="S11" i="21"/>
  <c r="AA11" i="21"/>
  <c r="AA21" i="40"/>
  <c r="S21" i="40"/>
  <c r="H31" i="21"/>
  <c r="J31" i="21"/>
  <c r="F31" i="21"/>
  <c r="J9" i="34"/>
  <c r="H9" i="34"/>
  <c r="F9" i="34"/>
  <c r="J24" i="35"/>
  <c r="F24" i="35"/>
  <c r="H24" i="35"/>
  <c r="J34" i="35"/>
  <c r="H34" i="35"/>
  <c r="F34" i="35"/>
  <c r="J25" i="36"/>
  <c r="F25" i="36"/>
  <c r="H25" i="36"/>
  <c r="AB8" i="37"/>
  <c r="U8" i="37"/>
  <c r="H25" i="37"/>
  <c r="F25" i="37"/>
  <c r="AA40" i="39"/>
  <c r="S40" i="39"/>
  <c r="AB35" i="39"/>
  <c r="U35" i="39"/>
  <c r="H44" i="39"/>
  <c r="J44" i="39"/>
  <c r="J37" i="39"/>
  <c r="F37" i="39"/>
  <c r="H37" i="39"/>
  <c r="AB38" i="39"/>
  <c r="U38" i="39"/>
  <c r="AC32" i="40"/>
  <c r="W32" i="40"/>
  <c r="AZ550" i="3"/>
  <c r="BL540" i="3"/>
  <c r="AZ540" i="3" s="1"/>
  <c r="BL538" i="3"/>
  <c r="AZ538" i="3" s="1"/>
  <c r="BL530" i="3"/>
  <c r="AZ530" i="3" s="1"/>
  <c r="BA528" i="3"/>
  <c r="AZ528" i="3" s="1"/>
  <c r="BA526" i="3"/>
  <c r="AZ526" i="3" s="1"/>
  <c r="BA524" i="3"/>
  <c r="AZ524" i="3" s="1"/>
  <c r="BL522" i="3"/>
  <c r="BA522" i="3"/>
  <c r="AZ522" i="3" s="1"/>
  <c r="G521" i="3"/>
  <c r="BL518" i="3"/>
  <c r="BA518" i="3"/>
  <c r="BA516" i="3"/>
  <c r="AZ516" i="3" s="1"/>
  <c r="BA514" i="3"/>
  <c r="AZ514" i="3" s="1"/>
  <c r="BL513" i="3"/>
  <c r="BA513" i="3"/>
  <c r="BL509" i="3"/>
  <c r="AZ509" i="3" s="1"/>
  <c r="BA506" i="3"/>
  <c r="AZ506" i="3" s="1"/>
  <c r="BL502" i="3"/>
  <c r="AZ502" i="3" s="1"/>
  <c r="BL500" i="3"/>
  <c r="BA500" i="3"/>
  <c r="AZ500" i="3" s="1"/>
  <c r="BL494" i="3"/>
  <c r="BM5" i="3"/>
  <c r="F29" i="6" s="1"/>
  <c r="BF5" i="3"/>
  <c r="BA494" i="3"/>
  <c r="BB5" i="3"/>
  <c r="BS5" i="3"/>
  <c r="F28" i="6" s="1"/>
  <c r="BN5" i="3"/>
  <c r="G29" i="6" s="1"/>
  <c r="G30" i="6" s="1"/>
  <c r="G31" i="6" s="1"/>
  <c r="BL493" i="3"/>
  <c r="AZ493" i="3" s="1"/>
  <c r="BG5" i="3"/>
  <c r="G493" i="3"/>
  <c r="AC5" i="3"/>
  <c r="S22" i="31"/>
  <c r="R22" i="31" s="1"/>
  <c r="B21" i="31" s="1"/>
  <c r="H7" i="21"/>
  <c r="E68" i="39"/>
  <c r="H7" i="36"/>
  <c r="W9" i="21"/>
  <c r="S33" i="21"/>
  <c r="E109" i="43"/>
  <c r="S3" i="43"/>
  <c r="S6" i="43"/>
  <c r="AA19" i="33"/>
  <c r="S36" i="33"/>
  <c r="AB10" i="37"/>
  <c r="AB21" i="39"/>
  <c r="C24" i="12"/>
  <c r="T13" i="1"/>
  <c r="M6" i="1"/>
  <c r="AQ13" i="1"/>
  <c r="AC17" i="21"/>
  <c r="W17" i="21"/>
  <c r="AC28" i="33"/>
  <c r="W30" i="33"/>
  <c r="W46" i="33"/>
  <c r="AB28" i="33"/>
  <c r="AC35" i="34"/>
  <c r="W29" i="34"/>
  <c r="U19" i="34"/>
  <c r="S40" i="37"/>
  <c r="AA35" i="37"/>
  <c r="W33" i="35"/>
  <c r="AB28" i="36"/>
  <c r="AC17" i="39"/>
  <c r="S13" i="39"/>
  <c r="AB41" i="39"/>
  <c r="S8" i="40"/>
  <c r="O11" i="1"/>
  <c r="P11" i="1" s="1"/>
  <c r="H84" i="43"/>
  <c r="Y11" i="43"/>
  <c r="Y13" i="43" s="1"/>
  <c r="AC11" i="43"/>
  <c r="AG11" i="43"/>
  <c r="Z7" i="43"/>
  <c r="AB11" i="43"/>
  <c r="AB13" i="43" s="1"/>
  <c r="AF11" i="43"/>
  <c r="AF13" i="43" s="1"/>
  <c r="AJ11" i="43"/>
  <c r="AJ13" i="43" s="1"/>
  <c r="T12" i="1"/>
  <c r="I101" i="43"/>
  <c r="D101" i="43"/>
  <c r="H22" i="43"/>
  <c r="D121" i="9"/>
  <c r="D7" i="52" s="1"/>
  <c r="K120" i="9"/>
  <c r="A18" i="62" s="1"/>
  <c r="B64" i="72" s="1"/>
  <c r="S43" i="34"/>
  <c r="W25" i="34"/>
  <c r="W9" i="35"/>
  <c r="S22" i="35"/>
  <c r="S23" i="35"/>
  <c r="AC13" i="39"/>
  <c r="S9" i="39"/>
  <c r="S25" i="39"/>
  <c r="AC34" i="33"/>
  <c r="AR9" i="1"/>
  <c r="AQ9" i="1"/>
  <c r="T9" i="1"/>
  <c r="O12" i="1"/>
  <c r="P12" i="1" s="1"/>
  <c r="AQ10" i="1"/>
  <c r="AR10" i="1"/>
  <c r="AB12" i="39"/>
  <c r="U12" i="39"/>
  <c r="S19" i="39"/>
  <c r="E22" i="43"/>
  <c r="F101" i="43"/>
  <c r="W12" i="39"/>
  <c r="H87" i="43"/>
  <c r="AB44" i="34"/>
  <c r="U44" i="34"/>
  <c r="S10" i="33"/>
  <c r="AA10" i="33"/>
  <c r="F27" i="40"/>
  <c r="H73" i="43"/>
  <c r="H75" i="43"/>
  <c r="H70" i="43"/>
  <c r="H72" i="43"/>
  <c r="AZ321" i="3"/>
  <c r="AZ119" i="3"/>
  <c r="AA15" i="39"/>
  <c r="S15" i="39"/>
  <c r="S12" i="39"/>
  <c r="AA12" i="39"/>
  <c r="S36" i="35"/>
  <c r="AA36" i="35"/>
  <c r="W44" i="33"/>
  <c r="AC32" i="36"/>
  <c r="AZ565" i="3"/>
  <c r="AZ569" i="3"/>
  <c r="AZ573" i="3"/>
  <c r="AZ587" i="3"/>
  <c r="AB45" i="33"/>
  <c r="AB46" i="34"/>
  <c r="AB11" i="35"/>
  <c r="AC36" i="37"/>
  <c r="W36" i="37"/>
  <c r="H13" i="39"/>
  <c r="AC14" i="39"/>
  <c r="W14" i="39"/>
  <c r="U13" i="34"/>
  <c r="AB13" i="34"/>
  <c r="S44" i="33"/>
  <c r="AA44" i="33"/>
  <c r="S14" i="33"/>
  <c r="AA14" i="33"/>
  <c r="AC12" i="40"/>
  <c r="AC40" i="37"/>
  <c r="W40" i="37"/>
  <c r="AA11" i="36"/>
  <c r="S11" i="36"/>
  <c r="H32" i="36"/>
  <c r="AC11" i="35"/>
  <c r="W11" i="35"/>
  <c r="W30" i="34"/>
  <c r="AC30" i="34"/>
  <c r="W14" i="34"/>
  <c r="AC14" i="34"/>
  <c r="W45" i="33"/>
  <c r="AC45" i="33"/>
  <c r="AC29" i="33"/>
  <c r="W29" i="33"/>
  <c r="S30" i="35"/>
  <c r="AA30" i="35"/>
  <c r="AA28" i="33"/>
  <c r="S28" i="33"/>
  <c r="U26" i="33"/>
  <c r="AB26" i="33"/>
  <c r="AB15" i="40"/>
  <c r="U15" i="40"/>
  <c r="W17" i="40"/>
  <c r="AC17" i="40"/>
  <c r="U40" i="33"/>
  <c r="AB16" i="36"/>
  <c r="U16" i="36"/>
  <c r="S44" i="39"/>
  <c r="AB40" i="39"/>
  <c r="U40" i="39"/>
  <c r="AB22" i="35"/>
  <c r="U22" i="35"/>
  <c r="W8" i="36"/>
  <c r="B59" i="43"/>
  <c r="C19" i="39"/>
  <c r="B77" i="43"/>
  <c r="C25" i="39"/>
  <c r="B56" i="43"/>
  <c r="B73" i="43"/>
  <c r="B63" i="43"/>
  <c r="B82" i="43"/>
  <c r="C17" i="40"/>
  <c r="B88" i="43"/>
  <c r="C21" i="40"/>
  <c r="AB8" i="35"/>
  <c r="U8" i="35"/>
  <c r="AA28" i="35"/>
  <c r="S28" i="35"/>
  <c r="AC28" i="35"/>
  <c r="W28" i="35"/>
  <c r="F12" i="34"/>
  <c r="J12" i="34"/>
  <c r="J12" i="35"/>
  <c r="F12" i="35"/>
  <c r="J25" i="37"/>
  <c r="AC26" i="37"/>
  <c r="W26" i="37"/>
  <c r="AB29" i="37"/>
  <c r="U29" i="37"/>
  <c r="AA30" i="37"/>
  <c r="S30" i="37"/>
  <c r="AC31" i="37"/>
  <c r="W31" i="37"/>
  <c r="AB14" i="37"/>
  <c r="U14" i="37"/>
  <c r="U27" i="37"/>
  <c r="AB27" i="37"/>
  <c r="F28" i="37"/>
  <c r="J28" i="37"/>
  <c r="H28" i="37"/>
  <c r="H38" i="37"/>
  <c r="J38" i="37"/>
  <c r="F38" i="37"/>
  <c r="S40" i="33"/>
  <c r="AA40" i="33"/>
  <c r="S38" i="34"/>
  <c r="AA38" i="34"/>
  <c r="S42" i="34"/>
  <c r="AA42" i="34"/>
  <c r="C79" i="35"/>
  <c r="H26" i="35" s="1"/>
  <c r="F26" i="35"/>
  <c r="J26" i="35"/>
  <c r="BL581" i="3"/>
  <c r="BA581" i="3"/>
  <c r="BA580" i="3"/>
  <c r="AZ580" i="3" s="1"/>
  <c r="BL579" i="3"/>
  <c r="BA579" i="3"/>
  <c r="BL578" i="3"/>
  <c r="BA578" i="3"/>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AB30" i="35"/>
  <c r="U30" i="35"/>
  <c r="BL585" i="3"/>
  <c r="AZ585" i="3" s="1"/>
  <c r="B71" i="43"/>
  <c r="C21" i="39"/>
  <c r="AC40" i="33"/>
  <c r="W40" i="33"/>
  <c r="W8" i="35"/>
  <c r="AC8" i="35"/>
  <c r="H36" i="35"/>
  <c r="J36" i="35"/>
  <c r="U8" i="36"/>
  <c r="AB8" i="36"/>
  <c r="H34" i="36"/>
  <c r="J34" i="36"/>
  <c r="H33" i="36"/>
  <c r="F33" i="36"/>
  <c r="AA10" i="37"/>
  <c r="S10" i="37"/>
  <c r="AB9" i="39"/>
  <c r="U9" i="39"/>
  <c r="H31" i="39"/>
  <c r="F31" i="39"/>
  <c r="H45" i="39"/>
  <c r="F45" i="39"/>
  <c r="J45" i="39"/>
  <c r="W9" i="40"/>
  <c r="AC9" i="40"/>
  <c r="AA34" i="40"/>
  <c r="S34" i="40"/>
  <c r="AA40" i="40"/>
  <c r="S40" i="40"/>
  <c r="W40" i="40"/>
  <c r="AC40" i="40"/>
  <c r="AB34" i="37"/>
  <c r="U34" i="37"/>
  <c r="W31" i="35"/>
  <c r="AC31" i="35"/>
  <c r="AA30" i="36"/>
  <c r="S30" i="36"/>
  <c r="AC30" i="36"/>
  <c r="W30" i="36"/>
  <c r="J35" i="39"/>
  <c r="F35" i="39"/>
  <c r="G551" i="3"/>
  <c r="BL548" i="3"/>
  <c r="BL5" i="3" s="1"/>
  <c r="O17" i="43"/>
  <c r="M17" i="43"/>
  <c r="N17" i="43"/>
  <c r="L17" i="43"/>
  <c r="G17" i="43" s="1"/>
  <c r="C16" i="43" s="1"/>
  <c r="E17" i="43"/>
  <c r="X7" i="43"/>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7" i="3"/>
  <c r="AZ22" i="3"/>
  <c r="AZ25" i="3"/>
  <c r="AZ54" i="3"/>
  <c r="AZ57" i="3"/>
  <c r="AZ70" i="3"/>
  <c r="AZ92" i="3"/>
  <c r="AZ103" i="3"/>
  <c r="E13" i="71"/>
  <c r="E12" i="71" s="1"/>
  <c r="V14" i="71"/>
  <c r="C14" i="71"/>
  <c r="Y12" i="71"/>
  <c r="Z12" i="71" s="1"/>
  <c r="Y13" i="71"/>
  <c r="Z13" i="71" s="1"/>
  <c r="Y14" i="71"/>
  <c r="Z14" i="71" s="1"/>
  <c r="X12" i="71"/>
  <c r="X14" i="71"/>
  <c r="E16" i="71"/>
  <c r="E17" i="71" s="1"/>
  <c r="E18" i="71" s="1"/>
  <c r="U18" i="71" s="1"/>
  <c r="AA15" i="71"/>
  <c r="AB16" i="71"/>
  <c r="AB12" i="71"/>
  <c r="AB14" i="71"/>
  <c r="Y21" i="71"/>
  <c r="Z21" i="71" s="1"/>
  <c r="Y19" i="71"/>
  <c r="Z19" i="71" s="1"/>
  <c r="B24" i="71"/>
  <c r="B25" i="71" s="1"/>
  <c r="B26" i="71" s="1"/>
  <c r="S26" i="71" s="1"/>
  <c r="X23" i="71"/>
  <c r="AB24" i="71"/>
  <c r="AB23" i="71"/>
  <c r="P54" i="71"/>
  <c r="U54" i="71"/>
  <c r="U62" i="71"/>
  <c r="E61" i="71"/>
  <c r="E60" i="71" s="1"/>
  <c r="AC12" i="43"/>
  <c r="AC10" i="43"/>
  <c r="AE12" i="43"/>
  <c r="AE10" i="43"/>
  <c r="AG12" i="43"/>
  <c r="AG10" i="43"/>
  <c r="B9" i="71"/>
  <c r="B8" i="71" s="1"/>
  <c r="B7" i="71" s="1"/>
  <c r="B6" i="71" s="1"/>
  <c r="S10" i="71"/>
  <c r="Y10" i="71"/>
  <c r="Z10" i="71" s="1"/>
  <c r="Y11" i="71"/>
  <c r="Z11" i="71" s="1"/>
  <c r="AA10" i="71"/>
  <c r="AB10" i="71"/>
  <c r="Y9" i="71"/>
  <c r="Z9" i="71" s="1"/>
  <c r="AA9" i="71"/>
  <c r="AB9" i="71"/>
  <c r="X9" i="71"/>
  <c r="M100" i="43"/>
  <c r="I100" i="43"/>
  <c r="E100" i="43"/>
  <c r="D100" i="43"/>
  <c r="D23" i="67"/>
  <c r="U29" i="39"/>
  <c r="S21" i="34"/>
  <c r="C25" i="40"/>
  <c r="B75" i="43"/>
  <c r="B66" i="43"/>
  <c r="C29" i="39"/>
  <c r="AA18" i="35"/>
  <c r="S18" i="35"/>
  <c r="AA29" i="39"/>
  <c r="S29" i="39"/>
  <c r="D46" i="71"/>
  <c r="C18" i="71"/>
  <c r="C38" i="71"/>
  <c r="D65" i="71"/>
  <c r="AA13" i="71"/>
  <c r="AB13" i="71"/>
  <c r="E53" i="71"/>
  <c r="AA12" i="71"/>
  <c r="AA14" i="71"/>
  <c r="X13" i="71"/>
  <c r="Y3" i="71"/>
  <c r="Z3" i="71" s="1"/>
  <c r="X21" i="71"/>
  <c r="AB15" i="71"/>
  <c r="Y16" i="71"/>
  <c r="Z16" i="71" s="1"/>
  <c r="Y17" i="71"/>
  <c r="Z17" i="71" s="1"/>
  <c r="AB17" i="71"/>
  <c r="X17" i="71"/>
  <c r="X18" i="71"/>
  <c r="AB18" i="71"/>
  <c r="AB20" i="71"/>
  <c r="AB19" i="71"/>
  <c r="AA21" i="71"/>
  <c r="AA22" i="71"/>
  <c r="C33" i="71"/>
  <c r="D33" i="71" s="1"/>
  <c r="D32" i="71"/>
  <c r="B37" i="71"/>
  <c r="B38" i="71" s="1"/>
  <c r="S38" i="71" s="1"/>
  <c r="AI10" i="43"/>
  <c r="L1" i="73"/>
  <c r="J1" i="73"/>
  <c r="X10" i="71"/>
  <c r="Y8" i="71"/>
  <c r="Z8" i="71" s="1"/>
  <c r="Y7" i="71"/>
  <c r="Z7" i="71" s="1"/>
  <c r="AB8" i="71"/>
  <c r="X8" i="71"/>
  <c r="AA7" i="71"/>
  <c r="AA8" i="71"/>
  <c r="AA5" i="71"/>
  <c r="AA3" i="71"/>
  <c r="AB7" i="71"/>
  <c r="AB6" i="71"/>
  <c r="AB5" i="71"/>
  <c r="V54" i="71"/>
  <c r="F53" i="71"/>
  <c r="Z12" i="43"/>
  <c r="Z10" i="43"/>
  <c r="AD12" i="43"/>
  <c r="AD10" i="43"/>
  <c r="AH12" i="43"/>
  <c r="AH10" i="43"/>
  <c r="F9" i="71"/>
  <c r="F8" i="71" s="1"/>
  <c r="C9" i="71"/>
  <c r="T10" i="71"/>
  <c r="D10" i="71"/>
  <c r="U10" i="71" s="1"/>
  <c r="X7" i="71"/>
  <c r="Y5" i="71"/>
  <c r="Z5" i="71" s="1"/>
  <c r="X6" i="71"/>
  <c r="AA6" i="71"/>
  <c r="X5" i="71"/>
  <c r="C20" i="43"/>
  <c r="F7" i="71"/>
  <c r="F6" i="71" s="1"/>
  <c r="F5" i="71" s="1"/>
  <c r="Y6" i="71"/>
  <c r="Z6" i="71" s="1"/>
  <c r="B7" i="49"/>
  <c r="E7" i="49"/>
  <c r="B15" i="49"/>
  <c r="AB3" i="71"/>
  <c r="X3" i="71"/>
  <c r="E7" i="71"/>
  <c r="E6"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B10" i="70"/>
  <c r="B13" i="70"/>
  <c r="B8" i="70"/>
  <c r="B20" i="31"/>
  <c r="B11" i="70"/>
  <c r="B12" i="70"/>
  <c r="B9" i="70"/>
  <c r="F6" i="67"/>
  <c r="F42" i="67"/>
  <c r="M8" i="67"/>
  <c r="F37" i="67"/>
  <c r="M28" i="67"/>
  <c r="M27" i="67"/>
  <c r="L48" i="67"/>
  <c r="F16" i="67"/>
  <c r="M26" i="67"/>
  <c r="M6" i="67"/>
  <c r="M24" i="67"/>
  <c r="F26" i="67"/>
  <c r="M29" i="67"/>
  <c r="M21" i="67"/>
  <c r="F7" i="67"/>
  <c r="F35" i="67"/>
  <c r="F36" i="67"/>
  <c r="M8" i="15"/>
  <c r="F38" i="15"/>
  <c r="M9" i="15"/>
  <c r="F16" i="15"/>
  <c r="C76" i="15"/>
  <c r="F36" i="15"/>
  <c r="L47" i="15"/>
  <c r="F6" i="15"/>
  <c r="F9" i="15"/>
  <c r="M27" i="15"/>
  <c r="M24" i="15"/>
  <c r="M26" i="15"/>
  <c r="F42" i="15"/>
  <c r="M29" i="15"/>
  <c r="F26" i="15"/>
  <c r="F9" i="67"/>
  <c r="L47" i="67"/>
  <c r="F8" i="15"/>
  <c r="M22" i="67"/>
  <c r="L48" i="15"/>
  <c r="F13" i="15"/>
  <c r="M6" i="15"/>
  <c r="F13" i="67"/>
  <c r="C76" i="67"/>
  <c r="F43" i="15"/>
  <c r="F40" i="67"/>
  <c r="J15" i="15"/>
  <c r="M17" i="67"/>
  <c r="F37" i="15"/>
  <c r="M28" i="15"/>
  <c r="M23" i="15"/>
  <c r="F7" i="15"/>
  <c r="F38" i="67"/>
  <c r="M9" i="67"/>
  <c r="F43" i="67"/>
  <c r="F8" i="67"/>
  <c r="M23" i="67"/>
  <c r="J15" i="67"/>
  <c r="M22" i="15"/>
  <c r="F40" i="15"/>
  <c r="F41" i="67"/>
  <c r="F31" i="15"/>
  <c r="C16" i="15"/>
  <c r="F31" i="67"/>
  <c r="F32" i="15" l="1"/>
  <c r="F60" i="15" s="1"/>
  <c r="F32" i="67"/>
  <c r="F60" i="67" s="1"/>
  <c r="F53" i="9"/>
  <c r="F30" i="11"/>
  <c r="F31" i="12"/>
  <c r="F30" i="69"/>
  <c r="F54" i="9"/>
  <c r="F30" i="68"/>
  <c r="F28" i="67"/>
  <c r="C28" i="67" s="1"/>
  <c r="M18" i="67"/>
  <c r="F28" i="15"/>
  <c r="C28" i="15" s="1"/>
  <c r="J53" i="15"/>
  <c r="L56" i="15" s="1"/>
  <c r="P8" i="1"/>
  <c r="K106" i="43"/>
  <c r="Q16" i="1"/>
  <c r="F27" i="69" s="1"/>
  <c r="K105" i="43"/>
  <c r="E105" i="43"/>
  <c r="M106" i="43"/>
  <c r="N59" i="15"/>
  <c r="M59" i="15"/>
  <c r="L59" i="15" s="1"/>
  <c r="Q61" i="15" s="1"/>
  <c r="F64" i="15"/>
  <c r="Q71" i="15"/>
  <c r="F66" i="15"/>
  <c r="F64" i="67"/>
  <c r="C34" i="67"/>
  <c r="F63" i="67"/>
  <c r="C62" i="67" s="1"/>
  <c r="F50" i="67"/>
  <c r="M7" i="67"/>
  <c r="J6" i="67" s="1"/>
  <c r="J20" i="67"/>
  <c r="C27" i="67"/>
  <c r="J57" i="67"/>
  <c r="J55" i="67" s="1"/>
  <c r="J58" i="67" s="1"/>
  <c r="Q50" i="67" s="1"/>
  <c r="I54" i="67"/>
  <c r="L56" i="67"/>
  <c r="F65" i="67"/>
  <c r="F70" i="67"/>
  <c r="Z13" i="43"/>
  <c r="E104" i="43"/>
  <c r="M107" i="43"/>
  <c r="M103" i="43"/>
  <c r="M102" i="43"/>
  <c r="E103" i="43"/>
  <c r="E102" i="43"/>
  <c r="M104" i="43"/>
  <c r="AH13" i="43"/>
  <c r="AD13" i="43"/>
  <c r="AE13" i="43"/>
  <c r="K107" i="43"/>
  <c r="K109" i="43"/>
  <c r="K102" i="43"/>
  <c r="N109" i="43"/>
  <c r="AG13" i="43"/>
  <c r="AC13" i="43"/>
  <c r="D22" i="43"/>
  <c r="N103" i="43"/>
  <c r="N105" i="43"/>
  <c r="N107" i="43"/>
  <c r="N104" i="43"/>
  <c r="N102" i="43"/>
  <c r="E8" i="6"/>
  <c r="E5" i="6"/>
  <c r="G16" i="1"/>
  <c r="F10" i="40" s="1"/>
  <c r="J7" i="21"/>
  <c r="F7" i="36"/>
  <c r="S7" i="36" s="1"/>
  <c r="J7" i="36"/>
  <c r="F7" i="21"/>
  <c r="S7" i="21" s="1"/>
  <c r="U7" i="33"/>
  <c r="C49" i="33"/>
  <c r="C48" i="33"/>
  <c r="D65" i="40"/>
  <c r="E63" i="40"/>
  <c r="F69" i="67"/>
  <c r="F68" i="15"/>
  <c r="C6" i="67"/>
  <c r="F51" i="67"/>
  <c r="F71" i="67"/>
  <c r="F66" i="67"/>
  <c r="M7" i="15"/>
  <c r="F50" i="15"/>
  <c r="F65" i="15"/>
  <c r="F68" i="67"/>
  <c r="F71" i="15"/>
  <c r="Q71" i="67"/>
  <c r="J57" i="15"/>
  <c r="J55" i="15" s="1"/>
  <c r="J58" i="15" s="1"/>
  <c r="Q50" i="15" s="1"/>
  <c r="L58" i="15"/>
  <c r="Q60" i="15" s="1"/>
  <c r="I54" i="15"/>
  <c r="C6" i="15"/>
  <c r="F51" i="15"/>
  <c r="L59" i="67"/>
  <c r="Q61" i="67" s="1"/>
  <c r="N59" i="67"/>
  <c r="M59" i="67"/>
  <c r="L58" i="67"/>
  <c r="Q73" i="67" s="1"/>
  <c r="C27" i="15"/>
  <c r="F30" i="6"/>
  <c r="E28" i="6"/>
  <c r="D5" i="43"/>
  <c r="C5" i="43"/>
  <c r="E5" i="71"/>
  <c r="V6" i="71"/>
  <c r="C8" i="71"/>
  <c r="D9" i="71"/>
  <c r="Q53" i="71"/>
  <c r="F52" i="71"/>
  <c r="E52" i="71"/>
  <c r="P53" i="71"/>
  <c r="T38" i="71"/>
  <c r="D38" i="71"/>
  <c r="C13" i="71"/>
  <c r="T14" i="71"/>
  <c r="D14" i="71"/>
  <c r="U14" i="71" s="1"/>
  <c r="W35" i="39"/>
  <c r="AC35" i="39"/>
  <c r="S45" i="39"/>
  <c r="AA45" i="39"/>
  <c r="AA31" i="39"/>
  <c r="S31" i="39"/>
  <c r="AA33" i="36"/>
  <c r="S33" i="36"/>
  <c r="AC34" i="36"/>
  <c r="W34" i="36"/>
  <c r="W36" i="35"/>
  <c r="AC36" i="35"/>
  <c r="AA26" i="35"/>
  <c r="S26" i="35"/>
  <c r="S38" i="37"/>
  <c r="AA38" i="37"/>
  <c r="U38" i="37"/>
  <c r="AB38" i="37"/>
  <c r="W28" i="37"/>
  <c r="AC28" i="37"/>
  <c r="AC25" i="37"/>
  <c r="W25" i="37"/>
  <c r="W12" i="35"/>
  <c r="AC12" i="35"/>
  <c r="S12" i="34"/>
  <c r="AA12" i="34"/>
  <c r="BA5" i="3"/>
  <c r="S27" i="40"/>
  <c r="AA27" i="40"/>
  <c r="D109" i="43"/>
  <c r="D105" i="43"/>
  <c r="D106" i="43"/>
  <c r="D102" i="43"/>
  <c r="D103" i="43"/>
  <c r="D107" i="43"/>
  <c r="D104" i="43"/>
  <c r="O6" i="1"/>
  <c r="AB7" i="36"/>
  <c r="T36" i="36" s="1"/>
  <c r="G36" i="36" s="1"/>
  <c r="U7" i="36"/>
  <c r="U7" i="21"/>
  <c r="AB7" i="21"/>
  <c r="T48" i="21" s="1"/>
  <c r="G48" i="21" s="1"/>
  <c r="AZ494" i="3"/>
  <c r="AZ5" i="3" s="1"/>
  <c r="E29" i="6"/>
  <c r="K15" i="1" s="1"/>
  <c r="AZ513" i="3"/>
  <c r="AZ518" i="3"/>
  <c r="AA37" i="39"/>
  <c r="S37" i="39"/>
  <c r="AC44" i="39"/>
  <c r="W44" i="39"/>
  <c r="AA25" i="37"/>
  <c r="S25" i="37"/>
  <c r="U25" i="36"/>
  <c r="AB25" i="36"/>
  <c r="W25" i="36"/>
  <c r="AC25" i="36"/>
  <c r="AB34" i="35"/>
  <c r="U34" i="35"/>
  <c r="AB24" i="35"/>
  <c r="U24" i="35"/>
  <c r="AC24" i="35"/>
  <c r="W24" i="35"/>
  <c r="AB9" i="34"/>
  <c r="U9" i="34"/>
  <c r="AA31" i="21"/>
  <c r="S31" i="21"/>
  <c r="U31" i="21"/>
  <c r="AB31" i="21"/>
  <c r="AZ495" i="3"/>
  <c r="AZ499" i="3"/>
  <c r="AC13" i="40"/>
  <c r="W13" i="40"/>
  <c r="U28" i="34"/>
  <c r="AB28" i="34"/>
  <c r="AA28" i="34"/>
  <c r="S28" i="34"/>
  <c r="S28" i="21"/>
  <c r="AA28" i="21"/>
  <c r="L106" i="43"/>
  <c r="L107" i="43"/>
  <c r="L103" i="43"/>
  <c r="L105" i="43"/>
  <c r="L109" i="43"/>
  <c r="L102" i="43"/>
  <c r="L104" i="43"/>
  <c r="J107" i="43"/>
  <c r="J102" i="43"/>
  <c r="J109" i="43"/>
  <c r="J103" i="43"/>
  <c r="J104" i="43"/>
  <c r="J105" i="43"/>
  <c r="J106" i="43"/>
  <c r="G107" i="43"/>
  <c r="G104" i="43"/>
  <c r="G106" i="43"/>
  <c r="G102" i="43"/>
  <c r="G103" i="43"/>
  <c r="G105" i="43"/>
  <c r="G109" i="43"/>
  <c r="AZ548" i="3"/>
  <c r="H48" i="35"/>
  <c r="AA7" i="36"/>
  <c r="R36" i="36" s="1"/>
  <c r="I53" i="33"/>
  <c r="J53" i="33" s="1"/>
  <c r="I52" i="33"/>
  <c r="J52" i="33" s="1"/>
  <c r="G53" i="33"/>
  <c r="H53" i="33" s="1"/>
  <c r="W7" i="36"/>
  <c r="AC7" i="36"/>
  <c r="V36" i="36" s="1"/>
  <c r="I36" i="36" s="1"/>
  <c r="T18" i="71"/>
  <c r="D18" i="71"/>
  <c r="B5" i="71"/>
  <c r="S6" i="71"/>
  <c r="AA35" i="39"/>
  <c r="S35" i="39"/>
  <c r="W45" i="39"/>
  <c r="AC45" i="39"/>
  <c r="AB45" i="39"/>
  <c r="U45" i="39"/>
  <c r="U31" i="39"/>
  <c r="AB31" i="39"/>
  <c r="AB33" i="36"/>
  <c r="U33" i="36"/>
  <c r="AB34" i="36"/>
  <c r="U34" i="36"/>
  <c r="U36" i="35"/>
  <c r="AB36" i="35"/>
  <c r="AZ562" i="3"/>
  <c r="AZ563" i="3"/>
  <c r="AZ578" i="3"/>
  <c r="AZ579" i="3"/>
  <c r="AZ581" i="3"/>
  <c r="AC26" i="35"/>
  <c r="W26" i="35"/>
  <c r="AB26" i="35"/>
  <c r="U26" i="35"/>
  <c r="W38" i="37"/>
  <c r="AC38" i="37"/>
  <c r="AB28" i="37"/>
  <c r="U28" i="37"/>
  <c r="S28" i="37"/>
  <c r="AA28" i="37"/>
  <c r="S12" i="35"/>
  <c r="AA12" i="35"/>
  <c r="W12" i="34"/>
  <c r="AC12" i="34"/>
  <c r="AB32" i="36"/>
  <c r="U32" i="36"/>
  <c r="U13" i="39"/>
  <c r="AB13" i="39"/>
  <c r="F104" i="43"/>
  <c r="F102" i="43"/>
  <c r="F105" i="43"/>
  <c r="F109" i="43"/>
  <c r="F106" i="43"/>
  <c r="F103" i="43"/>
  <c r="F107" i="43"/>
  <c r="I109" i="43"/>
  <c r="I104" i="43"/>
  <c r="I107" i="43"/>
  <c r="I105" i="43"/>
  <c r="I106" i="43"/>
  <c r="I102" i="43"/>
  <c r="I103" i="43"/>
  <c r="F68" i="39"/>
  <c r="E70" i="39"/>
  <c r="E12" i="6"/>
  <c r="E13" i="6"/>
  <c r="E11" i="6"/>
  <c r="E14" i="6"/>
  <c r="E15" i="6"/>
  <c r="E10" i="6"/>
  <c r="U37" i="39"/>
  <c r="AB37" i="39"/>
  <c r="AC37" i="39"/>
  <c r="W37" i="39"/>
  <c r="U44" i="39"/>
  <c r="AB44" i="39"/>
  <c r="U25" i="37"/>
  <c r="AB25" i="37"/>
  <c r="S25" i="36"/>
  <c r="AA25" i="36"/>
  <c r="S34" i="35"/>
  <c r="AA34" i="35"/>
  <c r="W34" i="35"/>
  <c r="AC34" i="35"/>
  <c r="S24" i="35"/>
  <c r="AA24" i="35"/>
  <c r="AA9" i="34"/>
  <c r="S9" i="34"/>
  <c r="W9" i="34"/>
  <c r="AC9" i="34"/>
  <c r="AC31" i="21"/>
  <c r="W31" i="21"/>
  <c r="S13" i="40"/>
  <c r="AA13" i="40"/>
  <c r="U13" i="40"/>
  <c r="AB13" i="40"/>
  <c r="W28" i="34"/>
  <c r="AC28" i="34"/>
  <c r="AC28" i="21"/>
  <c r="W28" i="21"/>
  <c r="AB28" i="21"/>
  <c r="U28" i="21"/>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G5" i="3"/>
  <c r="B3" i="3" s="1"/>
  <c r="E521" i="3" s="1"/>
  <c r="W7" i="21"/>
  <c r="AC7" i="21"/>
  <c r="V48" i="21" s="1"/>
  <c r="I48" i="21" s="1"/>
  <c r="I59" i="34"/>
  <c r="G52" i="37"/>
  <c r="AA7" i="21"/>
  <c r="R48" i="21" s="1"/>
  <c r="P23" i="43"/>
  <c r="B71" i="39" s="1"/>
  <c r="P25" i="43"/>
  <c r="C14" i="67"/>
  <c r="C16" i="67"/>
  <c r="F59" i="15"/>
  <c r="D3" i="73"/>
  <c r="D5" i="73"/>
  <c r="D4" i="73"/>
  <c r="F4" i="73"/>
  <c r="F6" i="73"/>
  <c r="F3" i="73"/>
  <c r="F59" i="67"/>
  <c r="C17" i="67"/>
  <c r="M17" i="15"/>
  <c r="D6" i="73"/>
  <c r="D7" i="73"/>
  <c r="F7" i="73"/>
  <c r="F5" i="73"/>
  <c r="C30" i="68" l="1"/>
  <c r="C48" i="68"/>
  <c r="C30" i="69"/>
  <c r="C48" i="69"/>
  <c r="C48" i="11"/>
  <c r="C30" i="11"/>
  <c r="C49" i="15"/>
  <c r="Q52" i="15"/>
  <c r="F1" i="15"/>
  <c r="F28" i="12"/>
  <c r="C29" i="12" s="1"/>
  <c r="D28" i="12" s="1"/>
  <c r="F27" i="68"/>
  <c r="C29" i="68" s="1"/>
  <c r="D27" i="68" s="1"/>
  <c r="Q74" i="15"/>
  <c r="F27" i="11"/>
  <c r="C29" i="11" s="1"/>
  <c r="D27" i="11" s="1"/>
  <c r="F10" i="39"/>
  <c r="AA10" i="39" s="1"/>
  <c r="H10" i="39"/>
  <c r="AB10" i="39" s="1"/>
  <c r="J10" i="39"/>
  <c r="W10" i="39" s="1"/>
  <c r="D9" i="11"/>
  <c r="C9" i="11" s="1"/>
  <c r="D9" i="69"/>
  <c r="C9" i="69" s="1"/>
  <c r="D19" i="12"/>
  <c r="C19" i="12" s="1"/>
  <c r="D9" i="68"/>
  <c r="C9" i="68" s="1"/>
  <c r="E51" i="40"/>
  <c r="E56" i="39"/>
  <c r="F27" i="6"/>
  <c r="E16" i="6"/>
  <c r="J10" i="40"/>
  <c r="W10" i="40" s="1"/>
  <c r="H10" i="40"/>
  <c r="AB10" i="40" s="1"/>
  <c r="Q60" i="67"/>
  <c r="Q74" i="67"/>
  <c r="Q73" i="15"/>
  <c r="E65" i="40"/>
  <c r="F63" i="40"/>
  <c r="I1" i="73"/>
  <c r="B39" i="1" s="1"/>
  <c r="E20" i="43"/>
  <c r="K1" i="73"/>
  <c r="C18" i="67"/>
  <c r="C15" i="67"/>
  <c r="AY6" i="3"/>
  <c r="E3" i="6"/>
  <c r="J59" i="34"/>
  <c r="K59" i="34" s="1"/>
  <c r="L59" i="34" s="1"/>
  <c r="M59" i="34" s="1"/>
  <c r="N59" i="34" s="1"/>
  <c r="O59" i="34" s="1"/>
  <c r="F7" i="34"/>
  <c r="I52" i="21"/>
  <c r="J52" i="21" s="1"/>
  <c r="E59" i="40"/>
  <c r="E64" i="39"/>
  <c r="E63" i="39"/>
  <c r="E58" i="40"/>
  <c r="I40" i="36"/>
  <c r="J40" i="36" s="1"/>
  <c r="S10" i="39"/>
  <c r="G53" i="21"/>
  <c r="H53" i="21" s="1"/>
  <c r="G52" i="21"/>
  <c r="H52" i="21" s="1"/>
  <c r="E48" i="21"/>
  <c r="R49" i="21"/>
  <c r="E53" i="3"/>
  <c r="E175" i="3"/>
  <c r="E217" i="3"/>
  <c r="E366" i="3"/>
  <c r="E343" i="3"/>
  <c r="E268" i="3"/>
  <c r="E153" i="3"/>
  <c r="E282" i="3"/>
  <c r="E322" i="3"/>
  <c r="E426" i="3"/>
  <c r="N6" i="3"/>
  <c r="AJ6" i="3"/>
  <c r="E328" i="3"/>
  <c r="E329" i="3"/>
  <c r="E347" i="3"/>
  <c r="E545" i="3"/>
  <c r="AA6" i="3"/>
  <c r="X6" i="3"/>
  <c r="E399" i="3"/>
  <c r="E461" i="3"/>
  <c r="E280" i="3"/>
  <c r="E227" i="3"/>
  <c r="E246" i="3"/>
  <c r="E205" i="3"/>
  <c r="E124" i="3"/>
  <c r="E165" i="3"/>
  <c r="E293" i="3"/>
  <c r="E128" i="3"/>
  <c r="E270" i="3"/>
  <c r="E311" i="3"/>
  <c r="E358" i="3"/>
  <c r="S6" i="3"/>
  <c r="AR6" i="3"/>
  <c r="E570" i="3"/>
  <c r="M6" i="3"/>
  <c r="V6" i="3"/>
  <c r="AB6" i="3"/>
  <c r="E418" i="3"/>
  <c r="E407" i="3"/>
  <c r="E439" i="3"/>
  <c r="E387" i="3"/>
  <c r="E338" i="3"/>
  <c r="E320" i="3"/>
  <c r="E380" i="3"/>
  <c r="E294" i="3"/>
  <c r="E231" i="3"/>
  <c r="E215" i="3"/>
  <c r="E298" i="3"/>
  <c r="E230" i="3"/>
  <c r="E216" i="3"/>
  <c r="E169" i="3"/>
  <c r="E130" i="3"/>
  <c r="E185" i="3"/>
  <c r="E134" i="3"/>
  <c r="E61" i="3"/>
  <c r="E254" i="3"/>
  <c r="E135" i="3"/>
  <c r="E91" i="3"/>
  <c r="E290" i="3"/>
  <c r="E221" i="3"/>
  <c r="E180" i="3"/>
  <c r="E117" i="3"/>
  <c r="E149" i="3"/>
  <c r="E207" i="3"/>
  <c r="E77" i="3"/>
  <c r="E252" i="3"/>
  <c r="E212" i="3"/>
  <c r="E271" i="3"/>
  <c r="E253" i="3"/>
  <c r="E204" i="3"/>
  <c r="E167" i="3"/>
  <c r="E199" i="3"/>
  <c r="E164" i="3"/>
  <c r="E107" i="3"/>
  <c r="E313" i="3"/>
  <c r="E369" i="3"/>
  <c r="E330" i="3"/>
  <c r="E393" i="3"/>
  <c r="K6" i="3"/>
  <c r="Q6" i="3"/>
  <c r="E573" i="3"/>
  <c r="T6" i="3"/>
  <c r="E405" i="3"/>
  <c r="E437" i="3"/>
  <c r="E427" i="3"/>
  <c r="E458" i="3"/>
  <c r="E456" i="3"/>
  <c r="E472" i="3"/>
  <c r="E486" i="3"/>
  <c r="E474" i="3"/>
  <c r="E469" i="3"/>
  <c r="E481" i="3"/>
  <c r="E406" i="3"/>
  <c r="E422" i="3"/>
  <c r="E438" i="3"/>
  <c r="E408" i="3"/>
  <c r="E424" i="3"/>
  <c r="E440" i="3"/>
  <c r="E457" i="3"/>
  <c r="E451" i="3"/>
  <c r="E465" i="3"/>
  <c r="E490" i="3"/>
  <c r="E288" i="3"/>
  <c r="E360" i="3"/>
  <c r="E344"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E237" i="3"/>
  <c r="E261" i="3"/>
  <c r="E565" i="3"/>
  <c r="E183" i="3"/>
  <c r="E213" i="3"/>
  <c r="E361" i="3"/>
  <c r="E302" i="3"/>
  <c r="O6" i="3"/>
  <c r="E555" i="3"/>
  <c r="E574" i="3"/>
  <c r="E410" i="3"/>
  <c r="E337" i="3"/>
  <c r="E285" i="3"/>
  <c r="E143" i="3"/>
  <c r="E97" i="3"/>
  <c r="E397" i="3"/>
  <c r="E314" i="3"/>
  <c r="I6" i="3"/>
  <c r="E16" i="3"/>
  <c r="AK6" i="3"/>
  <c r="E434" i="3"/>
  <c r="E453" i="3"/>
  <c r="E306" i="3"/>
  <c r="E368" i="3"/>
  <c r="E296" i="3"/>
  <c r="E244" i="3"/>
  <c r="E262" i="3"/>
  <c r="E196" i="3"/>
  <c r="E136" i="3"/>
  <c r="E156" i="3"/>
  <c r="E236" i="3"/>
  <c r="E148" i="3"/>
  <c r="E269" i="3"/>
  <c r="E122" i="3"/>
  <c r="E89" i="3"/>
  <c r="E140" i="3"/>
  <c r="E85" i="3"/>
  <c r="E223" i="3"/>
  <c r="E238" i="3"/>
  <c r="E197" i="3"/>
  <c r="E116" i="3"/>
  <c r="E173" i="3"/>
  <c r="E105" i="3"/>
  <c r="E327" i="3"/>
  <c r="E585" i="3"/>
  <c r="Z6" i="3"/>
  <c r="U6" i="3"/>
  <c r="AG6" i="3"/>
  <c r="AO6" i="3"/>
  <c r="E411" i="3"/>
  <c r="E448" i="3"/>
  <c r="E478" i="3"/>
  <c r="E485" i="3"/>
  <c r="E548" i="3"/>
  <c r="P6" i="3"/>
  <c r="E414" i="3"/>
  <c r="E400" i="3"/>
  <c r="E432" i="3"/>
  <c r="E443" i="3"/>
  <c r="E477" i="3"/>
  <c r="E345" i="3"/>
  <c r="E367" i="3"/>
  <c r="E558" i="3"/>
  <c r="E557" i="3"/>
  <c r="E547" i="3"/>
  <c r="E581" i="3"/>
  <c r="AS6" i="3"/>
  <c r="E403" i="3"/>
  <c r="E444" i="3"/>
  <c r="E476" i="3"/>
  <c r="E489" i="3"/>
  <c r="E404" i="3"/>
  <c r="E447" i="3"/>
  <c r="E28" i="3"/>
  <c r="E71" i="3"/>
  <c r="E88" i="3"/>
  <c r="E27" i="3"/>
  <c r="E70" i="3"/>
  <c r="E92" i="3"/>
  <c r="E121" i="3"/>
  <c r="E162" i="3"/>
  <c r="E182" i="3"/>
  <c r="E126" i="3"/>
  <c r="E166" i="3"/>
  <c r="E186" i="3"/>
  <c r="E211" i="3"/>
  <c r="E272" i="3"/>
  <c r="E295" i="3"/>
  <c r="E210" i="3"/>
  <c r="E273" i="3"/>
  <c r="E291" i="3"/>
  <c r="E316" i="3"/>
  <c r="E331" i="3"/>
  <c r="E334" i="3"/>
  <c r="E384" i="3"/>
  <c r="E572" i="3"/>
  <c r="AM6" i="3"/>
  <c r="E30" i="3"/>
  <c r="E44" i="3"/>
  <c r="E109" i="3"/>
  <c r="E29" i="3"/>
  <c r="E480" i="3"/>
  <c r="E441" i="3"/>
  <c r="E484" i="3"/>
  <c r="E425" i="3"/>
  <c r="E467" i="3"/>
  <c r="E64" i="3"/>
  <c r="E46" i="3"/>
  <c r="E103" i="3"/>
  <c r="E160" i="3"/>
  <c r="E142" i="3"/>
  <c r="E200" i="3"/>
  <c r="E267" i="3"/>
  <c r="E249" i="3"/>
  <c r="E300" i="3"/>
  <c r="E371" i="3"/>
  <c r="E492" i="3"/>
  <c r="E23" i="3"/>
  <c r="E84" i="3"/>
  <c r="E67" i="3"/>
  <c r="E33" i="3"/>
  <c r="E144" i="3"/>
  <c r="E184" i="3"/>
  <c r="E233" i="3"/>
  <c r="E355" i="3"/>
  <c r="E381" i="3"/>
  <c r="E68" i="3"/>
  <c r="E63" i="3"/>
  <c r="E81" i="3"/>
  <c r="E118" i="3"/>
  <c r="E264" i="3"/>
  <c r="E283" i="3"/>
  <c r="E309" i="3"/>
  <c r="E21" i="3"/>
  <c r="E563" i="3"/>
  <c r="E260" i="3"/>
  <c r="E535" i="3"/>
  <c r="E509" i="3"/>
  <c r="E516" i="3"/>
  <c r="E569" i="3"/>
  <c r="E396" i="3"/>
  <c r="E229" i="3"/>
  <c r="E201" i="3"/>
  <c r="E353" i="3"/>
  <c r="E518" i="3"/>
  <c r="E586" i="3"/>
  <c r="E402" i="3"/>
  <c r="E350" i="3"/>
  <c r="E303" i="3"/>
  <c r="E301" i="3"/>
  <c r="E159" i="3"/>
  <c r="E99" i="3"/>
  <c r="E228" i="3"/>
  <c r="E157" i="3"/>
  <c r="E69" i="3"/>
  <c r="E114" i="3"/>
  <c r="E278" i="3"/>
  <c r="E415" i="3"/>
  <c r="E395" i="3"/>
  <c r="E172" i="3"/>
  <c r="E445" i="3"/>
  <c r="E239" i="3"/>
  <c r="E579" i="3"/>
  <c r="E431" i="3"/>
  <c r="E247" i="3"/>
  <c r="E151" i="3"/>
  <c r="E385" i="3"/>
  <c r="AN6" i="3"/>
  <c r="AI6" i="3"/>
  <c r="E578" i="3"/>
  <c r="E423" i="3"/>
  <c r="E382" i="3"/>
  <c r="E263" i="3"/>
  <c r="E245" i="3"/>
  <c r="E191" i="3"/>
  <c r="E188" i="3"/>
  <c r="E181"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47" i="3"/>
  <c r="E65" i="3"/>
  <c r="E195" i="3"/>
  <c r="E248" i="3"/>
  <c r="E266" i="3"/>
  <c r="E386" i="3"/>
  <c r="E584" i="3"/>
  <c r="E24" i="3"/>
  <c r="E87" i="3"/>
  <c r="E250" i="3"/>
  <c r="E341" i="3"/>
  <c r="E51" i="3"/>
  <c r="E154" i="3"/>
  <c r="E222" i="3"/>
  <c r="E373"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515" i="3"/>
  <c r="E536" i="3"/>
  <c r="E526" i="3"/>
  <c r="E523" i="3"/>
  <c r="E519" i="3"/>
  <c r="E513" i="3"/>
  <c r="E511" i="3"/>
  <c r="E508" i="3"/>
  <c r="E505" i="3"/>
  <c r="E503" i="3"/>
  <c r="E359" i="3"/>
  <c r="E388" i="3"/>
  <c r="E377" i="3"/>
  <c r="E546" i="3"/>
  <c r="E568" i="3"/>
  <c r="E528" i="3"/>
  <c r="E531" i="3"/>
  <c r="E352" i="3"/>
  <c r="E189" i="3"/>
  <c r="E125" i="3"/>
  <c r="E539" i="3"/>
  <c r="E559" i="3"/>
  <c r="E514" i="3"/>
  <c r="E530" i="3"/>
  <c r="E524" i="3"/>
  <c r="E506" i="3"/>
  <c r="E325" i="3"/>
  <c r="E129" i="3"/>
  <c r="E321" i="3"/>
  <c r="E537" i="3"/>
  <c r="E510" i="3"/>
  <c r="E501" i="3"/>
  <c r="E346" i="3"/>
  <c r="E332" i="3"/>
  <c r="E376" i="3"/>
  <c r="E333" i="3"/>
  <c r="E145" i="3"/>
  <c r="E113" i="3"/>
  <c r="E370" i="3"/>
  <c r="E326" i="3"/>
  <c r="E543" i="3"/>
  <c r="E571" i="3"/>
  <c r="E560" i="3"/>
  <c r="E580" i="3"/>
  <c r="E564" i="3"/>
  <c r="E317" i="3"/>
  <c r="E550" i="3"/>
  <c r="E549" i="3"/>
  <c r="E512" i="3"/>
  <c r="E495" i="3"/>
  <c r="E17" i="3"/>
  <c r="E304" i="3"/>
  <c r="E379" i="3"/>
  <c r="E310" i="3"/>
  <c r="E576" i="3"/>
  <c r="E534" i="3"/>
  <c r="E532" i="3"/>
  <c r="E13" i="3"/>
  <c r="E391" i="3"/>
  <c r="E498" i="3"/>
  <c r="E161" i="3"/>
  <c r="E319" i="3"/>
  <c r="E553" i="3"/>
  <c r="E496" i="3"/>
  <c r="E538" i="3"/>
  <c r="E522" i="3"/>
  <c r="E390" i="3"/>
  <c r="E507" i="3"/>
  <c r="E533" i="3"/>
  <c r="E529" i="3"/>
  <c r="E527" i="3"/>
  <c r="E525" i="3"/>
  <c r="E497" i="3"/>
  <c r="E336" i="3"/>
  <c r="E324" i="3"/>
  <c r="E357" i="3"/>
  <c r="E141" i="3"/>
  <c r="E372" i="3"/>
  <c r="E335" i="3"/>
  <c r="E305" i="3"/>
  <c r="E567" i="3"/>
  <c r="E583" i="3"/>
  <c r="E577" i="3"/>
  <c r="E562" i="3"/>
  <c r="E561" i="3"/>
  <c r="E494" i="3"/>
  <c r="I48" i="35"/>
  <c r="J48" i="35" s="1"/>
  <c r="K48" i="35" s="1"/>
  <c r="L48" i="35" s="1"/>
  <c r="M48" i="35" s="1"/>
  <c r="N48" i="35" s="1"/>
  <c r="O48" i="35" s="1"/>
  <c r="F7" i="35"/>
  <c r="D13" i="71"/>
  <c r="C12" i="71"/>
  <c r="D12" i="71" s="1"/>
  <c r="P52" i="71"/>
  <c r="P51" i="71"/>
  <c r="Q52" i="71"/>
  <c r="Q51" i="71"/>
  <c r="H7" i="34"/>
  <c r="J6" i="15"/>
  <c r="C49" i="67"/>
  <c r="H52" i="37"/>
  <c r="J7" i="34"/>
  <c r="C115" i="43"/>
  <c r="D113" i="43"/>
  <c r="C47" i="69"/>
  <c r="D45" i="69" s="1"/>
  <c r="C29" i="69"/>
  <c r="D27" i="69" s="1"/>
  <c r="E60" i="40"/>
  <c r="E65" i="39"/>
  <c r="E56" i="40"/>
  <c r="E61" i="39"/>
  <c r="E62" i="39"/>
  <c r="E57" i="40"/>
  <c r="G68" i="39"/>
  <c r="F70" i="39"/>
  <c r="E36" i="36"/>
  <c r="R37" i="36"/>
  <c r="J7" i="35"/>
  <c r="AA10" i="40"/>
  <c r="S10" i="40"/>
  <c r="E493" i="3"/>
  <c r="G40" i="36"/>
  <c r="H40" i="36" s="1"/>
  <c r="G41" i="36"/>
  <c r="H41" i="36" s="1"/>
  <c r="P6" i="1"/>
  <c r="C13" i="12" s="1"/>
  <c r="E551" i="3"/>
  <c r="D8" i="71"/>
  <c r="C7" i="71"/>
  <c r="E30" i="6"/>
  <c r="K14" i="1"/>
  <c r="AE7" i="1"/>
  <c r="F41" i="15" s="1"/>
  <c r="G1" i="73"/>
  <c r="F31" i="6" l="1"/>
  <c r="C6" i="68"/>
  <c r="C7" i="68" s="1"/>
  <c r="C5" i="68" s="1"/>
  <c r="C47" i="11"/>
  <c r="D45" i="11" s="1"/>
  <c r="U10" i="39"/>
  <c r="F69" i="15"/>
  <c r="C47" i="68"/>
  <c r="D45" i="68" s="1"/>
  <c r="AC10" i="40"/>
  <c r="AC10" i="39"/>
  <c r="U10" i="40"/>
  <c r="H6" i="3"/>
  <c r="E66" i="39"/>
  <c r="AC6" i="3"/>
  <c r="E27" i="6"/>
  <c r="E31" i="6" s="1"/>
  <c r="F65" i="40"/>
  <c r="G63" i="40"/>
  <c r="H7" i="35"/>
  <c r="C19" i="67"/>
  <c r="C20" i="67" s="1"/>
  <c r="C26" i="67" s="1"/>
  <c r="B40" i="1"/>
  <c r="M14" i="1"/>
  <c r="C34" i="69"/>
  <c r="K16" i="1"/>
  <c r="D7" i="71"/>
  <c r="C6" i="71"/>
  <c r="C36" i="36"/>
  <c r="C37" i="36"/>
  <c r="B2" i="36" s="1"/>
  <c r="B3" i="36" s="1"/>
  <c r="AC7" i="34"/>
  <c r="V49" i="34" s="1"/>
  <c r="I49" i="34" s="1"/>
  <c r="W7" i="34"/>
  <c r="U7" i="34"/>
  <c r="AB7" i="34"/>
  <c r="T49" i="34" s="1"/>
  <c r="G49" i="34" s="1"/>
  <c r="S7" i="35"/>
  <c r="AA7" i="35"/>
  <c r="R38" i="35" s="1"/>
  <c r="C48" i="21"/>
  <c r="C49"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34" i="3"/>
  <c r="AY144" i="3"/>
  <c r="AY95" i="3"/>
  <c r="AY152" i="3"/>
  <c r="AY111" i="3"/>
  <c r="AY253" i="3"/>
  <c r="AY382" i="3"/>
  <c r="AY303" i="3"/>
  <c r="AY460" i="3"/>
  <c r="AY529" i="3"/>
  <c r="AY300" i="3"/>
  <c r="AY217" i="3"/>
  <c r="AY327"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 i="3"/>
  <c r="AY207" i="3"/>
  <c r="AY124" i="3"/>
  <c r="AY42" i="3"/>
  <c r="AY281" i="3"/>
  <c r="AY168" i="3"/>
  <c r="AY236" i="3"/>
  <c r="AY366" i="3"/>
  <c r="AY473" i="3"/>
  <c r="AY441" i="3"/>
  <c r="AY26" i="3"/>
  <c r="AY260" i="3"/>
  <c r="AY372" i="3"/>
  <c r="AY310"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11" i="15"/>
  <c r="J10" i="15" s="1"/>
  <c r="J5" i="15" s="1"/>
  <c r="F11" i="15"/>
  <c r="F11" i="67"/>
  <c r="M11" i="67"/>
  <c r="J10" i="67" s="1"/>
  <c r="J5" i="67" s="1"/>
  <c r="AC7" i="35"/>
  <c r="V38" i="35" s="1"/>
  <c r="I38" i="35" s="1"/>
  <c r="W7" i="35"/>
  <c r="E40" i="36"/>
  <c r="F40" i="36" s="1"/>
  <c r="E41" i="36"/>
  <c r="F41" i="36" s="1"/>
  <c r="G70" i="39"/>
  <c r="H68" i="39"/>
  <c r="I52" i="37"/>
  <c r="AB7" i="35"/>
  <c r="T38" i="35" s="1"/>
  <c r="G38" i="35" s="1"/>
  <c r="U7" i="35"/>
  <c r="E52" i="21"/>
  <c r="F52" i="21" s="1"/>
  <c r="E53" i="21"/>
  <c r="F53" i="21" s="1"/>
  <c r="I41" i="36"/>
  <c r="J41" i="36" s="1"/>
  <c r="I53" i="21"/>
  <c r="J53" i="21" s="1"/>
  <c r="S7" i="34"/>
  <c r="AA7" i="34"/>
  <c r="R49" i="34" s="1"/>
  <c r="D3" i="21"/>
  <c r="D19" i="11"/>
  <c r="C19" i="11" s="1"/>
  <c r="D37" i="11"/>
  <c r="D14" i="12"/>
  <c r="M18" i="9"/>
  <c r="B118" i="9" s="1"/>
  <c r="B14" i="74" s="1"/>
  <c r="B1" i="74" s="1"/>
  <c r="D3" i="33"/>
  <c r="B2" i="33" s="1"/>
  <c r="B3" i="33" s="1"/>
  <c r="E6" i="6"/>
  <c r="C17" i="4"/>
  <c r="B4" i="52" s="1"/>
  <c r="B43" i="72" s="1"/>
  <c r="L18" i="9"/>
  <c r="D3" i="34"/>
  <c r="D3" i="37"/>
  <c r="M28" i="43"/>
  <c r="O28" i="43"/>
  <c r="P28" i="43"/>
  <c r="N28" i="43"/>
  <c r="E6" i="3" l="1"/>
  <c r="K24" i="6"/>
  <c r="M24" i="6" s="1"/>
  <c r="I24" i="6" s="1"/>
  <c r="S24" i="6" s="1"/>
  <c r="K26" i="6"/>
  <c r="M26" i="6" s="1"/>
  <c r="I26" i="6" s="1"/>
  <c r="S26" i="6" s="1"/>
  <c r="K21" i="6"/>
  <c r="K25" i="6"/>
  <c r="M25" i="6" s="1"/>
  <c r="I25" i="6" s="1"/>
  <c r="S25" i="6" s="1"/>
  <c r="K20" i="6"/>
  <c r="K19" i="6"/>
  <c r="S6" i="1" s="1"/>
  <c r="K22" i="6"/>
  <c r="M22" i="6" s="1"/>
  <c r="I22" i="6" s="1"/>
  <c r="S22" i="6" s="1"/>
  <c r="K23" i="6"/>
  <c r="M23" i="6" s="1"/>
  <c r="I23" i="6" s="1"/>
  <c r="S23" i="6" s="1"/>
  <c r="G65" i="40"/>
  <c r="H63" i="40"/>
  <c r="D10" i="68"/>
  <c r="D20" i="12"/>
  <c r="C20" i="12" s="1"/>
  <c r="C18" i="12" s="1"/>
  <c r="D10" i="69"/>
  <c r="D10" i="11"/>
  <c r="C10" i="11" s="1"/>
  <c r="C8" i="74"/>
  <c r="C7" i="74"/>
  <c r="G42" i="35"/>
  <c r="H42" i="35" s="1"/>
  <c r="G43" i="35"/>
  <c r="H43" i="35" s="1"/>
  <c r="J52" i="37"/>
  <c r="K52" i="37" s="1"/>
  <c r="L52" i="37" s="1"/>
  <c r="M52" i="37" s="1"/>
  <c r="N52" i="37" s="1"/>
  <c r="O52" i="37" s="1"/>
  <c r="H7" i="37"/>
  <c r="J7" i="37"/>
  <c r="I42" i="35"/>
  <c r="J42" i="35" s="1"/>
  <c r="J24" i="67"/>
  <c r="J18" i="67"/>
  <c r="J26" i="67"/>
  <c r="J29" i="67" s="1"/>
  <c r="C10" i="15"/>
  <c r="C5" i="15" s="1"/>
  <c r="C53" i="15"/>
  <c r="C48" i="15" s="1"/>
  <c r="I53" i="34"/>
  <c r="J53" i="34" s="1"/>
  <c r="C38" i="69"/>
  <c r="C35" i="69"/>
  <c r="D17" i="12"/>
  <c r="C17" i="12" s="1"/>
  <c r="C20" i="11"/>
  <c r="R50" i="34"/>
  <c r="E49" i="34"/>
  <c r="F7" i="37"/>
  <c r="I68" i="39"/>
  <c r="H70" i="39"/>
  <c r="C10" i="67"/>
  <c r="C5" i="67" s="1"/>
  <c r="C53" i="67"/>
  <c r="C48" i="67" s="1"/>
  <c r="J24" i="15"/>
  <c r="J26" i="15"/>
  <c r="J29" i="15" s="1"/>
  <c r="J18" i="15"/>
  <c r="M19" i="9"/>
  <c r="C118" i="9" s="1"/>
  <c r="C14" i="74" s="1"/>
  <c r="B2" i="74" s="1"/>
  <c r="D19" i="6"/>
  <c r="D26" i="6"/>
  <c r="C18" i="4"/>
  <c r="D8" i="6"/>
  <c r="D23" i="6"/>
  <c r="D14" i="6"/>
  <c r="D5" i="6"/>
  <c r="D12" i="6"/>
  <c r="D11" i="6"/>
  <c r="D13" i="6"/>
  <c r="D28" i="6"/>
  <c r="E61" i="40"/>
  <c r="D25" i="6"/>
  <c r="D22" i="6"/>
  <c r="D24" i="6"/>
  <c r="D9" i="6"/>
  <c r="L19" i="9"/>
  <c r="D15" i="6"/>
  <c r="D21" i="6"/>
  <c r="D20" i="6"/>
  <c r="D6" i="6"/>
  <c r="D10" i="6"/>
  <c r="D29" i="6"/>
  <c r="B2" i="21"/>
  <c r="B3" i="21" s="1"/>
  <c r="E38" i="35"/>
  <c r="R39" i="35"/>
  <c r="G54" i="34"/>
  <c r="H54" i="34" s="1"/>
  <c r="G53" i="34"/>
  <c r="H53" i="34" s="1"/>
  <c r="C5" i="71"/>
  <c r="D5" i="71" s="1"/>
  <c r="T6" i="71"/>
  <c r="D6" i="71"/>
  <c r="O14" i="1"/>
  <c r="O16" i="1" s="1"/>
  <c r="M16" i="1"/>
  <c r="F22" i="68"/>
  <c r="F22" i="69"/>
  <c r="F24" i="15"/>
  <c r="F24" i="67"/>
  <c r="F22" i="11"/>
  <c r="F25" i="12"/>
  <c r="C26" i="12" s="1"/>
  <c r="D25" i="12" s="1"/>
  <c r="M20" i="6" l="1"/>
  <c r="I20" i="6" s="1"/>
  <c r="S7" i="1"/>
  <c r="M21" i="6"/>
  <c r="I21" i="6" s="1"/>
  <c r="S21" i="6" s="1"/>
  <c r="S8" i="1"/>
  <c r="AR6" i="1"/>
  <c r="T6" i="1"/>
  <c r="AQ6" i="1"/>
  <c r="S16" i="1"/>
  <c r="H22" i="6"/>
  <c r="R22" i="6" s="1"/>
  <c r="H24" i="6"/>
  <c r="R24" i="6" s="1"/>
  <c r="H21" i="6"/>
  <c r="R21" i="6" s="1"/>
  <c r="R8" i="1" s="1"/>
  <c r="P14" i="1"/>
  <c r="P16" i="1" s="1"/>
  <c r="C11" i="12" s="1"/>
  <c r="C15" i="12" s="1"/>
  <c r="H26" i="6"/>
  <c r="R26" i="6" s="1"/>
  <c r="D16" i="6"/>
  <c r="K27" i="6"/>
  <c r="M19" i="6"/>
  <c r="H25" i="6"/>
  <c r="R25" i="6" s="1"/>
  <c r="H23" i="6"/>
  <c r="R23" i="6" s="1"/>
  <c r="D30" i="6"/>
  <c r="I63" i="40"/>
  <c r="H65" i="40"/>
  <c r="C24" i="67"/>
  <c r="C23" i="67"/>
  <c r="C44" i="69"/>
  <c r="D41" i="69" s="1"/>
  <c r="C26" i="69"/>
  <c r="D22" i="69" s="1"/>
  <c r="N16" i="1"/>
  <c r="L16" i="1"/>
  <c r="M20" i="43"/>
  <c r="C19" i="43" s="1"/>
  <c r="U6" i="71"/>
  <c r="E43" i="35"/>
  <c r="F43" i="35" s="1"/>
  <c r="E42" i="35"/>
  <c r="F42" i="35" s="1"/>
  <c r="C4" i="52"/>
  <c r="B45" i="72" s="1"/>
  <c r="A7" i="51"/>
  <c r="B7" i="72" s="1"/>
  <c r="A10" i="51"/>
  <c r="B9" i="72" s="1"/>
  <c r="D27" i="6"/>
  <c r="C60" i="67"/>
  <c r="C66" i="67"/>
  <c r="S7" i="37"/>
  <c r="AA7" i="37"/>
  <c r="R42" i="37" s="1"/>
  <c r="C50" i="34"/>
  <c r="B2" i="34" s="1"/>
  <c r="B3" i="34" s="1"/>
  <c r="C49" i="34"/>
  <c r="C25" i="11"/>
  <c r="C66" i="15"/>
  <c r="C60" i="15"/>
  <c r="U7" i="37"/>
  <c r="AB7" i="37"/>
  <c r="T42" i="37" s="1"/>
  <c r="G42" i="37" s="1"/>
  <c r="C23" i="11"/>
  <c r="C26" i="11"/>
  <c r="D22" i="11" s="1"/>
  <c r="C44" i="11"/>
  <c r="D41" i="11" s="1"/>
  <c r="C24" i="11"/>
  <c r="C24" i="15"/>
  <c r="C23" i="68"/>
  <c r="C44" i="68"/>
  <c r="D41" i="68" s="1"/>
  <c r="C26" i="68"/>
  <c r="D22" i="68" s="1"/>
  <c r="C38" i="35"/>
  <c r="C39" i="35"/>
  <c r="B2" i="35" s="1"/>
  <c r="B3" i="35" s="1"/>
  <c r="D8" i="74"/>
  <c r="D7" i="74"/>
  <c r="C38" i="67"/>
  <c r="C32" i="67"/>
  <c r="I70" i="39"/>
  <c r="J68" i="39"/>
  <c r="E54" i="34"/>
  <c r="F54" i="34" s="1"/>
  <c r="E53" i="34"/>
  <c r="F53" i="34" s="1"/>
  <c r="C28" i="11"/>
  <c r="C27" i="11" s="1"/>
  <c r="I54" i="34"/>
  <c r="J54" i="34" s="1"/>
  <c r="C38" i="15"/>
  <c r="C32" i="15"/>
  <c r="I43" i="35"/>
  <c r="J43" i="35" s="1"/>
  <c r="AC7" i="37"/>
  <c r="V42" i="37" s="1"/>
  <c r="I42" i="37" s="1"/>
  <c r="W7" i="37"/>
  <c r="C10" i="69"/>
  <c r="C8" i="69" s="1"/>
  <c r="C5" i="69" s="1"/>
  <c r="D19" i="69"/>
  <c r="C10" i="68"/>
  <c r="D19" i="68"/>
  <c r="C17" i="15"/>
  <c r="E7" i="70" l="1"/>
  <c r="E2" i="70" s="1"/>
  <c r="F11" i="12"/>
  <c r="C14" i="12" s="1"/>
  <c r="F34" i="11"/>
  <c r="F34" i="68"/>
  <c r="AR8" i="1"/>
  <c r="AQ8" i="1"/>
  <c r="T8" i="1"/>
  <c r="T7" i="1"/>
  <c r="AR7" i="1"/>
  <c r="AQ7" i="1"/>
  <c r="S20" i="6"/>
  <c r="H20" i="6"/>
  <c r="R20" i="6" s="1"/>
  <c r="R7" i="1" s="1"/>
  <c r="C12" i="12"/>
  <c r="D31" i="6"/>
  <c r="I6" i="6" s="1"/>
  <c r="I19" i="6"/>
  <c r="M27" i="6"/>
  <c r="I65" i="40"/>
  <c r="J63" i="40"/>
  <c r="C29" i="67"/>
  <c r="C57" i="67" s="1"/>
  <c r="C23" i="69"/>
  <c r="I46" i="37"/>
  <c r="J46" i="37" s="1"/>
  <c r="K68" i="39"/>
  <c r="J70" i="39"/>
  <c r="G46" i="37"/>
  <c r="H46" i="37" s="1"/>
  <c r="G47" i="37"/>
  <c r="H47" i="37" s="1"/>
  <c r="E42" i="37"/>
  <c r="R43" i="37"/>
  <c r="F50" i="11"/>
  <c r="F50" i="68"/>
  <c r="F50" i="69"/>
  <c r="C19" i="68"/>
  <c r="D37" i="68"/>
  <c r="C37" i="68" s="1"/>
  <c r="C19" i="69"/>
  <c r="C24" i="69" s="1"/>
  <c r="D37" i="69"/>
  <c r="C37" i="69" s="1"/>
  <c r="C33" i="69" s="1"/>
  <c r="C22" i="11"/>
  <c r="C31" i="11" s="1"/>
  <c r="T14" i="43"/>
  <c r="V14" i="43" s="1"/>
  <c r="T4" i="43"/>
  <c r="V4" i="43" s="1"/>
  <c r="C34" i="43"/>
  <c r="T11" i="43"/>
  <c r="V11" i="43" s="1"/>
  <c r="T10" i="43"/>
  <c r="V10" i="43" s="1"/>
  <c r="T12" i="43"/>
  <c r="V12" i="43" s="1"/>
  <c r="T7" i="43"/>
  <c r="V7" i="43" s="1"/>
  <c r="T9" i="43"/>
  <c r="V9" i="43" s="1"/>
  <c r="C33" i="43"/>
  <c r="T15" i="43"/>
  <c r="V15" i="43" s="1"/>
  <c r="T16" i="43"/>
  <c r="V16" i="43" s="1"/>
  <c r="C37" i="43"/>
  <c r="C35" i="43"/>
  <c r="T8" i="43"/>
  <c r="V8" i="43" s="1"/>
  <c r="C36" i="43"/>
  <c r="C29" i="43"/>
  <c r="T5" i="43"/>
  <c r="V5" i="43" s="1"/>
  <c r="T6" i="43"/>
  <c r="V6" i="43" s="1"/>
  <c r="T3" i="43"/>
  <c r="V3" i="43" s="1"/>
  <c r="T13" i="43"/>
  <c r="V13" i="43" s="1"/>
  <c r="T2" i="43"/>
  <c r="V2" i="43" s="1"/>
  <c r="C38" i="43"/>
  <c r="C39" i="43"/>
  <c r="C14" i="15"/>
  <c r="M21" i="15"/>
  <c r="F35" i="15"/>
  <c r="C16" i="12" l="1"/>
  <c r="C21" i="12" s="1"/>
  <c r="C22" i="12" s="1"/>
  <c r="C15" i="15"/>
  <c r="C18" i="15"/>
  <c r="C19" i="15" s="1"/>
  <c r="T16" i="1"/>
  <c r="C36" i="11"/>
  <c r="C37" i="11"/>
  <c r="C34" i="11"/>
  <c r="C36" i="68"/>
  <c r="C34" i="68"/>
  <c r="F63" i="15"/>
  <c r="C62" i="15" s="1"/>
  <c r="C34" i="15"/>
  <c r="J20" i="15"/>
  <c r="I5" i="6"/>
  <c r="H19" i="6"/>
  <c r="S19" i="6"/>
  <c r="S27" i="6" s="1"/>
  <c r="I27" i="6"/>
  <c r="C33" i="67"/>
  <c r="C31" i="67" s="1"/>
  <c r="C33" i="15"/>
  <c r="J59" i="15"/>
  <c r="J60" i="15" s="1"/>
  <c r="J14" i="67"/>
  <c r="J22" i="67" s="1"/>
  <c r="J65" i="40"/>
  <c r="K63" i="40"/>
  <c r="J59" i="67"/>
  <c r="J60" i="67" s="1"/>
  <c r="L46" i="67" s="1"/>
  <c r="J19" i="67"/>
  <c r="J17" i="67" s="1"/>
  <c r="C13" i="67"/>
  <c r="Q70" i="67" s="1"/>
  <c r="Q49" i="67"/>
  <c r="C36" i="67"/>
  <c r="C64" i="67"/>
  <c r="C61" i="67"/>
  <c r="C59" i="67" s="1"/>
  <c r="E38" i="43"/>
  <c r="G38" i="43"/>
  <c r="I38" i="43" s="1"/>
  <c r="E29" i="43"/>
  <c r="C30" i="43"/>
  <c r="E30" i="43" s="1"/>
  <c r="G37" i="43"/>
  <c r="I37" i="43" s="1"/>
  <c r="E37" i="43"/>
  <c r="C39" i="69"/>
  <c r="C42" i="69"/>
  <c r="E47" i="37"/>
  <c r="F47" i="37" s="1"/>
  <c r="E46" i="37"/>
  <c r="F46" i="37" s="1"/>
  <c r="K70" i="39"/>
  <c r="L68" i="39"/>
  <c r="G39" i="43"/>
  <c r="I39" i="43" s="1"/>
  <c r="E39" i="43"/>
  <c r="G36" i="43"/>
  <c r="I36" i="43" s="1"/>
  <c r="E36" i="43"/>
  <c r="G35" i="43"/>
  <c r="I35" i="43" s="1"/>
  <c r="E35" i="43"/>
  <c r="G33" i="43"/>
  <c r="I33" i="43" s="1"/>
  <c r="E33" i="43"/>
  <c r="G34" i="43"/>
  <c r="I34" i="43" s="1"/>
  <c r="E34" i="43"/>
  <c r="C20" i="68"/>
  <c r="C24" i="68"/>
  <c r="C42" i="37"/>
  <c r="C43" i="37"/>
  <c r="B2" i="37" s="1"/>
  <c r="B3" i="37" s="1"/>
  <c r="I47" i="37"/>
  <c r="J47" i="37" s="1"/>
  <c r="C20" i="69"/>
  <c r="C20" i="15" l="1"/>
  <c r="C26" i="15" s="1"/>
  <c r="C38" i="68"/>
  <c r="C35" i="68"/>
  <c r="C35" i="11"/>
  <c r="C38" i="11"/>
  <c r="C31" i="15"/>
  <c r="H27" i="6"/>
  <c r="R19" i="6"/>
  <c r="Q48" i="15"/>
  <c r="J13" i="67"/>
  <c r="J23" i="67" s="1"/>
  <c r="J16" i="67" s="1"/>
  <c r="J25" i="67" s="1"/>
  <c r="C37" i="67"/>
  <c r="C30" i="67" s="1"/>
  <c r="C39" i="67" s="1"/>
  <c r="C40" i="67" s="1"/>
  <c r="Q48" i="67"/>
  <c r="C75" i="67"/>
  <c r="C80" i="67" s="1"/>
  <c r="C79" i="67" s="1"/>
  <c r="C56" i="67"/>
  <c r="C65" i="67" s="1"/>
  <c r="C58" i="67" s="1"/>
  <c r="C67" i="67" s="1"/>
  <c r="C68" i="67" s="1"/>
  <c r="C71" i="67" s="1"/>
  <c r="K65" i="40"/>
  <c r="L63" i="40"/>
  <c r="C28" i="69"/>
  <c r="C27" i="69" s="1"/>
  <c r="C25" i="69"/>
  <c r="C22" i="69" s="1"/>
  <c r="C46" i="69"/>
  <c r="C45" i="69" s="1"/>
  <c r="C43" i="69"/>
  <c r="C41" i="69" s="1"/>
  <c r="C27" i="43"/>
  <c r="C28" i="68"/>
  <c r="C27" i="68" s="1"/>
  <c r="C25" i="68"/>
  <c r="C22" i="68" s="1"/>
  <c r="M68" i="39"/>
  <c r="L70" i="39"/>
  <c r="C26" i="43"/>
  <c r="E6" i="76"/>
  <c r="L51" i="67"/>
  <c r="C33" i="68" l="1"/>
  <c r="C42" i="68" s="1"/>
  <c r="C23" i="15"/>
  <c r="C29" i="15" s="1"/>
  <c r="C39" i="68"/>
  <c r="C43" i="68" s="1"/>
  <c r="C41" i="68" s="1"/>
  <c r="C33" i="11"/>
  <c r="R27" i="6"/>
  <c r="R6" i="1"/>
  <c r="R16" i="1" s="1"/>
  <c r="Q69" i="67"/>
  <c r="Q68" i="67" s="1"/>
  <c r="L65" i="40"/>
  <c r="M63" i="40"/>
  <c r="C49" i="69"/>
  <c r="C51" i="69" s="1"/>
  <c r="C31" i="69"/>
  <c r="C31" i="68"/>
  <c r="L57" i="15"/>
  <c r="L60" i="15" s="1"/>
  <c r="L46" i="15" s="1"/>
  <c r="L57" i="67"/>
  <c r="L60" i="67" s="1"/>
  <c r="Q67" i="67"/>
  <c r="E2" i="76"/>
  <c r="C45" i="67"/>
  <c r="C46" i="67" s="1"/>
  <c r="Q47" i="67"/>
  <c r="Q53" i="67" s="1"/>
  <c r="C43" i="67"/>
  <c r="C83" i="67"/>
  <c r="C82" i="67" s="1"/>
  <c r="Q56" i="67"/>
  <c r="Q65" i="67"/>
  <c r="D2" i="67"/>
  <c r="M70" i="39"/>
  <c r="N68" i="39"/>
  <c r="B2" i="43"/>
  <c r="B6" i="76"/>
  <c r="Q49" i="15" l="1"/>
  <c r="C57" i="15"/>
  <c r="C13" i="15"/>
  <c r="J14" i="15"/>
  <c r="C36" i="15"/>
  <c r="J19" i="15"/>
  <c r="J17" i="15" s="1"/>
  <c r="C46" i="68"/>
  <c r="C45" i="68" s="1"/>
  <c r="C49" i="68" s="1"/>
  <c r="C51" i="68" s="1"/>
  <c r="C52" i="68" s="1"/>
  <c r="B2" i="68" s="1"/>
  <c r="C39" i="11"/>
  <c r="C42" i="11"/>
  <c r="C46" i="11"/>
  <c r="C45" i="11" s="1"/>
  <c r="C52" i="69"/>
  <c r="B2" i="69" s="1"/>
  <c r="B3" i="69" s="1"/>
  <c r="M65" i="40"/>
  <c r="N63" i="40"/>
  <c r="B2" i="76"/>
  <c r="B3" i="76" s="1"/>
  <c r="B3" i="43"/>
  <c r="B3" i="67"/>
  <c r="B2" i="67"/>
  <c r="O68" i="39"/>
  <c r="O70" i="39" s="1"/>
  <c r="N70" i="39"/>
  <c r="Q66" i="67"/>
  <c r="Q75" i="67" s="1"/>
  <c r="Q57" i="67"/>
  <c r="Q62" i="67" s="1"/>
  <c r="Q57" i="15"/>
  <c r="Q66" i="15"/>
  <c r="C19" i="9"/>
  <c r="C30" i="15" l="1"/>
  <c r="C39" i="15" s="1"/>
  <c r="C75" i="15"/>
  <c r="C56" i="15"/>
  <c r="C65" i="15" s="1"/>
  <c r="C37" i="15"/>
  <c r="Q70" i="15"/>
  <c r="J13" i="15"/>
  <c r="J23" i="15" s="1"/>
  <c r="J22" i="15"/>
  <c r="J16" i="15" s="1"/>
  <c r="J25" i="15" s="1"/>
  <c r="C64" i="15"/>
  <c r="C61" i="15"/>
  <c r="C59" i="15" s="1"/>
  <c r="C43" i="11"/>
  <c r="C41" i="11"/>
  <c r="C49" i="11" s="1"/>
  <c r="C51" i="11" s="1"/>
  <c r="C102" i="9"/>
  <c r="C21" i="9"/>
  <c r="B3" i="68"/>
  <c r="C57" i="68"/>
  <c r="C56" i="68" s="1"/>
  <c r="C57" i="69"/>
  <c r="C56" i="69" s="1"/>
  <c r="O63" i="40"/>
  <c r="O65" i="40" s="1"/>
  <c r="N65" i="40"/>
  <c r="J7" i="40" s="1"/>
  <c r="F7" i="40"/>
  <c r="F7" i="39"/>
  <c r="J7" i="39"/>
  <c r="H7" i="39"/>
  <c r="L51" i="15"/>
  <c r="C20" i="9"/>
  <c r="Q67" i="15" l="1"/>
  <c r="Q69" i="15"/>
  <c r="Q68" i="15" s="1"/>
  <c r="C40" i="15"/>
  <c r="C58" i="15"/>
  <c r="C67" i="15" s="1"/>
  <c r="C68" i="15" s="1"/>
  <c r="C80" i="15"/>
  <c r="C79" i="15" s="1"/>
  <c r="C52" i="11"/>
  <c r="B2" i="11" s="1"/>
  <c r="B3" i="11" s="1"/>
  <c r="C103" i="9"/>
  <c r="W7" i="40"/>
  <c r="AC7" i="40"/>
  <c r="V42" i="40" s="1"/>
  <c r="I42" i="40" s="1"/>
  <c r="I46" i="40" s="1"/>
  <c r="J46" i="40" s="1"/>
  <c r="AA7" i="40"/>
  <c r="R42" i="40" s="1"/>
  <c r="S7" i="40"/>
  <c r="H7" i="40"/>
  <c r="AC7" i="39"/>
  <c r="V47" i="39" s="1"/>
  <c r="I47" i="39" s="1"/>
  <c r="W7" i="39"/>
  <c r="AB7" i="39"/>
  <c r="T47" i="39" s="1"/>
  <c r="G47" i="39" s="1"/>
  <c r="U7" i="39"/>
  <c r="S7" i="39"/>
  <c r="AA7" i="39"/>
  <c r="R47" i="39" s="1"/>
  <c r="C56" i="11" l="1"/>
  <c r="C57" i="11" s="1"/>
  <c r="B2" i="15"/>
  <c r="Q65" i="15"/>
  <c r="Q75" i="15" s="1"/>
  <c r="C83" i="15"/>
  <c r="C82" i="15" s="1"/>
  <c r="Q47" i="15"/>
  <c r="Q53" i="15" s="1"/>
  <c r="Q56" i="15"/>
  <c r="Q62" i="15" s="1"/>
  <c r="C43" i="15"/>
  <c r="C71" i="15"/>
  <c r="C46" i="15"/>
  <c r="AB7" i="40"/>
  <c r="T42" i="40" s="1"/>
  <c r="G42" i="40" s="1"/>
  <c r="U7" i="40"/>
  <c r="E42" i="40"/>
  <c r="R43" i="40"/>
  <c r="E47" i="39"/>
  <c r="I52" i="39" s="1"/>
  <c r="J52" i="39" s="1"/>
  <c r="R48" i="39"/>
  <c r="G52" i="39"/>
  <c r="H52" i="39" s="1"/>
  <c r="G51" i="39"/>
  <c r="H51" i="39" s="1"/>
  <c r="I51" i="39"/>
  <c r="J51" i="39" s="1"/>
  <c r="AO7" i="1"/>
  <c r="B7" i="70" l="1"/>
  <c r="B2" i="70" s="1"/>
  <c r="B3" i="70" s="1"/>
  <c r="B3" i="15"/>
  <c r="D6" i="12" s="1"/>
  <c r="D8" i="12"/>
  <c r="C4" i="12" s="1"/>
  <c r="C42" i="40"/>
  <c r="C43" i="40"/>
  <c r="I47" i="40"/>
  <c r="J47" i="40" s="1"/>
  <c r="E46" i="40"/>
  <c r="F46" i="40" s="1"/>
  <c r="E47" i="40"/>
  <c r="F47" i="40" s="1"/>
  <c r="G46" i="40"/>
  <c r="H46" i="40" s="1"/>
  <c r="G47" i="40"/>
  <c r="H47" i="40" s="1"/>
  <c r="C48" i="39"/>
  <c r="C47" i="39"/>
  <c r="E51" i="39"/>
  <c r="F51" i="39" s="1"/>
  <c r="E52" i="39"/>
  <c r="F52" i="39" s="1"/>
  <c r="C23" i="12" l="1"/>
  <c r="C31" i="12"/>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0" i="12" l="1"/>
  <c r="C28" i="12" s="1"/>
  <c r="C27" i="12"/>
  <c r="C25" i="12" s="1"/>
  <c r="C32" i="12" s="1"/>
  <c r="B2" i="12" s="1"/>
  <c r="D19" i="9"/>
  <c r="D21" i="9" l="1"/>
  <c r="D22" i="9"/>
  <c r="D102" i="9"/>
  <c r="G19" i="9"/>
  <c r="B3" i="12"/>
  <c r="D20" i="9"/>
  <c r="D103" i="9" l="1"/>
  <c r="G20" i="9"/>
  <c r="C32" i="9"/>
  <c r="G21" i="9"/>
  <c r="H118" i="9" l="1"/>
  <c r="C35" i="9"/>
  <c r="F118" i="9" l="1"/>
  <c r="C34" i="9"/>
  <c r="D118" i="9" s="1"/>
  <c r="H101" i="9"/>
  <c r="H119" i="9"/>
  <c r="H5" i="52" s="1"/>
  <c r="H4" i="52"/>
  <c r="C104" i="9"/>
  <c r="D14" i="74"/>
  <c r="I118" i="9"/>
  <c r="C105" i="9" l="1"/>
  <c r="I4" i="52"/>
  <c r="H102" i="9"/>
  <c r="D7" i="53" s="1"/>
  <c r="B21" i="72" s="1"/>
  <c r="D119" i="9"/>
  <c r="D5" i="52" s="1"/>
  <c r="B49" i="72" s="1"/>
  <c r="D4" i="52"/>
  <c r="B47" i="72" s="1"/>
  <c r="B5" i="74"/>
  <c r="F14" i="74"/>
  <c r="E14" i="74"/>
  <c r="D45" i="9"/>
  <c r="H107" i="9"/>
  <c r="M48" i="9"/>
  <c r="D5" i="53"/>
  <c r="F4" i="52"/>
  <c r="B51" i="72" s="1"/>
  <c r="F119" i="9"/>
  <c r="F5" i="52" s="1"/>
  <c r="B53" i="72" s="1"/>
  <c r="G118" i="9"/>
  <c r="D6" i="53" l="1"/>
  <c r="B22" i="72" s="1"/>
  <c r="B20" i="72"/>
  <c r="D122" i="9"/>
  <c r="H108" i="9"/>
  <c r="D15" i="53" s="1"/>
  <c r="B31" i="72" s="1"/>
  <c r="D13" i="53"/>
  <c r="D5" i="74"/>
  <c r="C5" i="74"/>
  <c r="G4" i="52"/>
  <c r="B52" i="72" s="1"/>
  <c r="E118" i="9"/>
  <c r="E4" i="52" s="1"/>
  <c r="B48" i="72" s="1"/>
  <c r="D52" i="9"/>
  <c r="C64" i="9"/>
  <c r="C63" i="9" s="1"/>
  <c r="C67" i="9" s="1"/>
  <c r="C68" i="9" s="1"/>
  <c r="D54" i="9" s="1"/>
  <c r="C72" i="9"/>
  <c r="C79" i="9" s="1"/>
  <c r="C85" i="9"/>
  <c r="C93" i="9"/>
  <c r="C86" i="9" s="1"/>
  <c r="D55" i="9"/>
  <c r="M53" i="9" s="1"/>
  <c r="D53" i="9"/>
  <c r="C78" i="9"/>
  <c r="C73" i="9" s="1"/>
  <c r="C80" i="9"/>
  <c r="E80" i="9" s="1"/>
  <c r="E81" i="9" s="1"/>
  <c r="C95" i="9" l="1"/>
  <c r="C96" i="9" s="1"/>
  <c r="E96" i="9" s="1"/>
  <c r="E97" i="9" s="1"/>
  <c r="D14" i="53"/>
  <c r="B32" i="72" s="1"/>
  <c r="B30" i="72"/>
  <c r="D123" i="9"/>
  <c r="D9" i="52" s="1"/>
  <c r="D8" i="52"/>
  <c r="G14" i="74"/>
  <c r="B6" i="74" s="1"/>
  <c r="C97" i="9"/>
  <c r="D58" i="9" s="1"/>
  <c r="D56" i="9" s="1"/>
  <c r="M54" i="9" s="1"/>
  <c r="N57" i="9" s="1"/>
  <c r="C81" i="9"/>
  <c r="D6" i="74" l="1"/>
  <c r="C6" i="74"/>
  <c r="N59" i="9"/>
  <c r="P57"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<sst xmlns="http://schemas.openxmlformats.org/spreadsheetml/2006/main" count="7895" uniqueCount="3298">
  <si>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</si>
  <si>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</si>
  <si>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</si>
  <si>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</si>
  <si>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</si>
  <si>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</si>
  <si>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</si>
  <si>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</si>
  <si>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</si>
  <si>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</si>
  <si>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</si>
  <si>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</si>
  <si>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</si>
  <si>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</si>
  <si>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</si>
  <si>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</si>
  <si>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</si>
  <si>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</si>
  <si>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</si>
  <si>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</si>
  <si>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</si>
  <si>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</si>
  <si>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</si>
  <si>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</si>
  <si>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</si>
  <si>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</si>
  <si>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</si>
  <si>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</si>
  <si>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</si>
  <si>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</si>
  <si>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</si>
  <si>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</si>
  <si>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</si>
  <si>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</si>
  <si>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</si>
  <si>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</si>
  <si>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</si>
  <si>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</si>
  <si>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</si>
  <si>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</si>
  <si>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</si>
  <si>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</si>
  <si>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</si>
  <si>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</si>
  <si>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</si>
  <si>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</si>
  <si>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</si>
  <si>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</si>
  <si>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</si>
  <si>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</si>
  <si>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</si>
  <si>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</si>
  <si>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</si>
  <si>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</si>
  <si>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</si>
  <si>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</si>
  <si>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</si>
  <si>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</si>
  <si>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</si>
  <si>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</si>
  <si>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</si>
  <si>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</si>
  <si>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</si>
  <si>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</si>
  <si>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</si>
  <si>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</si>
  <si>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</si>
  <si>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</si>
  <si>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</si>
  <si>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</si>
  <si>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</si>
  <si>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</si>
  <si>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</si>
  <si>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</si>
  <si>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</si>
  <si>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</si>
  <si>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</si>
  <si>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</si>
  <si>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</si>
  <si>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</si>
  <si>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</si>
  <si>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</si>
  <si>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</si>
  <si>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</si>
  <si>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</si>
  <si>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</si>
  <si>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</si>
  <si>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</si>
  <si>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</si>
  <si>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</si>
  <si>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</si>
  <si>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</si>
  <si>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</si>
  <si>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</si>
  <si>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</si>
  <si>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</si>
  <si>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</si>
  <si>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</si>
  <si>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</si>
  <si>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</si>
  <si>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</si>
  <si>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</si>
  <si>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</si>
  <si>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</si>
  <si>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</si>
  <si>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</si>
  <si>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</si>
  <si>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</si>
  <si>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</si>
  <si>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</si>
  <si>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</si>
  <si>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</si>
  <si>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</si>
  <si>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</si>
  <si>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</si>
  <si>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</si>
  <si>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</si>
  <si>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</si>
  <si>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</si>
  <si>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</si>
  <si>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</si>
  <si>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</si>
  <si>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</si>
  <si>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</si>
  <si>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</si>
  <si>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</si>
  <si>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</si>
  <si>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</si>
  <si>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</si>
  <si>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</si>
  <si>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</si>
  <si>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</si>
  <si>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</si>
  <si>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</si>
  <si>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</si>
  <si>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</si>
  <si>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</si>
  <si>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</si>
  <si>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</si>
  <si>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</si>
  <si>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</si>
  <si>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</si>
  <si>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</si>
  <si>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</si>
  <si>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</si>
  <si>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</si>
  <si>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</si>
  <si>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</si>
  <si>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</si>
  <si>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</si>
  <si>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</si>
  <si>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</si>
  <si>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</si>
  <si>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</si>
  <si>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</si>
  <si>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</si>
  <si>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</si>
  <si>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</si>
  <si>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</si>
  <si>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</si>
  <si>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</si>
  <si>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</si>
  <si>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</si>
  <si>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</si>
  <si>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</si>
  <si>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</si>
  <si>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</si>
  <si>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</si>
  <si>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</si>
  <si>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</si>
  <si>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</si>
  <si>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</si>
  <si>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</si>
  <si>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</si>
  <si>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</si>
  <si>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</si>
  <si>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</si>
  <si>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</si>
  <si>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</si>
  <si>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</si>
  <si>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</si>
  <si>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</si>
  <si>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</si>
  <si>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</si>
  <si>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</si>
  <si>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</si>
  <si>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</si>
  <si>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</si>
  <si>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</si>
  <si>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</si>
  <si>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</si>
  <si>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</si>
  <si>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</si>
  <si>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</si>
  <si>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</si>
  <si>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</si>
  <si>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</si>
  <si>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</si>
  <si>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</si>
  <si>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</si>
  <si>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</si>
  <si>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</si>
  <si>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</si>
  <si>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</si>
  <si>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</si>
  <si>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</si>
  <si>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</si>
  <si>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</si>
  <si>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</si>
  <si>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</si>
  <si>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</si>
  <si>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</si>
  <si>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</si>
  <si>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</si>
  <si>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</si>
  <si>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</si>
  <si>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</si>
  <si>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</si>
  <si>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</si>
  <si>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</si>
  <si>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</si>
  <si>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</si>
  <si>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</si>
  <si>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</si>
  <si>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</si>
  <si>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</si>
  <si>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</si>
  <si>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</si>
  <si>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</si>
  <si>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</si>
  <si>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</si>
  <si>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</si>
  <si>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</si>
  <si>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</si>
  <si>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</si>
  <si>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</si>
  <si>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</si>
  <si>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</si>
  <si>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</si>
  <si>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</si>
  <si>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</si>
  <si>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</si>
  <si>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</si>
  <si>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</si>
  <si>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</si>
  <si>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</si>
  <si>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</si>
  <si>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</si>
  <si>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</si>
  <si>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</si>
  <si>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</si>
  <si>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</si>
  <si>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</si>
  <si>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</si>
  <si>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</si>
  <si>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</si>
  <si>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</si>
  <si>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</si>
  <si>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</si>
  <si>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</si>
  <si>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</si>
  <si>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</si>
  <si>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</si>
  <si>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</si>
  <si>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</si>
  <si>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</si>
  <si>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</si>
  <si>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</si>
  <si>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</si>
  <si>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</si>
  <si>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</si>
  <si>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</si>
  <si>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</si>
  <si>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</si>
  <si>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</si>
  <si>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</si>
  <si>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</si>
  <si>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</si>
  <si>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</si>
  <si>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</si>
  <si>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</si>
  <si>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</si>
  <si>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</si>
  <si>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</si>
  <si>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</si>
  <si>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</si>
  <si>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</si>
  <si>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</si>
  <si>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</si>
  <si>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</si>
  <si>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</si>
  <si>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</si>
  <si>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</si>
  <si>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</si>
  <si>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</si>
  <si>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</si>
  <si>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</si>
  <si>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</si>
  <si>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</si>
  <si>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</si>
  <si>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</si>
  <si>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</si>
  <si>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</si>
  <si>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</si>
  <si>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</si>
  <si>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</si>
  <si>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</si>
  <si>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</si>
  <si>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</si>
  <si>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</si>
  <si>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</si>
  <si>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</si>
  <si>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</si>
  <si>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</si>
  <si>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</si>
  <si>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</si>
  <si>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</si>
  <si>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</si>
  <si>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</si>
  <si>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</si>
  <si>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</si>
  <si>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</si>
  <si>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</si>
  <si>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</si>
  <si>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</si>
  <si>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</si>
  <si>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</si>
  <si>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</si>
  <si>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</si>
  <si>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</si>
  <si>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</si>
  <si>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</si>
  <si>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</si>
  <si>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</si>
  <si>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</si>
  <si>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</si>
  <si>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</si>
  <si>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</si>
  <si>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</si>
  <si>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</si>
  <si>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</si>
  <si>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</si>
  <si>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</si>
  <si>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</si>
  <si>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</si>
  <si>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</si>
  <si>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</si>
  <si>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</si>
  <si>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</si>
  <si>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</si>
  <si>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</si>
  <si>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</si>
  <si>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</si>
  <si>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</si>
  <si>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</si>
  <si>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</si>
  <si>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</si>
  <si>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</si>
  <si>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</si>
  <si>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</si>
  <si>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</si>
  <si>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</si>
  <si>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</si>
  <si>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</si>
  <si>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</si>
  <si>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</si>
  <si>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</si>
  <si>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</si>
  <si>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</si>
  <si>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</si>
  <si>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</si>
  <si>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</si>
  <si>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</si>
  <si>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</si>
  <si>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</si>
  <si>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</si>
  <si>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</si>
  <si>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</si>
  <si>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</si>
  <si>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</si>
  <si>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</si>
  <si>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</si>
  <si>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</si>
  <si>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</si>
  <si>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</si>
  <si>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</si>
  <si>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</si>
  <si>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</si>
  <si>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</si>
  <si>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</si>
  <si>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</si>
  <si>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</si>
  <si>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</si>
  <si>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</si>
  <si>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</si>
  <si>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</si>
  <si>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</si>
  <si>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</si>
  <si>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</si>
  <si>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</si>
  <si>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</si>
  <si>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</si>
  <si>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</si>
  <si>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</si>
  <si>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</si>
  <si>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</si>
  <si>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</si>
  <si>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</si>
  <si>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</si>
  <si>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</si>
  <si>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</si>
  <si>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</si>
  <si>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</si>
  <si>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</si>
  <si>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</si>
  <si>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</si>
  <si>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</si>
  <si>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</si>
  <si>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</si>
  <si>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</si>
  <si>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</si>
  <si>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</si>
  <si>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</si>
  <si>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</si>
  <si>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</si>
  <si>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</si>
  <si>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</si>
  <si>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</si>
  <si>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</si>
  <si>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</si>
  <si>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</si>
  <si>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</si>
  <si>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</si>
  <si>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</si>
  <si>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</si>
  <si>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</si>
  <si>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</si>
  <si>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</si>
  <si>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</si>
  <si>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</si>
  <si>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</si>
  <si>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</si>
  <si>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</si>
  <si>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</si>
  <si>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</si>
  <si>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</si>
  <si>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</si>
  <si>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</si>
  <si>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</si>
  <si>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</si>
  <si>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</si>
  <si>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</si>
  <si>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</si>
  <si>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</si>
  <si>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</si>
  <si>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</si>
  <si>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</si>
  <si>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</si>
  <si>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</si>
  <si>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</si>
  <si>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</si>
  <si>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</si>
  <si>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</si>
  <si>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</si>
  <si>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</si>
  <si>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</si>
  <si>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</si>
  <si>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</si>
  <si>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</si>
  <si>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</si>
  <si>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</si>
  <si>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</si>
  <si>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</si>
  <si>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</si>
  <si>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</si>
  <si>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</si>
  <si>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</si>
  <si>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</si>
  <si>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</si>
  <si>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</si>
  <si>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</si>
  <si>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</si>
  <si>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</si>
  <si>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</si>
  <si>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</si>
  <si>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</si>
  <si>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</si>
  <si>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</si>
  <si>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</si>
  <si>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</si>
  <si>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</si>
  <si>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</si>
  <si>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</si>
  <si>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</si>
  <si>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</si>
  <si>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</si>
  <si>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</si>
  <si>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</si>
  <si>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</si>
  <si>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</si>
  <si>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</si>
  <si>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</si>
  <si>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</si>
  <si>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</si>
  <si>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</si>
  <si>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</si>
  <si>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</si>
  <si>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</si>
  <si>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</si>
  <si>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</si>
  <si>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</si>
  <si>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</si>
  <si>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</si>
  <si>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</si>
  <si>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</si>
  <si>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</si>
  <si>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</si>
  <si>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</si>
  <si>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</si>
  <si>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</si>
  <si>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</si>
  <si>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</si>
  <si>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</si>
  <si>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</si>
  <si>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</si>
  <si>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</si>
  <si>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</si>
  <si>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</si>
  <si>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</si>
  <si>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</si>
  <si>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</si>
  <si>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</si>
  <si>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</si>
  <si>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</si>
  <si>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</si>
  <si>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</si>
  <si>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</si>
  <si>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</si>
  <si>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</si>
  <si>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</si>
  <si>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</si>
  <si>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</si>
  <si>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</si>
  <si>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</si>
  <si>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</si>
  <si>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</si>
  <si>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</si>
  <si>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</si>
  <si>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</si>
  <si>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</si>
  <si>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</si>
  <si>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</si>
  <si>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</si>
  <si>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</si>
  <si>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</si>
  <si>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</si>
  <si>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</si>
  <si>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</si>
  <si>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</si>
  <si>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</si>
  <si>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</si>
  <si>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</si>
  <si>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</si>
  <si>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</si>
  <si>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</si>
  <si>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</si>
  <si>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</si>
  <si>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</si>
  <si>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</si>
  <si>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</si>
  <si>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</si>
  <si>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</si>
  <si>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</si>
  <si>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</si>
  <si>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</si>
  <si>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</si>
  <si>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</si>
  <si>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</si>
  <si>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</si>
  <si>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</si>
  <si>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</si>
  <si>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</si>
  <si>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</si>
  <si>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</si>
  <si>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</si>
  <si>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</si>
  <si>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</si>
  <si>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</si>
  <si>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</si>
  <si>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</si>
  <si>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</si>
  <si>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</si>
  <si>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</si>
  <si>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</si>
  <si>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</si>
  <si>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</si>
  <si>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</si>
  <si>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</si>
  <si>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</si>
  <si>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</si>
  <si>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</si>
  <si>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</si>
  <si>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</si>
  <si>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</si>
  <si>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</si>
  <si>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</si>
  <si>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</si>
  <si>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</si>
  <si>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</si>
  <si>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</si>
  <si>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</si>
  <si>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</si>
  <si>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</si>
  <si>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</si>
  <si>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</si>
  <si>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</si>
  <si>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</si>
  <si>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</si>
  <si>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</si>
  <si>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</si>
  <si>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</si>
  <si>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</si>
  <si>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</si>
  <si>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</si>
  <si>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</si>
  <si>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</si>
  <si>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</si>
  <si>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</si>
  <si>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</si>
  <si>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</si>
  <si>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</si>
  <si>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</si>
  <si>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</si>
  <si>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</si>
  <si>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</si>
  <si>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</si>
  <si>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</si>
  <si>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</si>
  <si>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</si>
  <si>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</si>
  <si>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</si>
  <si>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</si>
  <si>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</si>
  <si>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</si>
  <si>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</si>
  <si>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</si>
  <si>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</si>
  <si>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</si>
  <si>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</si>
  <si>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</si>
  <si>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</si>
  <si>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</si>
  <si>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</si>
  <si>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</si>
  <si>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</si>
  <si>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</si>
  <si>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</si>
  <si>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</si>
  <si>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</si>
  <si>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</si>
  <si>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</si>
  <si>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</si>
  <si>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</si>
  <si>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</si>
  <si>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</si>
  <si>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</si>
  <si>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</si>
  <si>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</si>
  <si>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</si>
  <si>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</si>
  <si>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</si>
  <si>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</si>
  <si>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</si>
  <si>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</si>
  <si>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</si>
  <si>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</si>
  <si>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</si>
  <si>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</si>
  <si>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</si>
  <si>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</si>
  <si>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</si>
  <si>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</si>
  <si>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</si>
  <si>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</si>
  <si>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</si>
  <si>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</si>
  <si>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</si>
  <si>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</si>
  <si>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</si>
  <si>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</si>
  <si>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</si>
  <si>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</si>
  <si>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</si>
  <si>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</si>
  <si>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</si>
  <si>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</si>
  <si>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</si>
  <si>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</si>
  <si>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</si>
  <si>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</si>
  <si>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</si>
  <si>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</si>
  <si>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</si>
  <si>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</si>
  <si>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</si>
  <si>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</si>
  <si>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</si>
  <si>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</si>
  <si>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</si>
  <si>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</si>
  <si>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</si>
  <si>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</si>
  <si>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</si>
  <si>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</si>
  <si>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</si>
  <si>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</si>
  <si>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</si>
  <si>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</si>
  <si>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</si>
  <si>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</si>
  <si>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</si>
  <si>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</si>
  <si>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</si>
  <si>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</si>
  <si>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</si>
  <si>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</si>
  <si>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</si>
  <si>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</si>
  <si>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</si>
  <si>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</si>
  <si>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</si>
  <si>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</si>
  <si>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</si>
  <si>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</si>
  <si>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</si>
  <si>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</si>
  <si>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</si>
  <si>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</si>
  <si>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</si>
  <si>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</si>
  <si>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</si>
  <si>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</si>
  <si>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</si>
  <si>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</si>
  <si>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</si>
  <si>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</si>
  <si>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</si>
  <si>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</si>
  <si>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</si>
  <si>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</si>
  <si>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</si>
  <si>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</si>
  <si>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</si>
  <si>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</si>
  <si>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</si>
  <si>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</si>
  <si>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</si>
  <si>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</si>
  <si>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</si>
  <si>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</si>
  <si>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</si>
  <si>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</si>
  <si>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</si>
  <si>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</si>
  <si>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</si>
  <si>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</si>
  <si>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</si>
  <si>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</si>
  <si>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</si>
  <si>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</si>
  <si>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</si>
  <si>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</si>
  <si>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</si>
  <si>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</si>
  <si>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</si>
  <si>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</si>
  <si>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</si>
  <si>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</si>
  <si>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</si>
  <si>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</si>
  <si>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</si>
  <si>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</si>
  <si>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</si>
  <si>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</si>
  <si>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</si>
  <si>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</si>
  <si>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</si>
  <si>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</si>
  <si>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</si>
  <si>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</si>
  <si>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</si>
  <si>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</si>
  <si>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</si>
  <si>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</si>
  <si>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</si>
  <si>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</si>
  <si>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</si>
  <si>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</si>
  <si>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</si>
  <si>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</si>
  <si>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</si>
  <si>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</si>
  <si>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</si>
  <si>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</si>
  <si>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</si>
  <si>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</si>
  <si>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</si>
  <si>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</si>
  <si>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</si>
  <si>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</si>
  <si>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</si>
  <si>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</si>
  <si>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</si>
  <si>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</si>
  <si>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</si>
  <si>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</si>
  <si>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</si>
  <si>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</si>
  <si>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</si>
  <si>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</si>
  <si>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</si>
  <si>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</si>
  <si>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</si>
  <si>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</si>
  <si>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</si>
  <si>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</si>
  <si>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</si>
  <si>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</si>
  <si>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</si>
  <si>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</si>
  <si>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</si>
  <si>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</si>
  <si>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</si>
  <si>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</si>
  <si>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</si>
  <si>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</si>
  <si>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</si>
  <si>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</si>
  <si>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</si>
  <si>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</si>
  <si>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</si>
  <si>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</si>
  <si>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</si>
  <si>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</si>
  <si>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</si>
  <si>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</si>
  <si>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</si>
  <si>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</si>
  <si>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</si>
  <si>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</si>
  <si>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</si>
  <si>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</si>
  <si>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</si>
  <si>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</si>
  <si>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</si>
  <si>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</si>
  <si>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</si>
  <si>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</si>
  <si>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</si>
  <si>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</si>
  <si>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</si>
  <si>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</si>
  <si>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</si>
  <si>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</si>
  <si>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</si>
  <si>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</si>
  <si>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</si>
  <si>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</si>
  <si>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</si>
  <si>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</si>
  <si>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</si>
  <si>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</si>
  <si>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</si>
  <si>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</si>
  <si>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</si>
  <si>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</si>
  <si>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</si>
  <si>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</si>
  <si>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</si>
  <si>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</si>
  <si>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</si>
  <si>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</si>
  <si>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</si>
  <si>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</si>
  <si>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</si>
  <si>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</si>
  <si>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</si>
  <si>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</si>
  <si>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</si>
  <si>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</si>
  <si>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</si>
  <si>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</si>
  <si>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</si>
  <si>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</si>
  <si>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</si>
  <si>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</si>
  <si>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</si>
  <si>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</si>
  <si>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</si>
  <si>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</si>
  <si>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</si>
  <si>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</si>
  <si>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</si>
  <si>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</si>
  <si>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</si>
  <si>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</si>
  <si>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</si>
  <si>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</si>
  <si>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</si>
  <si>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</si>
  <si>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</si>
  <si>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</si>
  <si>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</si>
  <si>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</si>
  <si>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</si>
  <si>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</si>
  <si>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</si>
  <si>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</si>
  <si>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</si>
  <si>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</si>
  <si>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</si>
  <si>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</si>
  <si>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</si>
  <si>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</si>
  <si>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</si>
  <si>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</si>
  <si>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</si>
  <si>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</si>
  <si>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</si>
  <si>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</si>
  <si>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</si>
  <si>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</si>
  <si>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</si>
  <si>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</si>
  <si>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</si>
  <si>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</si>
  <si>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</si>
  <si>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</si>
  <si>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</si>
  <si>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</si>
  <si>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</si>
  <si>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</si>
  <si>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</si>
  <si>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</si>
  <si>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</si>
  <si>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</si>
  <si>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</si>
  <si>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</si>
  <si>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</si>
  <si>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</si>
  <si>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</si>
  <si>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</si>
  <si>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</si>
  <si>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</si>
  <si>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</si>
  <si>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</si>
  <si>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</si>
  <si>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</si>
  <si>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</si>
  <si>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</si>
  <si>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</si>
  <si>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</si>
  <si>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</si>
  <si>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</si>
  <si>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</si>
  <si>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</si>
  <si>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</si>
  <si>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</si>
  <si>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</si>
  <si>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</si>
  <si>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</si>
  <si>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</si>
  <si>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</si>
  <si>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</si>
  <si>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</si>
  <si>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</si>
  <si>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</si>
  <si>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</si>
  <si>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</si>
  <si>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</si>
  <si>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</si>
  <si>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</si>
  <si>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</si>
  <si>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</si>
  <si>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</si>
  <si>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</si>
  <si>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</si>
  <si>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</si>
  <si>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</si>
  <si>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</si>
  <si>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</si>
  <si>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</si>
  <si>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</si>
  <si>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</si>
  <si>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</si>
  <si>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</si>
  <si>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</si>
  <si>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</si>
  <si>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</si>
  <si>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</si>
  <si>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</si>
  <si>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</si>
  <si>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</si>
  <si>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</si>
  <si>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</si>
  <si>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</si>
  <si>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</si>
  <si>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</si>
  <si>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</si>
  <si>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</si>
  <si>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</si>
  <si>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</si>
  <si>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</si>
  <si>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</si>
  <si>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</si>
  <si>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</si>
  <si>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</si>
  <si>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</si>
  <si>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</si>
  <si>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</si>
  <si>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</si>
  <si>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</si>
  <si>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</si>
  <si>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</si>
  <si>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</si>
  <si>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</si>
  <si>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</si>
  <si>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</si>
  <si>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</si>
  <si>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</si>
  <si>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</si>
  <si>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</si>
  <si>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</si>
  <si>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</si>
  <si>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</si>
  <si>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</si>
  <si>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</si>
  <si>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</si>
  <si>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</si>
  <si>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</si>
  <si>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</si>
  <si>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</si>
  <si>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</si>
  <si>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</si>
  <si>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</si>
  <si>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</si>
  <si>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</si>
  <si>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</si>
  <si>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</si>
  <si>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</si>
  <si>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</si>
  <si>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</si>
  <si>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</si>
  <si>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</si>
  <si>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</si>
  <si>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</si>
  <si>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</si>
  <si>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</si>
  <si>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</si>
  <si>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</si>
  <si>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</si>
  <si>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</si>
  <si>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</si>
  <si>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</si>
  <si>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</si>
  <si>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</si>
  <si>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</si>
  <si>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</si>
  <si>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</si>
  <si>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</si>
  <si>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</si>
  <si>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</si>
  <si>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</si>
  <si>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</si>
  <si>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</si>
  <si>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</si>
  <si>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</si>
  <si>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</si>
  <si>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</si>
  <si>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</si>
  <si>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</si>
  <si>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</si>
  <si>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</si>
  <si>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</si>
  <si>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</si>
  <si>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</si>
  <si>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</si>
  <si>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</si>
  <si>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</si>
  <si>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</si>
  <si>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</si>
  <si>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</si>
  <si>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</si>
  <si>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</si>
  <si>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</si>
  <si>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</si>
  <si>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</si>
  <si>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</si>
  <si>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</si>
  <si>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</si>
  <si>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</si>
  <si>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</si>
  <si>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</si>
  <si>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</si>
  <si>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</si>
  <si>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</si>
  <si>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</si>
  <si>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</si>
  <si>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</si>
  <si>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</si>
  <si>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</si>
  <si>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</si>
  <si>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</si>
  <si>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</si>
  <si>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</si>
  <si>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</si>
  <si>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</si>
  <si>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</si>
  <si>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</si>
  <si>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</si>
  <si>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</si>
  <si>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</si>
  <si>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</si>
  <si>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</si>
  <si>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</si>
  <si>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</si>
  <si>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</si>
  <si>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</si>
  <si>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</si>
  <si>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</si>
  <si>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</si>
  <si>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</si>
  <si>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</si>
  <si>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</si>
  <si>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</si>
  <si>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</si>
  <si>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</si>
  <si>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</si>
  <si>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</si>
  <si>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</si>
  <si>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</si>
  <si>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</si>
  <si>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</si>
  <si>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</si>
  <si>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</si>
  <si>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</si>
  <si>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</si>
  <si>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</si>
  <si>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</si>
  <si>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</si>
  <si>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</si>
  <si>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</si>
  <si>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</si>
  <si>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</si>
  <si>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</si>
  <si>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</si>
  <si>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</si>
  <si>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</si>
  <si>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</si>
  <si>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</si>
  <si>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</si>
  <si>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</si>
  <si>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</si>
  <si>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</si>
  <si>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</si>
  <si>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</si>
  <si>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</si>
  <si>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</si>
  <si>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</si>
  <si>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</si>
  <si>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</si>
  <si>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</si>
  <si>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</si>
  <si>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</si>
  <si>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</si>
  <si>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</si>
  <si>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</si>
  <si>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</si>
  <si>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</si>
  <si>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</si>
  <si>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</si>
  <si>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</si>
  <si>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</si>
  <si>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</si>
  <si>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</si>
  <si>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</si>
  <si>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</si>
  <si>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</si>
  <si>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</si>
  <si>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</si>
  <si>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</si>
  <si>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</si>
  <si>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</si>
  <si>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</si>
  <si>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</si>
  <si>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</si>
  <si>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</si>
  <si>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</si>
  <si>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</si>
  <si>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</si>
  <si>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</si>
  <si>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</si>
  <si>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</si>
  <si>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</si>
  <si>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</si>
  <si>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</si>
  <si>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</si>
  <si>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</si>
  <si>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</si>
  <si>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</si>
  <si>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</si>
  <si>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</si>
  <si>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</si>
  <si>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</si>
  <si>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</si>
  <si>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</si>
  <si>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</si>
  <si>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</si>
  <si>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</si>
  <si>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</si>
  <si>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</si>
  <si>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</si>
  <si>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</si>
  <si>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</si>
  <si>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</si>
  <si>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</si>
  <si>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</si>
  <si>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</si>
  <si>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</si>
  <si>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</si>
  <si>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</si>
  <si>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</si>
  <si>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</si>
  <si>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</si>
  <si>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</si>
  <si>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</si>
  <si>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</si>
  <si>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</si>
  <si>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</si>
  <si>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</si>
  <si>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</si>
  <si>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</si>
  <si>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</si>
  <si>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</si>
  <si>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</si>
  <si>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</si>
  <si>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</si>
  <si>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</si>
  <si>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</si>
  <si>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</si>
  <si>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</si>
  <si>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</si>
  <si>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</si>
  <si>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</si>
  <si>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</si>
  <si>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</si>
  <si>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</si>
  <si>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</si>
  <si>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</si>
  <si>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</si>
  <si>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</si>
  <si>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</si>
  <si>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</si>
  <si>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</si>
  <si>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</si>
  <si>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</si>
  <si>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</si>
  <si>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</si>
  <si>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</si>
  <si>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</si>
  <si>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</si>
  <si>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</si>
  <si>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</si>
  <si>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</si>
  <si>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</si>
  <si>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</si>
  <si>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</si>
  <si>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</si>
  <si>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</si>
  <si>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</si>
  <si>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</si>
  <si>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</si>
  <si>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</si>
  <si>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</si>
  <si>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</si>
  <si>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</si>
  <si>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</si>
  <si>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</si>
  <si>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</si>
  <si>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</si>
  <si>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</si>
  <si>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</si>
  <si>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</si>
  <si>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</si>
  <si>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</si>
  <si>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</si>
  <si>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</si>
  <si>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</si>
  <si>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</si>
  <si>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</si>
  <si>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</si>
  <si>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</si>
  <si>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</si>
  <si>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</si>
  <si>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</si>
  <si>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</si>
  <si>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</si>
  <si>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</si>
  <si>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</si>
  <si>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</si>
  <si>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</si>
  <si>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</si>
  <si>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</si>
  <si>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</si>
  <si>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</si>
  <si>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</si>
  <si>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</si>
  <si>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</si>
  <si>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</si>
  <si>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</si>
  <si>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</si>
  <si>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</si>
  <si>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</si>
  <si>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</si>
  <si>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</si>
  <si>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</si>
  <si>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</si>
  <si>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</si>
  <si>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</si>
  <si>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</si>
  <si>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</si>
  <si>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</si>
  <si>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</si>
  <si>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</si>
  <si>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</si>
  <si>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</si>
  <si>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</si>
  <si>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</si>
  <si>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</si>
  <si>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</si>
  <si>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</si>
  <si>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</si>
  <si>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</si>
  <si>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</si>
  <si>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</si>
  <si>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</si>
  <si>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</si>
  <si>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</si>
  <si>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</si>
  <si>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</si>
  <si>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</si>
  <si>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</si>
  <si>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</si>
  <si>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</si>
  <si>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</si>
  <si>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</si>
  <si>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</si>
  <si>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</si>
  <si>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</si>
  <si>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</si>
  <si>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</si>
  <si>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</si>
  <si>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</si>
  <si>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</si>
  <si>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</si>
  <si>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</si>
  <si>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</si>
  <si>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</si>
  <si>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</si>
  <si>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</si>
  <si>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</si>
  <si>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</si>
  <si>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</si>
  <si>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</si>
  <si>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</si>
  <si>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</si>
  <si>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</si>
  <si>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</si>
  <si>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</si>
  <si>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</si>
  <si>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</si>
  <si>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</si>
  <si>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</si>
  <si>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</si>
  <si>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</si>
  <si>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</si>
  <si>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</si>
  <si>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</si>
  <si>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</si>
  <si>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</si>
  <si>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</si>
  <si>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</si>
  <si>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</si>
  <si>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</si>
  <si>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</si>
  <si>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</si>
  <si>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</si>
  <si>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</si>
  <si>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</si>
  <si>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</si>
  <si>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</si>
  <si>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</si>
  <si>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</si>
  <si>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</si>
  <si>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</si>
  <si>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</si>
  <si>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</si>
  <si>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</si>
  <si>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</si>
  <si>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</si>
  <si>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</si>
  <si>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</si>
  <si>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</si>
  <si>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</si>
  <si>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</si>
  <si>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</si>
  <si>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</si>
  <si>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</si>
  <si>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</si>
  <si>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</si>
  <si>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</si>
  <si>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</si>
  <si>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</si>
  <si>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</si>
  <si>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</si>
  <si>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</si>
  <si>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</si>
  <si>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</si>
  <si>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</si>
  <si>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</si>
  <si>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</si>
  <si>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</si>
  <si>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</si>
  <si>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</si>
  <si>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</si>
  <si>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</si>
  <si>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</si>
  <si>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</si>
  <si>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</si>
  <si>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</si>
  <si>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</si>
  <si>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</si>
  <si>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</si>
  <si>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</si>
  <si>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</si>
  <si>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</si>
  <si>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</si>
  <si>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</si>
  <si>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</si>
  <si>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</si>
  <si>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</si>
  <si>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</si>
  <si>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</si>
  <si>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</si>
  <si>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</si>
  <si>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</si>
  <si>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</si>
  <si>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</si>
  <si>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</si>
  <si>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</si>
  <si>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</si>
  <si>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</si>
  <si>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</si>
  <si>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</si>
  <si>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</si>
  <si>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</si>
  <si>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</si>
  <si>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</si>
  <si>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</si>
  <si>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</si>
  <si>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</si>
  <si>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</si>
  <si>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</si>
  <si>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</si>
  <si>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</si>
  <si>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</si>
  <si>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</si>
  <si>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</si>
  <si>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</si>
  <si>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</si>
  <si>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</si>
  <si>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</si>
  <si>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</si>
  <si>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</si>
  <si>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</si>
  <si>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</si>
  <si>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</si>
  <si>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</si>
  <si>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</si>
  <si>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</si>
  <si>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</si>
  <si>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</si>
  <si>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</si>
  <si>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</si>
  <si>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</si>
  <si>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</si>
  <si>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</si>
  <si>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</si>
  <si>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</si>
  <si>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</si>
  <si>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</si>
  <si>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</si>
  <si>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</si>
  <si>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</si>
  <si>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</si>
  <si>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</si>
  <si>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</si>
  <si>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</si>
  <si>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</si>
  <si>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</si>
  <si>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</si>
  <si>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</si>
  <si>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</si>
  <si>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</si>
  <si>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</si>
  <si>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</si>
  <si>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</si>
  <si>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</si>
  <si>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</si>
  <si>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</si>
  <si>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</si>
  <si>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</si>
  <si>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</si>
  <si>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</si>
  <si>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</si>
  <si>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</si>
  <si>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</si>
  <si>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</si>
  <si>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</si>
  <si>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</si>
  <si>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</si>
  <si>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</si>
  <si>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</si>
  <si>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</si>
  <si>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</si>
  <si>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</si>
  <si>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</si>
  <si>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</si>
  <si>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</si>
  <si>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</si>
  <si>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</si>
  <si>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</si>
  <si>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</si>
  <si>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</si>
  <si>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</si>
  <si>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</si>
  <si>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</si>
  <si>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</si>
  <si>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</si>
  <si>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</si>
  <si>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</si>
  <si>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</si>
  <si>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</si>
  <si>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</si>
  <si>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</si>
  <si>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</si>
  <si>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</si>
  <si>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</si>
  <si>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</si>
  <si>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</si>
  <si>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</si>
  <si>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</si>
  <si>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</si>
  <si>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</si>
  <si>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</si>
  <si>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</si>
  <si>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</si>
  <si>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</si>
  <si>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</si>
  <si>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</si>
  <si>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</si>
  <si>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</si>
  <si>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</si>
  <si>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</si>
  <si>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</si>
  <si>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</si>
  <si>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</si>
  <si>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</si>
  <si>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</si>
  <si>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</si>
  <si>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</si>
  <si>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</si>
  <si>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</si>
  <si>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</si>
  <si>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</si>
  <si>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</si>
  <si>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</si>
  <si>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</si>
  <si>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</si>
  <si>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</si>
  <si>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</si>
  <si>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</si>
  <si>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</si>
  <si>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</si>
  <si>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</si>
  <si>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</si>
  <si>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</si>
  <si>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</si>
  <si>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</si>
  <si>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</si>
  <si>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</si>
  <si>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</si>
  <si>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</si>
  <si>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</si>
  <si>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</si>
  <si>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</si>
  <si>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</si>
  <si>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</si>
  <si>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</si>
  <si>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</si>
  <si>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</si>
  <si>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</si>
  <si>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</si>
  <si>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</si>
  <si>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</si>
  <si>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</si>
  <si>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</si>
  <si>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</si>
  <si>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</si>
  <si>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</si>
  <si>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</si>
  <si>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</si>
  <si>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</si>
  <si>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</si>
  <si>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</si>
  <si>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</si>
  <si>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</si>
  <si>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</si>
  <si>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</si>
  <si>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</si>
  <si>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</si>
  <si>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</si>
  <si>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</si>
  <si>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</si>
  <si>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</si>
  <si>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</si>
  <si>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</si>
  <si>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</si>
  <si>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</si>
  <si>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</si>
  <si>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</si>
  <si>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</si>
  <si>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</si>
  <si>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</si>
  <si>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</si>
  <si>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</si>
  <si>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</si>
  <si>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</si>
  <si>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</si>
  <si>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</si>
  <si>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</si>
  <si>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</si>
  <si>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</si>
  <si>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</si>
  <si>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</si>
  <si>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</si>
  <si>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</si>
  <si>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</si>
  <si>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</si>
  <si>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</si>
  <si>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</si>
  <si>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</si>
  <si>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</si>
  <si>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</si>
  <si>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</si>
  <si>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</si>
  <si>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</si>
  <si>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</si>
  <si>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</si>
  <si>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</si>
  <si>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</si>
  <si>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</si>
  <si>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</si>
  <si>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</si>
  <si>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</si>
  <si>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</si>
  <si>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</si>
  <si>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</si>
  <si>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</si>
  <si>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</si>
  <si>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</si>
  <si>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</si>
  <si>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</si>
  <si>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</si>
  <si>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</si>
  <si>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</si>
  <si>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</si>
  <si>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</si>
  <si>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</si>
  <si>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</si>
  <si>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</si>
  <si>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</si>
  <si>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</si>
  <si>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</si>
  <si>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</si>
  <si>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</si>
  <si>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</si>
  <si>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</si>
  <si>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</si>
  <si>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</si>
  <si>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</si>
  <si>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</si>
  <si>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</si>
  <si>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</si>
  <si>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</si>
  <si>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</si>
  <si>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</si>
  <si>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</si>
  <si>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</si>
  <si>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</si>
  <si>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</si>
  <si>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</si>
  <si>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</si>
  <si>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</si>
  <si>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</si>
  <si>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</si>
  <si>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</si>
  <si>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</si>
  <si>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</si>
  <si>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</si>
  <si>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</si>
  <si>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</si>
  <si>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</si>
  <si>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</si>
  <si>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</si>
  <si>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</si>
  <si>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</si>
  <si>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</si>
  <si>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</si>
  <si>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</si>
  <si>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</si>
  <si>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</si>
  <si>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</si>
  <si>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</si>
  <si>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</si>
  <si>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</si>
  <si>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</si>
  <si>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</si>
  <si>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</si>
  <si>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</si>
  <si>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</si>
  <si>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</si>
  <si>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</si>
  <si>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</si>
  <si>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</si>
  <si>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</si>
  <si>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</si>
  <si>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</si>
  <si>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</si>
  <si>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</si>
  <si>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</si>
  <si>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</si>
  <si>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</si>
  <si>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</si>
  <si>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</si>
  <si>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</si>
  <si>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</si>
  <si>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</si>
  <si>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</si>
  <si>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</si>
  <si>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</si>
  <si>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</si>
  <si>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</si>
  <si>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</si>
  <si>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</si>
  <si>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</si>
  <si>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</si>
  <si>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</si>
  <si>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</si>
  <si>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</si>
  <si>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</si>
  <si>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</si>
  <si>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</si>
  <si>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</si>
  <si>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</si>
  <si>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</si>
  <si>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</si>
  <si>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</si>
  <si>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</si>
  <si>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</si>
  <si>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</si>
  <si>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</si>
  <si>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</si>
  <si>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</si>
  <si>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</si>
  <si>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</si>
  <si>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</si>
  <si>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</si>
  <si>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</si>
  <si>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</si>
  <si>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</si>
  <si>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</si>
  <si>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</si>
  <si>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</si>
  <si>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</si>
  <si>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</si>
  <si>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</si>
  <si>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</si>
  <si>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</si>
  <si>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</si>
  <si>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</si>
  <si>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</si>
  <si>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</si>
  <si>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</si>
  <si>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</si>
  <si>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</si>
  <si>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</si>
  <si>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</si>
  <si>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</si>
  <si>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</si>
  <si>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</si>
  <si>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</si>
  <si>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</si>
  <si>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</si>
  <si>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</si>
  <si>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</si>
  <si>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</si>
  <si>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</si>
  <si>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</si>
  <si>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</si>
  <si>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</si>
  <si>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</si>
  <si>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</si>
  <si>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</si>
  <si>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</si>
  <si>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</si>
  <si>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</si>
  <si>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</si>
  <si>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</si>
  <si>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</si>
  <si>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</si>
  <si>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</si>
  <si>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</si>
  <si>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</si>
  <si>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</si>
  <si>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</si>
  <si>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</si>
  <si>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</si>
  <si>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</si>
  <si>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</si>
  <si>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</si>
  <si>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</si>
  <si>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</si>
  <si>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</si>
  <si>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</si>
  <si>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</si>
  <si>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</si>
  <si>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</si>
  <si>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</si>
  <si>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</si>
  <si>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</si>
  <si>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</si>
  <si>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</si>
  <si>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</si>
  <si>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</si>
  <si>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</si>
  <si>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</si>
  <si>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</si>
  <si>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</si>
  <si>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</si>
  <si>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</si>
  <si>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</si>
  <si>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</si>
  <si>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</si>
  <si>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</si>
  <si>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</si>
  <si>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</si>
  <si>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</si>
  <si>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</si>
  <si>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</si>
  <si>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</si>
  <si>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</si>
  <si>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</si>
  <si>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</si>
  <si>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</si>
  <si>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</si>
  <si>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</si>
  <si>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</si>
  <si>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</si>
  <si>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</si>
  <si>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</si>
  <si>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</si>
  <si>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</si>
  <si>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</si>
  <si>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</si>
  <si>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</si>
  <si>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</si>
  <si>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</si>
  <si>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</si>
  <si>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</si>
  <si>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</si>
  <si>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</si>
  <si>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</si>
  <si>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</si>
  <si>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</si>
  <si>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</si>
  <si>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</si>
  <si>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</si>
  <si>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</si>
  <si>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</si>
  <si>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</si>
  <si>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</si>
  <si>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</si>
  <si>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</si>
  <si>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</si>
  <si>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</si>
  <si>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</si>
  <si>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</si>
  <si>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</si>
  <si>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</si>
  <si>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</si>
  <si>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</si>
  <si>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</si>
  <si>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</si>
  <si>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</si>
  <si>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</si>
  <si>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</si>
  <si>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</si>
  <si>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</si>
  <si>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</si>
  <si>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</si>
  <si>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</si>
  <si>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</si>
  <si>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</si>
  <si>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</si>
  <si>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</si>
  <si>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</si>
  <si>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</si>
  <si>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</si>
  <si>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</si>
  <si>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</si>
  <si>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</si>
  <si>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</si>
  <si>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</si>
  <si>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</si>
  <si>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</si>
  <si>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</si>
  <si>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</si>
  <si>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</si>
  <si>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</si>
  <si>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</si>
  <si>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</si>
  <si>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</si>
  <si>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</si>
  <si>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</si>
  <si>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</si>
  <si>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</si>
  <si>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</si>
  <si>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</si>
  <si>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</si>
  <si>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</si>
  <si>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</si>
  <si>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</si>
  <si>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</si>
  <si>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</si>
  <si>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</si>
  <si>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</si>
  <si>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</si>
  <si>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</si>
  <si>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</si>
  <si>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</si>
  <si>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</si>
  <si>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</si>
  <si>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</si>
  <si>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</si>
  <si>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</si>
  <si>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</si>
  <si>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</si>
  <si>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</si>
  <si>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</si>
  <si>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</si>
  <si>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</si>
  <si>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</si>
  <si>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</si>
  <si>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</si>
  <si>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</si>
  <si>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</si>
  <si>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</si>
  <si>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</si>
  <si>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</si>
  <si>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</si>
  <si>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</si>
  <si>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</si>
  <si>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</si>
  <si>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</si>
  <si>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</si>
  <si>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</si>
  <si>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</si>
  <si>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</si>
  <si>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</si>
  <si>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</si>
  <si>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</si>
  <si>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</si>
  <si>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</si>
  <si>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</si>
  <si>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</si>
  <si>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</si>
  <si>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</si>
  <si>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</si>
  <si>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</si>
  <si>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</si>
  <si>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</si>
  <si>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</si>
  <si>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</si>
  <si>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</si>
  <si>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</si>
  <si>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</si>
  <si>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</si>
  <si>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</si>
  <si>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</si>
  <si>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</si>
  <si>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</si>
  <si>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</si>
  <si>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</si>
  <si>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</si>
  <si>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</si>
  <si>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</si>
  <si>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</si>
  <si>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</si>
  <si>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</si>
  <si>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</si>
  <si>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</si>
  <si>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</si>
  <si>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</si>
  <si>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</si>
  <si>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</si>
  <si>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</si>
  <si>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</si>
  <si>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</si>
  <si>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</si>
  <si>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</si>
  <si>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</si>
  <si>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</si>
  <si>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</si>
  <si>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</si>
  <si>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</si>
  <si>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</si>
  <si>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</si>
  <si>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</si>
  <si>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</si>
  <si>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</si>
  <si>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</si>
  <si>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</si>
  <si>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</si>
  <si>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</si>
  <si>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</si>
  <si>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</si>
  <si>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</si>
  <si>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</si>
  <si>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</si>
  <si>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</si>
  <si>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</si>
  <si>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</si>
  <si>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</si>
  <si>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</si>
  <si>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</si>
  <si>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</si>
  <si>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</si>
  <si>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</si>
  <si>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</si>
  <si>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</si>
  <si>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</si>
  <si>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</si>
  <si>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</si>
  <si>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</si>
  <si>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</si>
  <si>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</si>
  <si>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</si>
  <si>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</si>
  <si>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</si>
  <si>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</si>
  <si>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</si>
  <si>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</si>
  <si>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</si>
  <si>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</si>
  <si>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</si>
  <si>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</si>
  <si>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</si>
  <si>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</si>
  <si>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</si>
  <si>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</si>
  <si>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</si>
  <si>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</si>
  <si>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</si>
  <si>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</si>
  <si>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</si>
  <si>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</si>
  <si>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</si>
  <si>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</si>
  <si>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</si>
  <si>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</si>
  <si>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</si>
  <si>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</si>
  <si>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</si>
  <si>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</si>
  <si>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</si>
  <si>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</si>
  <si>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</si>
  <si>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</si>
  <si>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</si>
  <si>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</si>
  <si>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</si>
  <si>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</si>
  <si>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</si>
  <si>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</si>
  <si>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</si>
  <si>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</si>
  <si>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</si>
  <si>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</si>
  <si>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</si>
  <si>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</si>
  <si>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</si>
  <si>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</si>
  <si>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</si>
  <si>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</si>
  <si>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</si>
  <si>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</si>
  <si>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</si>
  <si>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</si>
  <si>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</si>
  <si>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</si>
  <si>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</si>
  <si>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</si>
  <si>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</si>
  <si>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</si>
  <si>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</si>
  <si>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</si>
  <si>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</si>
  <si>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</si>
  <si>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</si>
  <si>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</si>
  <si>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</si>
  <si>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</si>
  <si>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</si>
  <si>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</si>
  <si>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</si>
  <si>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</si>
  <si>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</si>
  <si>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</si>
  <si>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</si>
  <si>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</si>
  <si>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</si>
  <si>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</si>
  <si>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</si>
  <si>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</si>
  <si>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</si>
  <si>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</si>
  <si>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</si>
  <si>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</si>
  <si>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</si>
  <si>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</si>
  <si>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</si>
  <si>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</si>
  <si>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</si>
  <si>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</si>
  <si>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</si>
  <si>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</si>
  <si>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</si>
  <si>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</si>
  <si>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</si>
  <si>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</si>
  <si>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</si>
  <si>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</si>
  <si>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</si>
  <si>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</si>
  <si>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</si>
  <si>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</si>
  <si>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</si>
  <si>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</si>
  <si>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</si>
  <si>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</si>
  <si>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</si>
  <si>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</si>
  <si>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</si>
  <si>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</si>
  <si>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</si>
  <si>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</si>
  <si>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</si>
  <si>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</si>
  <si>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</si>
  <si>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</si>
  <si>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</si>
  <si>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</si>
  <si>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</si>
  <si>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</si>
  <si>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</si>
  <si>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</si>
  <si>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</si>
  <si>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</si>
  <si>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</si>
  <si>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</si>
  <si>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</si>
  <si>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</si>
  <si>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</si>
  <si>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</si>
  <si>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</si>
  <si>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</si>
  <si>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</si>
  <si>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</si>
  <si>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</si>
  <si>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</si>
  <si>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</si>
  <si>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</si>
  <si>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</si>
  <si>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</si>
  <si>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</si>
  <si>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</si>
  <si>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</si>
  <si>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</si>
  <si>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</si>
  <si>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</si>
  <si>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</si>
  <si>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</si>
  <si>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</si>
  <si>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</si>
  <si>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</si>
  <si>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</si>
  <si>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</si>
  <si>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</si>
  <si>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</si>
  <si>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</si>
  <si>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</si>
  <si>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</si>
  <si>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</si>
  <si>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</si>
  <si>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</si>
  <si>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</si>
  <si>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</si>
  <si>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</si>
  <si>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</si>
  <si>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</si>
  <si>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</si>
  <si>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</si>
  <si>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</si>
  <si>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</si>
  <si>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</si>
  <si>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</si>
  <si>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</si>
  <si>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</si>
  <si>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</si>
  <si>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</si>
  <si>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</si>
  <si>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</si>
  <si>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</si>
  <si>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</si>
  <si>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</si>
  <si>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</si>
  <si>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</si>
  <si>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</si>
  <si>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</si>
  <si>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</si>
  <si>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</si>
  <si>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</si>
  <si>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</si>
  <si>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</si>
  <si>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</si>
  <si>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</si>
  <si>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</si>
  <si>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</si>
  <si>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</si>
  <si>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</si>
  <si>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</si>
  <si>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</si>
  <si>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</si>
  <si>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</si>
  <si>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</si>
  <si>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</si>
  <si>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</si>
  <si>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</si>
  <si>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</si>
  <si>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</si>
  <si>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</si>
  <si>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</si>
  <si>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</si>
  <si>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</si>
  <si>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</si>
  <si>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</si>
  <si>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</si>
  <si>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</si>
  <si>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</si>
  <si>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</si>
  <si>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</si>
  <si>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</si>
  <si>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</si>
  <si>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</si>
  <si>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</si>
  <si>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</si>
  <si>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</si>
  <si>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</si>
  <si>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</si>
  <si>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</si>
  <si>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</si>
  <si>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</si>
  <si>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</si>
  <si>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</si>
  <si>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</si>
  <si>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</si>
  <si>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</si>
  <si>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</si>
  <si>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</si>
  <si>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</si>
  <si>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</si>
  <si>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</si>
  <si>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</si>
  <si>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</si>
  <si>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</si>
  <si>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</si>
  <si>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</si>
  <si>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</si>
  <si>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</si>
  <si>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</si>
  <si>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</si>
  <si>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</si>
  <si>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</si>
  <si>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</si>
  <si>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</si>
  <si>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</si>
  <si>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</si>
  <si>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</si>
  <si>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</si>
  <si>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</si>
  <si>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</si>
  <si>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</si>
  <si>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</si>
  <si>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</si>
  <si>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</si>
  <si>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</si>
  <si>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</si>
  <si>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</si>
  <si>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</si>
  <si>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</si>
  <si>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</si>
  <si>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</si>
  <si>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</si>
  <si>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</si>
  <si>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</si>
  <si>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</si>
  <si>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</si>
  <si>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</si>
  <si>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</si>
  <si>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</si>
  <si>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</si>
  <si>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</si>
  <si>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</si>
  <si>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</si>
  <si>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</si>
  <si>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</si>
  <si>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</si>
  <si>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</si>
  <si>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</si>
  <si>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</si>
  <si>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</si>
  <si>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</si>
  <si>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</si>
  <si>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</si>
  <si>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</si>
  <si>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</si>
  <si>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</si>
  <si>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</si>
  <si>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</si>
  <si>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</si>
  <si>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</si>
  <si>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</si>
  <si>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</si>
  <si>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</si>
  <si>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</si>
  <si>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</si>
  <si>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</si>
  <si>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</si>
  <si>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</si>
  <si>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</si>
  <si>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</si>
  <si>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</si>
  <si>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</si>
  <si>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</si>
  <si>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</si>
  <si>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</si>
  <si>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</si>
  <si>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</si>
  <si>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</si>
  <si>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</si>
  <si>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</si>
  <si>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</si>
  <si>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</si>
  <si>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</si>
  <si>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</si>
  <si>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</si>
  <si>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</si>
  <si>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</si>
  <si>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</si>
  <si>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</si>
  <si>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</si>
  <si>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</si>
  <si>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</si>
  <si>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</si>
  <si>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</si>
  <si>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</si>
  <si>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</si>
  <si>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</si>
  <si>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</si>
  <si>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</si>
  <si>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</si>
  <si>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</si>
  <si>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</si>
  <si>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</si>
  <si>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</si>
  <si>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</si>
  <si>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</si>
  <si>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</si>
  <si>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</si>
  <si>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</si>
  <si>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</si>
  <si>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</si>
  <si>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</si>
  <si>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</si>
  <si>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</si>
  <si>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</si>
  <si>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</si>
  <si>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</si>
  <si>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</si>
  <si>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</si>
  <si>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</si>
  <si>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</si>
  <si>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</si>
  <si>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</si>
  <si>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</si>
  <si>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</si>
  <si>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</si>
  <si>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</si>
  <si>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</si>
  <si>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</si>
  <si>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</si>
  <si>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</si>
  <si>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</si>
  <si>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</si>
  <si>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</si>
  <si>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</si>
  <si>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</si>
  <si>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</si>
  <si>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</si>
  <si>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</si>
  <si>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</si>
  <si>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</si>
  <si>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</si>
  <si>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</si>
  <si>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</si>
  <si>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</si>
  <si>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</si>
  <si>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</si>
  <si>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</si>
  <si>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</si>
  <si>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</si>
  <si>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</si>
  <si>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</si>
  <si>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</si>
  <si>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</si>
  <si>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</si>
  <si>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</si>
  <si>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</si>
  <si>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</si>
  <si>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</si>
  <si>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</si>
  <si>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</si>
  <si>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</si>
  <si>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</si>
  <si>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</si>
  <si>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</si>
  <si>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</si>
  <si>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</si>
  <si>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</si>
  <si>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</si>
  <si>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</si>
  <si>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</si>
  <si>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</si>
  <si>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</si>
  <si>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</si>
  <si>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</si>
  <si>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</si>
  <si>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</si>
  <si>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</si>
  <si>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</si>
  <si>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</si>
  <si>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</si>
  <si>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</si>
  <si>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</si>
  <si>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</si>
  <si>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</si>
  <si>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</si>
  <si>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</si>
  <si>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</si>
  <si>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</si>
  <si>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</si>
  <si>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</si>
  <si>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</si>
  <si>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</si>
  <si>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</si>
  <si>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</si>
  <si>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</si>
  <si>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</si>
  <si>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</si>
  <si>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</si>
  <si>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</si>
  <si>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</si>
  <si>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</si>
  <si>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</si>
  <si>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</si>
  <si>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</si>
  <si>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</si>
  <si>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</si>
  <si>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</si>
  <si>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</si>
  <si>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</si>
  <si>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</si>
  <si>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</si>
  <si>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</si>
  <si>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</si>
  <si>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</si>
  <si>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</si>
  <si>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</si>
  <si>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</si>
  <si>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</si>
  <si>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</si>
  <si>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</si>
  <si>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</si>
  <si>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</si>
  <si>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</si>
  <si>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</si>
  <si>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</si>
  <si>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</si>
  <si>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</si>
  <si>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</si>
  <si>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</si>
  <si>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</si>
  <si>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</si>
  <si>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</si>
  <si>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</si>
  <si>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</si>
  <si>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</si>
  <si>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</si>
  <si>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</si>
  <si>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</si>
  <si>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</si>
  <si>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</si>
  <si>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</si>
  <si>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</si>
  <si>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</si>
  <si>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</si>
  <si>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</si>
  <si>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</si>
  <si>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</si>
  <si>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</si>
  <si>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</si>
  <si>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</si>
  <si>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</si>
  <si>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</si>
  <si>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</si>
  <si>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</si>
  <si>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</si>
  <si>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</si>
  <si>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</si>
  <si>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</si>
  <si>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</si>
  <si>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</si>
  <si>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</si>
  <si>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</si>
  <si>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</si>
  <si>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</si>
  <si>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</si>
  <si>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</si>
  <si>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</si>
  <si>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</si>
  <si>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</si>
  <si>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</si>
  <si>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</si>
  <si>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</si>
  <si>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</si>
  <si>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</si>
  <si>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</si>
  <si>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</si>
  <si>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</si>
  <si>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</si>
  <si>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</si>
  <si>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</si>
  <si>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</si>
  <si>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</si>
  <si>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</si>
  <si>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</si>
  <si>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</si>
  <si>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</si>
  <si>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</si>
  <si>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</si>
  <si>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</si>
  <si>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</si>
  <si>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</si>
  <si>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</si>
  <si>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</si>
  <si>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</si>
  <si>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</si>
  <si>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</si>
  <si>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</si>
  <si>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</si>
  <si>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</si>
  <si>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</si>
  <si>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</si>
  <si>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</si>
  <si>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</si>
  <si>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</si>
  <si>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</si>
  <si>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</si>
  <si>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</si>
  <si>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</si>
  <si>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</si>
  <si>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</si>
  <si>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</si>
  <si>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</si>
  <si>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</si>
  <si>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</si>
  <si>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</si>
  <si>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</si>
  <si>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</si>
  <si>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</si>
  <si>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</si>
  <si>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</si>
  <si>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</si>
  <si>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</si>
  <si>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</si>
  <si>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</si>
  <si>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</si>
  <si>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</si>
  <si>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</si>
  <si>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</si>
  <si>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</si>
  <si>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</si>
  <si>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</si>
  <si>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</si>
  <si>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</si>
  <si>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</si>
  <si>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</si>
  <si>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</si>
  <si>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</si>
  <si>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</si>
  <si>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</si>
  <si>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</si>
  <si>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</si>
  <si>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</si>
  <si>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</si>
  <si>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</si>
  <si>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</si>
  <si>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</si>
  <si>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</si>
  <si>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</si>
  <si>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</si>
  <si>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</si>
  <si>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</si>
  <si>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</si>
  <si>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</si>
  <si>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</si>
  <si>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</si>
  <si>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</si>
  <si>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</si>
  <si>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</si>
  <si>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</si>
  <si>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</si>
  <si>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</si>
  <si>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</si>
  <si>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</si>
  <si>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</si>
  <si>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</si>
  <si>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</si>
  <si>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</si>
  <si>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</si>
  <si>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</si>
  <si>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</si>
  <si>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</si>
  <si>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</si>
  <si>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</si>
  <si>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</si>
  <si>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</si>
  <si>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</si>
  <si>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</si>
  <si>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</si>
  <si>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</si>
  <si>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</si>
  <si>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</si>
  <si>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</si>
  <si>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</si>
  <si>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</si>
  <si>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</si>
  <si>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</si>
  <si>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</si>
  <si>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</si>
  <si>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</si>
  <si>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</si>
  <si>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</si>
  <si>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</si>
  <si>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</si>
  <si>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</si>
  <si>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</si>
  <si>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</si>
  <si>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</si>
  <si>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</si>
  <si>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</si>
  <si>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</si>
  <si>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</si>
  <si>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</si>
  <si>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</si>
  <si>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</si>
  <si>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</si>
  <si>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</si>
  <si>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</si>
  <si>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</si>
  <si>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</si>
  <si>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</si>
  <si>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</si>
  <si>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</si>
  <si>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</si>
  <si>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</si>
  <si>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</si>
  <si>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</si>
  <si>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</si>
  <si>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</si>
  <si>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</si>
  <si>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</si>
  <si>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</si>
  <si>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</si>
  <si>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</si>
  <si>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</si>
  <si>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</si>
  <si>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</si>
  <si>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</si>
  <si>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</si>
  <si>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</si>
  <si>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</si>
  <si>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</si>
  <si>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</si>
  <si>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</si>
  <si>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</si>
  <si>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</si>
  <si>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</si>
  <si>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</si>
  <si>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</si>
  <si>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</si>
  <si>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</si>
  <si>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</si>
  <si>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</si>
  <si>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</si>
  <si>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</si>
  <si>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</si>
  <si>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</si>
  <si>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</si>
  <si>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</si>
  <si>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</si>
  <si>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</si>
  <si>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</si>
  <si>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</si>
  <si>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</si>
  <si>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</si>
  <si>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</si>
  <si>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</si>
  <si>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</si>
  <si>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</si>
  <si>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</si>
  <si>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</si>
  <si>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</si>
  <si>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</si>
  <si>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</si>
  <si>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</si>
  <si>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</si>
  <si>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</si>
  <si>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</si>
  <si>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</si>
  <si>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</si>
  <si>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</si>
  <si>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</si>
  <si>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</si>
  <si>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</si>
  <si>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</si>
  <si>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</si>
  <si>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</si>
  <si>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</si>
  <si>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</si>
  <si>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</si>
  <si>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</si>
  <si>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</si>
  <si>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</si>
  <si>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</si>
  <si>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</si>
  <si>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</si>
  <si>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</si>
  <si>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</si>
  <si>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</si>
  <si>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</si>
  <si>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</si>
  <si>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</si>
  <si>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</si>
  <si>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</si>
  <si>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</si>
  <si>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</si>
  <si>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</si>
  <si>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</si>
  <si>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</si>
  <si>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</si>
  <si>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</si>
  <si>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</si>
  <si>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</si>
  <si>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</si>
  <si>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</si>
  <si>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</si>
  <si>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</si>
  <si>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</si>
  <si>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</si>
  <si>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</si>
  <si>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</si>
  <si>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</si>
  <si>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</si>
  <si>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</si>
  <si>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</si>
  <si>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</si>
  <si>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</si>
  <si>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</si>
  <si>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</si>
  <si>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</si>
  <si>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</si>
  <si>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</si>
  <si>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</si>
  <si>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</si>
  <si>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</si>
  <si>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</si>
  <si>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</si>
  <si>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</si>
  <si>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</si>
  <si>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</si>
  <si>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</si>
  <si>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</si>
  <si>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</si>
  <si>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</si>
  <si>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</si>
  <si>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</si>
  <si>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</si>
  <si>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</si>
  <si>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</si>
  <si>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</si>
  <si>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</si>
  <si>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</si>
  <si>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</si>
  <si>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</si>
  <si>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</si>
  <si>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</si>
  <si>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</si>
  <si>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</si>
  <si>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</si>
  <si>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</si>
  <si>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</si>
  <si>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</si>
  <si>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</si>
  <si>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</si>
  <si>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</si>
  <si>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</si>
  <si>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</si>
  <si>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</si>
  <si>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</si>
  <si>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</si>
  <si>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</si>
  <si>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</si>
  <si>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</si>
  <si>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</si>
  <si>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</si>
  <si>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</si>
  <si>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</si>
  <si>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</si>
  <si>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</si>
  <si>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</si>
  <si>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</si>
  <si>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</si>
  <si>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</si>
  <si>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</si>
  <si>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</si>
  <si>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</si>
  <si>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</si>
  <si>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</si>
  <si>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</si>
  <si>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</si>
  <si>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</si>
  <si>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</si>
  <si>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</si>
  <si>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</si>
  <si>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</si>
  <si>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</si>
  <si>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</si>
  <si>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</si>
  <si>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</si>
  <si>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</si>
  <si>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</si>
  <si>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</si>
  <si>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</si>
  <si>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</si>
  <si>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</si>
  <si>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</si>
  <si>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</si>
  <si>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</si>
  <si>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</si>
  <si>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</si>
  <si>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</si>
  <si>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</si>
  <si>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</si>
  <si>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</si>
  <si>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</si>
  <si>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</si>
  <si>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</si>
  <si>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</si>
  <si>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</si>
  <si>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</si>
  <si>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</si>
  <si>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</si>
  <si>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</si>
  <si>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</si>
  <si>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</si>
  <si>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</si>
  <si>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</si>
  <si>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</si>
  <si>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</si>
  <si>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</si>
  <si>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</si>
  <si>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</si>
  <si>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</si>
  <si>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</si>
  <si>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</si>
  <si>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</si>
  <si>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</si>
  <si>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</si>
  <si>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</si>
  <si>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</si>
  <si>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</si>
  <si>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</si>
  <si>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</si>
  <si>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</si>
  <si>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</si>
  <si>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</si>
  <si>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</si>
  <si>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</si>
  <si>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</si>
  <si>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</si>
  <si>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</si>
  <si>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</si>
  <si>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</si>
  <si>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</si>
  <si>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</si>
  <si>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</si>
  <si>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</si>
  <si>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</si>
  <si>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</si>
  <si>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</si>
  <si>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</si>
  <si>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</si>
  <si>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</si>
  <si>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</si>
  <si>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</si>
  <si>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</si>
  <si>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</si>
  <si>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</si>
  <si>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</si>
  <si>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</si>
  <si>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</si>
  <si>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</si>
  <si>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</si>
  <si>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</si>
  <si>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</si>
  <si>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</si>
  <si>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</si>
  <si>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</si>
  <si>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</si>
  <si>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</si>
  <si>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</si>
  <si>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</si>
  <si>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</si>
  <si>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</si>
  <si>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</si>
  <si>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</si>
  <si>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</si>
  <si>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</si>
  <si>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</si>
  <si>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</si>
  <si>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</si>
  <si>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</si>
  <si>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</si>
  <si>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</si>
  <si>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</si>
  <si>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</si>
  <si>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</si>
  <si>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</si>
  <si>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</si>
  <si>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</si>
  <si>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</si>
  <si>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</si>
  <si>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</si>
  <si>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</si>
  <si>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</si>
  <si>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</si>
  <si>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</si>
  <si>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</si>
  <si>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</si>
  <si>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</si>
  <si>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</si>
  <si>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</si>
  <si>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</si>
  <si>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</si>
  <si>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</si>
  <si>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</si>
  <si>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</si>
  <si>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</si>
  <si>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</si>
  <si>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</si>
  <si>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</si>
  <si>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</si>
  <si>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</si>
  <si>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</si>
  <si>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</si>
  <si>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</si>
  <si>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</si>
  <si>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</si>
  <si>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</si>
  <si>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</si>
  <si>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</si>
  <si>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</si>
  <si>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</si>
  <si>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</si>
  <si>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</si>
  <si>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</si>
  <si>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</si>
  <si>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</si>
  <si>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</si>
  <si>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</si>
  <si>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</si>
  <si>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</si>
  <si>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</si>
  <si>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</si>
  <si>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</si>
  <si>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</si>
  <si>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</si>
  <si>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</si>
  <si>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</si>
  <si>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</si>
  <si>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</si>
  <si>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</si>
  <si>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</si>
  <si>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</si>
  <si>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</si>
  <si>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</si>
  <si>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</si>
  <si>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</si>
  <si>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</si>
  <si>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</si>
  <si>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</si>
  <si>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</si>
  <si>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</si>
  <si>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</si>
  <si>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</si>
  <si>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</si>
  <si>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</si>
  <si>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</si>
  <si>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</si>
  <si>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房间综合查询表</t>
  </si>
  <si>
    <t xml:space="preserve">第1页/共1页 </t>
  </si>
  <si>
    <t>序号</t>
  </si>
  <si>
    <t>项目</t>
  </si>
  <si>
    <t>房号</t>
  </si>
  <si>
    <t>产品类型</t>
  </si>
  <si>
    <t>销售分期</t>
  </si>
  <si>
    <t>楼栋名称</t>
  </si>
  <si>
    <t>客户名称</t>
  </si>
  <si>
    <t>客户性别</t>
  </si>
  <si>
    <t>客户籍贯</t>
  </si>
  <si>
    <t>合同编号</t>
  </si>
  <si>
    <t>签约时间</t>
  </si>
  <si>
    <t>建筑面积</t>
  </si>
  <si>
    <t>套内面积</t>
  </si>
  <si>
    <t>标准总价</t>
  </si>
  <si>
    <t>建筑成交单价</t>
  </si>
  <si>
    <t>套内成交单价</t>
  </si>
  <si>
    <t>合同总价</t>
  </si>
  <si>
    <t>核定总价</t>
  </si>
  <si>
    <t>付款方式</t>
  </si>
  <si>
    <t>商贷金额</t>
  </si>
  <si>
    <t>商贷银行</t>
  </si>
  <si>
    <t>公积金金额</t>
  </si>
  <si>
    <t>公积金银行</t>
  </si>
  <si>
    <t>已收定金</t>
  </si>
  <si>
    <t>已收首期</t>
  </si>
  <si>
    <t>已收贷款</t>
  </si>
  <si>
    <t>已收定金余额</t>
  </si>
  <si>
    <t>已收首期余额</t>
  </si>
  <si>
    <t>已收贷款余额</t>
  </si>
  <si>
    <t>已收税费</t>
  </si>
  <si>
    <t>已划税费</t>
  </si>
  <si>
    <t>缴纳余额</t>
  </si>
  <si>
    <t>实测建筑面积</t>
  </si>
  <si>
    <t>实测套内面积</t>
  </si>
  <si>
    <t>实测报告面积</t>
  </si>
  <si>
    <t>补差款</t>
  </si>
  <si>
    <t>补差款余额</t>
  </si>
  <si>
    <t>竣工时间</t>
  </si>
  <si>
    <t>交房时间</t>
  </si>
  <si>
    <t>正签时间</t>
  </si>
  <si>
    <t>房间备注</t>
  </si>
  <si>
    <t>折扣明细</t>
  </si>
  <si>
    <t>业务员</t>
  </si>
  <si>
    <t>认购时间</t>
  </si>
  <si>
    <t>新孙河景粼原著项目-二期-景粼原著</t>
  </si>
  <si>
    <t>BJJLYZ2CK-1-002</t>
  </si>
  <si>
    <t>二期分户房间</t>
  </si>
  <si>
    <t>1号地下车库</t>
  </si>
  <si>
    <t>车库</t>
    <phoneticPr fontId="143" type="noConversion"/>
  </si>
  <si>
    <t>BJJLYZ2CK-1-006</t>
  </si>
  <si>
    <t>车库</t>
    <phoneticPr fontId="143" type="noConversion"/>
  </si>
  <si>
    <t>BJJLYZ2CK-1-011</t>
  </si>
  <si>
    <t>奉佑生</t>
  </si>
  <si>
    <t>男</t>
  </si>
  <si>
    <t>车库</t>
    <phoneticPr fontId="143" type="noConversion"/>
  </si>
  <si>
    <t>全款一次性方式</t>
  </si>
  <si>
    <t>[房间总价]</t>
  </si>
  <si>
    <t>王佳</t>
  </si>
  <si>
    <t>BJJLYZ2CK-1-012</t>
  </si>
  <si>
    <t>车库</t>
    <phoneticPr fontId="143" type="noConversion"/>
  </si>
  <si>
    <t>BJJLYZ2CK-1-016</t>
  </si>
  <si>
    <t>BJJLYZ2CK-1-017</t>
  </si>
  <si>
    <t>BJJLYZ2CK-1-018</t>
  </si>
  <si>
    <t>BJJLYZ2CK-1-019</t>
  </si>
  <si>
    <t>BJJLYZ2CK-1-020</t>
  </si>
  <si>
    <t>BJJLYZ2CK-1-029</t>
  </si>
  <si>
    <t>BJJLYZ2CK-1-026</t>
  </si>
  <si>
    <t>曲玥</t>
  </si>
  <si>
    <t>女</t>
  </si>
  <si>
    <t>林世兴</t>
  </si>
  <si>
    <t>BJJLYZ2CK-1-048</t>
  </si>
  <si>
    <t>BJJLYZ2CK-1-049</t>
  </si>
  <si>
    <t>车库</t>
    <phoneticPr fontId="143" type="noConversion"/>
  </si>
  <si>
    <t>BJJLYZ2CK-1-050</t>
  </si>
  <si>
    <t>BJJLYZ2CK-1-051</t>
  </si>
  <si>
    <t>BJJLYZ2CK-1-052</t>
  </si>
  <si>
    <t>BJJLYZ2CK-1-053</t>
  </si>
  <si>
    <t>BJJLYZ2CK-1-031</t>
  </si>
  <si>
    <t>BJJLYZ2CK-1-032</t>
  </si>
  <si>
    <t>BJJLYZ2CK-1-034</t>
  </si>
  <si>
    <t>BJJLYZ2CK-1-037</t>
  </si>
  <si>
    <t>BJJLYZ2CK-1-058</t>
  </si>
  <si>
    <t>BJJLYZ2CK-1-038</t>
  </si>
  <si>
    <t>张璐</t>
  </si>
  <si>
    <t>郭冠超</t>
  </si>
  <si>
    <t>BJJLYZ2CK-1-059</t>
  </si>
  <si>
    <t>BJJLYZ2CK-1-060</t>
  </si>
  <si>
    <t>BJJLYZ2CK-1-061</t>
  </si>
  <si>
    <t>BJJLYZ2CK-1-062</t>
  </si>
  <si>
    <t>BJJLYZ2CK-1-063</t>
  </si>
  <si>
    <t>BJJLYZ2CK-1-064</t>
  </si>
  <si>
    <t>BJJLYZ2CK-1-065</t>
  </si>
  <si>
    <t>BJJLYZ2CK-1-066</t>
  </si>
  <si>
    <t>BJJLYZ2CK-1-067</t>
  </si>
  <si>
    <t>BJJLYZ2CK-1-068</t>
  </si>
  <si>
    <t>BJJLYZ2CK-1-069</t>
  </si>
  <si>
    <t>BJJLYZ2CK-1-070</t>
  </si>
  <si>
    <t>BJJLYZ2CK-1-071</t>
  </si>
  <si>
    <t>BJJLYZ2CK-1-072</t>
  </si>
  <si>
    <t>BJJLYZ2CK-1-073</t>
  </si>
  <si>
    <t>BJJLYZ-8-106</t>
  </si>
  <si>
    <t>联排别墅</t>
  </si>
  <si>
    <t>1组团</t>
  </si>
  <si>
    <t>8栋</t>
  </si>
  <si>
    <t>联排</t>
    <phoneticPr fontId="143" type="noConversion"/>
  </si>
  <si>
    <t>BJJLYZ-2-101</t>
  </si>
  <si>
    <t>商铺</t>
  </si>
  <si>
    <t>2栋商业</t>
  </si>
  <si>
    <t>商业</t>
    <phoneticPr fontId="143" type="noConversion"/>
  </si>
  <si>
    <t>BJJLYZ2-车位GH</t>
  </si>
  <si>
    <t>二期规划房间</t>
  </si>
  <si>
    <t>新孙河二期车位规划房间</t>
  </si>
  <si>
    <t>BJJLYZ-6-101</t>
  </si>
  <si>
    <t>6栋</t>
  </si>
  <si>
    <t>BJJLYZ-6-102</t>
  </si>
  <si>
    <t>BJJLYZ-6-104</t>
  </si>
  <si>
    <t>董馨洁</t>
  </si>
  <si>
    <t>首付1-3成分期</t>
  </si>
  <si>
    <t>中国建设银行北京城建支行</t>
  </si>
  <si>
    <t>(标准总价-促销折扣41000000-业绩冲刺折扣1000000)*按时签约优惠98.00%*促销逼定折扣98.00%*促销优惠98.00%*逼定折扣98.00%*预约排号折扣99.00%</t>
  </si>
  <si>
    <t>徐玲玲</t>
  </si>
  <si>
    <t>BJJLYZ-7-101</t>
  </si>
  <si>
    <t>7栋</t>
  </si>
  <si>
    <t>高竹</t>
  </si>
  <si>
    <t>二套首付分期1-3-4</t>
  </si>
  <si>
    <t>招商银行北京分行</t>
  </si>
  <si>
    <t>[房间总价]×[团购锁房折扣1(认购后60日签约可享受) 97.00%]×[按时签约1(认购后60日签约可享受) 99.00%]×[认筹折扣1(认购后60日签约可享受) 99.00%]</t>
  </si>
  <si>
    <t>毛晓晖</t>
  </si>
  <si>
    <t>BJJLYZ-7-105</t>
  </si>
  <si>
    <t>骆雁</t>
  </si>
  <si>
    <t>BJ0020021</t>
  </si>
  <si>
    <t>首付4成按揭</t>
  </si>
  <si>
    <t>中国银行股份有限公司北京海淀支行</t>
  </si>
  <si>
    <t>[房间总价]×[团购锁房折扣1(认购后60日签约可享受) 97.00%]×[按时签约1(认购后60日签约可享受) 99.00%]×[开盘折扣1(认购后60日签约可享受) 99.00%]</t>
  </si>
  <si>
    <t>乔洋</t>
  </si>
  <si>
    <t>BJJLYZ-8-101</t>
  </si>
  <si>
    <t>徐红兵</t>
  </si>
  <si>
    <t>[房间总价]×[团购锁房折扣1(认购后60日签约可享受) 97.00%]</t>
  </si>
  <si>
    <t>BJJLYZ-7-104</t>
  </si>
  <si>
    <t>许诺</t>
  </si>
  <si>
    <t>渣打银行（中国）有限公司北京分行</t>
  </si>
  <si>
    <t>[房间总价]×[团购锁房折扣1(认购后60日签约可享受) 97.00%]×[按时签约1(认购后60日签约可享受) 99.00%]×[开盘折扣1(认购后60日签约可享受) 99.00%]×[认筹折扣1(认购后60日签约可享受) 99.00%]</t>
  </si>
  <si>
    <t>BJJLYZ-2-202</t>
  </si>
  <si>
    <t>内蒙古鹰联矿业有限责任公司</t>
  </si>
  <si>
    <t>9月全款分期1-1-8</t>
  </si>
  <si>
    <t>蔡闽江</t>
  </si>
  <si>
    <t>BJJLYZ-8-108</t>
  </si>
  <si>
    <t>张颖</t>
  </si>
  <si>
    <t>10月首付分期1-1-2</t>
  </si>
  <si>
    <t>BJJLYZ-7-107</t>
  </si>
  <si>
    <t>周凯</t>
  </si>
  <si>
    <t>[房间总价]×[按时签约1(认购后60日签约可享受) 99.00%]×[当月订房折扣(认购后60日签约可享受) 99.00%]×[四季度冲刺折扣(认购后60日签约可享受) 97.00%]×[认筹折扣1(认购后60日签约可享受) 99.00%]</t>
  </si>
  <si>
    <t>戴屹</t>
  </si>
  <si>
    <t>BJJLYZ-8-109</t>
  </si>
  <si>
    <t>北京明德雅瑄文化传播有限公司</t>
  </si>
  <si>
    <t>BJ0020020</t>
  </si>
  <si>
    <t>10月全款分期1-1-8</t>
  </si>
  <si>
    <t>[房间总价]×[按时签约1(认购后60日签约可享受) 99.00%]×[当月订房折扣(认购后60日签约可享受) 99.00%]×[尊享优惠折扣(认购后60日签约可享受) 98.00%]×[四季度冲刺折扣(认购后60日签约可享受) 97.00%]×[认筹折扣1(认购后60日签约可享受) 99.00%]</t>
  </si>
  <si>
    <t>BJJLYZ-8-110</t>
  </si>
  <si>
    <t>11月首付分期1-7</t>
  </si>
  <si>
    <t>BJJLYZ-4-102</t>
  </si>
  <si>
    <t>4栋</t>
  </si>
  <si>
    <t>张书媛</t>
  </si>
  <si>
    <t>11月首付分期1-3</t>
  </si>
  <si>
    <t>[房间总价]×[按时签约1(认购后60日签约可享受) 99.00%]×[当月订房折扣(认购后60日签约可享受) 99.00%]×[尊享优惠折扣(认购后60日签约可享受) 98.00%]×[四季度冲刺折扣(认购后60日签约可享受) 97.00%]</t>
  </si>
  <si>
    <t>BJJLYZ-2-201</t>
  </si>
  <si>
    <t>王丰</t>
  </si>
  <si>
    <t>11月全款分期1-9</t>
  </si>
  <si>
    <t>[房间总价]×[按时签约折扣(认购后60日签约可享受) 99.00%]×[认筹折扣(认购后60日签约可享受) 98.00%]×[开盘折扣(认购后60日签约可享受) 98.00%]</t>
  </si>
  <si>
    <t>BJJLYZ2-商业GH</t>
  </si>
  <si>
    <t>新孙河二期商铺规划房间</t>
  </si>
  <si>
    <t>BJJLYZ-9-101</t>
  </si>
  <si>
    <t>9栋</t>
  </si>
  <si>
    <t>BJJLYZ-5-106</t>
  </si>
  <si>
    <t>5栋</t>
  </si>
  <si>
    <t>BJJLYZ-9-103</t>
  </si>
  <si>
    <t>工行北京市南礼士路支行</t>
  </si>
  <si>
    <t>[房间总价]×[团购锁房折扣1(认购后60日签约可享受) 97.00%]×[按时签约1(认购后60日签约可享受) 99.00%]×[开盘折扣1(认购后60日签约可享受) 99.00%]×[认筹折扣1(认购后60日签约可享受) 99.00%]×[促销折扣1(认购后60日签约可享受) 98.00%]</t>
  </si>
  <si>
    <t>BJJLYZ-4-103</t>
  </si>
  <si>
    <t>裴阳;霍丽雅</t>
  </si>
  <si>
    <t>[房间总价]×[按时签约1(认购后60日签约可享受) 99.00%]×[当月订房折扣(认购后60日签约可享受) 99.00%]×[尊享优惠折扣(认购后60日签约可享受) 98.00%]×[四季度冲刺折扣(认购后60日签约可享受) 97.00%]×[认筹折扣1(认购后60日签约可享受) 99.00%]×[开盘加推折扣(认购后90日签约可享受) 98.00%]</t>
  </si>
  <si>
    <t>苏敦思格</t>
  </si>
  <si>
    <t>BJJLYZ-5-104</t>
  </si>
  <si>
    <t>余美英</t>
  </si>
  <si>
    <t>[房间总价]×[按时签约1(认购后60日签约可享受) 99.00%]×[当月订房折扣(认购后60日签约可享受) 99.00%]×[尊享优惠折扣(认购后60日签约可享受) 98.00%]×[认筹折扣1(认购后60日签约可享受) 99.00%]×[开盘加推折扣(认购后90日签约可享受) 98.00%]×[优福同享双11 97.00%]</t>
  </si>
  <si>
    <t>BJJLYZ-5-105</t>
  </si>
  <si>
    <t>烟子英</t>
  </si>
  <si>
    <t>[房间总价]×[按时签约1(认购后60日签约可享受) 99.00%]×[当月订房折扣(认购后60日签约可享受) 99.00%]×[四季度冲刺折扣(认购后60日签约可享受) 97.00%]×[开盘加推折扣(认购后90日签约可享受) 98.00%]</t>
  </si>
  <si>
    <t>BJJLYZ-5-108</t>
  </si>
  <si>
    <t>[房间总价]×[按时签约1(认购后60日签约可享受) 99.00%]×[当月订房折扣(认购后60日签约可享受) 99.00%]×[四季度冲刺折扣(认购后60日签约可享受) 97.00%]×[认筹折扣1(认购后60日签约可享受) 99.00%]×[开盘加推折扣(认购后90日签约可享受) 98.00%]</t>
  </si>
  <si>
    <t>BJJLYZ-5-101</t>
  </si>
  <si>
    <t>黎妍</t>
  </si>
  <si>
    <t>([房间总价]-[促销折扣1-当月订房(截止2019-12-31[含]前签约可享受) 1000000.00]-[促销折扣2-冲刺任务(截止2019-12-31[含]前签约可享受) 1000000.00])×[尊享折扣1(截止2019-12-31[含]前签约可享受) 98.00%]×[尊享折扣2(截止2019-12-31[含]前签约可享受) 98.00%]×[按时签约1(截止2019-12-31[含]前签约可享受) 98.00%]</t>
  </si>
  <si>
    <t>BJJLYZ-5-102</t>
  </si>
  <si>
    <t>安华</t>
  </si>
  <si>
    <t>RG201903040136</t>
  </si>
  <si>
    <t>首付分期1-3-4</t>
  </si>
  <si>
    <t>招商银行北京营业部</t>
  </si>
  <si>
    <t>([房间总价]-[促销折扣1-当月订房(截止2019-12-31[含]前签约可享受) 1000000.00]-[促销折扣2-冲刺任务(截止2019-12-31[含]前签约可享受) 1000000.00])×[认筹折扣1(截止2019-12-31[含]前签约可享受) 99.00%]×[尊享折扣1(截止2019-12-31[含]前签约可享受) 98.00%]×[尊享折扣2(截止2019-12-31[含]前签约可享受) 98.00%]×[尊享折扣3(截止2019-12-31[含]前签约可享受) 98.00%]</t>
  </si>
  <si>
    <t>BJJLYZ-9-104</t>
  </si>
  <si>
    <t>解玉虎</t>
  </si>
  <si>
    <t>([房间总价]-[促销折扣1-当月订房(截止2019-12-31[含]前签约可享受) 1000000.00]-[促销折扣2-冲刺任务(截止2019-12-31[含]前签约可享受) 1000000.00])×[认筹折扣1(截止2019-12-31[含]前签约可享受) 99.00%]×[尊享折扣1(截止2019-12-31[含]前签约可享受) 98.00%]×[尊享折扣2(截止2019-12-31[含]前签约可享受) 98.00%]×[尊享折扣3(截止2019-12-31[含]前签约可享受) 98.00%]×[按时签约1(截止2019-12-31[含]前签约可享受) 98.00%]</t>
  </si>
  <si>
    <t>杨帆</t>
  </si>
  <si>
    <t>BJJLYZ-9-105</t>
  </si>
  <si>
    <t>崔艳良</t>
  </si>
  <si>
    <t>首套首付1-3分期</t>
  </si>
  <si>
    <t>北京银行股份有限公司右安门支行</t>
  </si>
  <si>
    <t>([房间总价]-[促销折扣1-当月订房(截止2019-12-31[含]前签约可享受) 1000000.00]-[促销折扣2-冲刺任务(截止2019-12-31[含]前签约可享受) 1000000.00])×[尊享折扣1(截止2019-12-31[含]前签约可享受) 98.00%]×[尊享折扣2(截止2019-12-31[含]前签约可享受) 98.00%]×[尊享折扣3(截止2019-12-31[含]前签约可享受) 98.00%]</t>
  </si>
  <si>
    <t>已售别墅</t>
    <phoneticPr fontId="143" type="noConversion"/>
  </si>
  <si>
    <t>已售车库</t>
    <phoneticPr fontId="143" type="noConversion"/>
  </si>
  <si>
    <t>已售商业</t>
    <phoneticPr fontId="143" type="noConversion"/>
  </si>
  <si>
    <t>剩余别墅</t>
    <phoneticPr fontId="143" type="noConversion"/>
  </si>
  <si>
    <t>剩余车库</t>
    <phoneticPr fontId="143" type="noConversion"/>
  </si>
  <si>
    <t>商业</t>
    <phoneticPr fontId="143" type="noConversion"/>
  </si>
  <si>
    <t>是</t>
  </si>
  <si>
    <t>地上</t>
  </si>
  <si>
    <t>住宅</t>
  </si>
  <si>
    <t>联排</t>
  </si>
  <si>
    <t>成本法</t>
  </si>
  <si>
    <t>假设开发法</t>
  </si>
  <si>
    <t>底商</t>
  </si>
  <si>
    <t>地下</t>
  </si>
  <si>
    <t>车库</t>
  </si>
  <si>
    <t>别墅</t>
  </si>
  <si>
    <t>别墅</t>
    <phoneticPr fontId="7" type="noConversion"/>
  </si>
  <si>
    <t>商业</t>
    <phoneticPr fontId="7" type="noConversion"/>
  </si>
  <si>
    <t>车库</t>
    <phoneticPr fontId="7" type="noConversion"/>
  </si>
  <si>
    <t>收益法</t>
  </si>
  <si>
    <t>在建（套用方法）</t>
  </si>
  <si>
    <t>押一</t>
  </si>
  <si>
    <t>按租金收入计税</t>
  </si>
  <si>
    <t>钢混</t>
  </si>
  <si>
    <t>非生产用房</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</si>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</sst>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vertical="center"/>
    </xf>
    <xf numFmtId="4" fontId="0" fillId="0" borderId="0" xfId="0" applyNumberFormat="1" applyAlignment="1">
      <alignment vertical="center"/>
    </xf>
    <xf numFmtId="14" fontId="0" fillId="0" borderId="0" xfId="0" applyNumberFormat="1" applyAlignment="1">
      <alignment vertical="center"/>
    </xf>
    <xf numFmtId="31" fontId="0" fillId="0" borderId="0" xfId="0" applyNumberFormat="1" applyAlignment="1">
      <alignment vertical="center"/>
    </xf>
    <xf numFmtId="4" fontId="0" fillId="0" borderId="0" xfId="0" applyNumberFormat="1" applyAlignment="1"/>
    <xf numFmtId="197" fontId="0" fillId="0" borderId="0" xfId="0" applyNumberFormat="1" applyAlignment="1"/>
    <xf numFmtId="0" fontId="0" fillId="9" borderId="0" xfId="0" applyFill="1" applyAlignment="1"/>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估价对象为北京市出让国有建设用地使用权及在建建筑物房地产，为所有。根据《国有土地使用证》[]，估价对象（分摊）出让国有建设用地使用权面积为0平方米，建筑面积为14581.82平方米。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14581.82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2019年5月24日</v>
      </c>
    </row>
    <row r="13" spans="1:2" s="1593" customFormat="1">
      <c r="A13" s="1591" t="s">
        <v>1223</v>
      </c>
      <c r="B13" s="1592" t="str">
        <f>'预评函-1'!A18</f>
        <v>本次估价的“房地产价值”是指在正常市场情况下，在价值时点2019年5月24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84677</v>
      </c>
    </row>
    <row r="21" spans="1:2" s="1593" customFormat="1">
      <c r="A21" s="1591" t="s">
        <v>1231</v>
      </c>
      <c r="B21" s="1592">
        <f ca="1">'预评函-2'!D7</f>
        <v>58070</v>
      </c>
    </row>
    <row r="22" spans="1:2" s="1593" customFormat="1">
      <c r="A22" s="1591" t="s">
        <v>1232</v>
      </c>
      <c r="B22" s="1592" t="str">
        <f ca="1">'预评函-2'!D6</f>
        <v>捌亿肆仟陆佰柒拾柒万元整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84677</v>
      </c>
    </row>
    <row r="31" spans="1:2" s="1593" customFormat="1">
      <c r="A31" s="1591" t="s">
        <v>1270</v>
      </c>
      <c r="B31" s="1592">
        <f ca="1">'预评函-2'!D15</f>
        <v>58070</v>
      </c>
    </row>
    <row r="32" spans="1:2" s="1593" customFormat="1">
      <c r="A32" s="1591" t="s">
        <v>1237</v>
      </c>
      <c r="B32" s="1592" t="str">
        <f ca="1">'预评函-2'!D14</f>
        <v>捌亿肆仟陆佰柒拾柒万元整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14581.819999999996</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2" t="s">
        <v>861</v>
      </c>
      <c r="C54" s="2019" t="s">
        <v>1277</v>
      </c>
    </row>
    <row r="55" spans="1:4">
      <c r="A55" s="2996"/>
      <c r="B55" s="2022" t="s">
        <v>862</v>
      </c>
      <c r="C55" s="2019" t="s">
        <v>1278</v>
      </c>
    </row>
    <row r="56" spans="1:4">
      <c r="A56" s="2996"/>
      <c r="B56" s="2022" t="s">
        <v>863</v>
      </c>
      <c r="C56" s="2019" t="s">
        <v>1282</v>
      </c>
    </row>
    <row r="57" spans="1:4">
      <c r="A57" s="299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1" sqref="H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0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6"/>
      <c r="D1" s="3006"/>
      <c r="E1" s="3006"/>
      <c r="F1" s="3006"/>
      <c r="G1" s="3006"/>
      <c r="H1" s="3006"/>
      <c r="I1" s="300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1774</v>
      </c>
      <c r="B3" s="2036"/>
      <c r="C3" s="2037" t="s">
        <v>1775</v>
      </c>
      <c r="D3" s="2036">
        <v>43609</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3056</v>
      </c>
      <c r="C8" s="2056"/>
      <c r="D8" s="3008" t="s">
        <v>1781</v>
      </c>
      <c r="E8" s="2057"/>
      <c r="F8" s="2058"/>
      <c r="G8" s="2026"/>
      <c r="H8" s="2026"/>
      <c r="I8" s="2026"/>
      <c r="J8" s="2042"/>
      <c r="K8" s="2043"/>
      <c r="L8" s="2028"/>
      <c r="M8" s="2028"/>
      <c r="N8" s="2029"/>
      <c r="O8" s="2030"/>
      <c r="P8" s="2029"/>
      <c r="Q8" s="2029"/>
      <c r="R8" s="2029"/>
    </row>
    <row r="9" spans="1:19" ht="18" customHeight="1" thickBot="1">
      <c r="A9" s="2040" t="s">
        <v>1782</v>
      </c>
      <c r="B9" s="2059" t="s">
        <v>3057</v>
      </c>
      <c r="C9" s="2060"/>
      <c r="D9" s="3009"/>
      <c r="E9" s="2059"/>
      <c r="F9" s="2061"/>
      <c r="G9" s="2062"/>
      <c r="H9" s="2062"/>
      <c r="I9" s="2062"/>
      <c r="J9" s="2042"/>
      <c r="K9" s="2054"/>
      <c r="L9" s="2028"/>
      <c r="M9" s="2028"/>
      <c r="N9" s="2029"/>
      <c r="O9" s="2030"/>
      <c r="P9" s="2029"/>
      <c r="Q9" s="2029"/>
      <c r="R9" s="2029"/>
    </row>
    <row r="10" spans="1:19" ht="18" customHeight="1" thickTop="1">
      <c r="A10" s="2063" t="s">
        <v>1783</v>
      </c>
      <c r="B10" s="2064" t="s">
        <v>3058</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3059</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3060</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v>67870</v>
      </c>
      <c r="E13" s="2080">
        <v>56912</v>
      </c>
      <c r="F13" s="2080"/>
      <c r="G13" s="2080">
        <v>60565</v>
      </c>
      <c r="H13" s="2080"/>
      <c r="I13" s="1047"/>
      <c r="J13" s="2042"/>
      <c r="K13" s="2054"/>
      <c r="L13" s="2028"/>
      <c r="M13" s="2028"/>
      <c r="N13" s="2029"/>
      <c r="O13" s="2030"/>
      <c r="P13" s="2029"/>
      <c r="Q13" s="2029"/>
      <c r="R13" s="2029"/>
    </row>
    <row r="14" spans="1:19" ht="18" customHeight="1">
      <c r="A14" s="2077"/>
      <c r="B14" s="2078"/>
      <c r="C14" s="2079" t="s">
        <v>1795</v>
      </c>
      <c r="D14" s="1050">
        <v>70</v>
      </c>
      <c r="E14" s="1050">
        <v>40</v>
      </c>
      <c r="F14" s="1050"/>
      <c r="G14" s="1050">
        <v>50</v>
      </c>
      <c r="H14" s="1050"/>
      <c r="I14" s="1050"/>
      <c r="J14" s="2042"/>
      <c r="K14" s="2081"/>
      <c r="L14" s="2028"/>
      <c r="M14" s="2028"/>
      <c r="N14" s="2029"/>
      <c r="O14" s="2030"/>
      <c r="P14" s="2029"/>
      <c r="Q14" s="2029"/>
      <c r="R14" s="2029"/>
    </row>
    <row r="15" spans="1:19" ht="18" customHeight="1">
      <c r="A15" s="2063"/>
      <c r="B15" s="2082"/>
      <c r="C15" s="2079" t="s">
        <v>1796</v>
      </c>
      <c r="D15" s="1049">
        <f>IF(B12="出让",IF(D13="","",ROUNDDOWN(MIN((D13-$D$3)/365,D14),2)),D14)</f>
        <v>66.459999999999994</v>
      </c>
      <c r="E15" s="1049">
        <f>IF(B12="出让",IF(E13="","",ROUNDDOWN(MIN((E13-$D$3)/365,E14),2)),E14)</f>
        <v>36.44</v>
      </c>
      <c r="F15" s="1049" t="str">
        <f>IF(B12="出让",IF(F13="","",ROUNDDOWN(MIN((F13-$D$3)/365,F14),2)),F14)</f>
        <v/>
      </c>
      <c r="G15" s="1049">
        <f>IF(B12="出让",IF(G13="","",ROUNDDOWN(MIN((G13-$D$3)/365,G14),2)),G14)</f>
        <v>46.45</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15"/>
      <c r="C16" s="3016"/>
      <c r="D16" s="3017"/>
      <c r="E16" s="2086" t="s">
        <v>1798</v>
      </c>
      <c r="F16" s="3018"/>
      <c r="G16" s="3019"/>
      <c r="H16" s="3019"/>
      <c r="I16" s="3020"/>
      <c r="J16" s="2029"/>
      <c r="K16" s="2083"/>
      <c r="L16" s="2084"/>
      <c r="M16" s="2084"/>
      <c r="N16" s="2085"/>
      <c r="O16" s="2084"/>
      <c r="P16" s="2085"/>
      <c r="Q16" s="2029"/>
      <c r="R16" s="2029"/>
    </row>
    <row r="17" spans="1:22" ht="18" customHeight="1">
      <c r="A17" s="2087" t="s">
        <v>1799</v>
      </c>
      <c r="B17" s="2035" t="s">
        <v>1800</v>
      </c>
      <c r="C17" s="1054">
        <f>'数据-汇总表'!E3</f>
        <v>14581.819999999996</v>
      </c>
      <c r="D17" s="2088" t="s">
        <v>1801</v>
      </c>
      <c r="E17" s="3021" t="s">
        <v>1802</v>
      </c>
      <c r="F17" s="3022"/>
      <c r="G17" s="3022"/>
      <c r="H17" s="3022"/>
      <c r="I17" s="3023"/>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0</v>
      </c>
      <c r="D18" s="2091" t="s">
        <v>1801</v>
      </c>
      <c r="E18" s="3024" t="s">
        <v>1805</v>
      </c>
      <c r="F18" s="3025"/>
      <c r="G18" s="3025"/>
      <c r="H18" s="3025"/>
      <c r="I18" s="3026"/>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1" t="s">
        <v>1810</v>
      </c>
      <c r="C20" s="3012"/>
      <c r="D20" s="3013" t="s">
        <v>1811</v>
      </c>
      <c r="E20" s="3014"/>
      <c r="F20" s="2098" t="s">
        <v>1812</v>
      </c>
      <c r="G20" s="2042"/>
      <c r="H20" s="2042"/>
      <c r="I20" s="2042"/>
      <c r="J20" s="2042"/>
      <c r="K20" s="301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2998"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2998"/>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2998"/>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2999"/>
      <c r="B30" s="2035" t="s">
        <v>1829</v>
      </c>
      <c r="C30" s="3000"/>
      <c r="D30" s="300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2"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2997" t="s">
        <v>1839</v>
      </c>
      <c r="T34" s="2135" t="str">
        <f>NUMBERSTRING(7-K34,1)&amp;"通"</f>
        <v>七通</v>
      </c>
      <c r="U34" s="2029"/>
      <c r="V34" s="2029"/>
    </row>
    <row r="35" spans="1:22" ht="18" customHeight="1">
      <c r="A35" s="2136"/>
      <c r="B35" s="3004" t="s">
        <v>1840</v>
      </c>
      <c r="C35" s="3004"/>
      <c r="D35" s="3004"/>
      <c r="E35" s="3004"/>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14581.819999999996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14581.819999999996</v>
      </c>
      <c r="H5" s="16">
        <f t="shared" ref="H5:AT5" si="0">SUM(H13:H656)</f>
        <v>14581.819999999996</v>
      </c>
      <c r="I5" s="16">
        <f t="shared" si="0"/>
        <v>10299.269999999997</v>
      </c>
      <c r="J5" s="16">
        <f t="shared" si="0"/>
        <v>0</v>
      </c>
      <c r="K5" s="16">
        <f t="shared" si="0"/>
        <v>2025.8600000000001</v>
      </c>
      <c r="L5" s="16">
        <f t="shared" si="0"/>
        <v>0</v>
      </c>
      <c r="M5" s="16">
        <f t="shared" si="0"/>
        <v>2256.6899999999991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14581.819999999996</v>
      </c>
      <c r="BA5" s="18">
        <f t="shared" si="1"/>
        <v>14581.819999999996</v>
      </c>
      <c r="BB5" s="18">
        <f t="shared" si="1"/>
        <v>10299.269999999997</v>
      </c>
      <c r="BC5" s="18">
        <f t="shared" si="1"/>
        <v>2025.8600000000001</v>
      </c>
      <c r="BD5" s="18">
        <f t="shared" si="1"/>
        <v>2256.6899999999991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3278</v>
      </c>
      <c r="J9" s="981"/>
      <c r="K9" s="2192" t="s">
        <v>3278</v>
      </c>
      <c r="L9" s="981"/>
      <c r="M9" s="2192" t="s">
        <v>3284</v>
      </c>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3279</v>
      </c>
      <c r="J10" s="981"/>
      <c r="K10" s="2198" t="s">
        <v>1373</v>
      </c>
      <c r="L10" s="981"/>
      <c r="M10" s="2198" t="s">
        <v>3285</v>
      </c>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地上</v>
      </c>
      <c r="BD10" s="29" t="str">
        <f>M9</f>
        <v>地下</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3280</v>
      </c>
      <c r="J11" s="2204"/>
      <c r="K11" s="2203" t="s">
        <v>3283</v>
      </c>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住宅</v>
      </c>
      <c r="BC11" s="2188" t="str">
        <f>K10</f>
        <v>商业</v>
      </c>
      <c r="BD11" s="2188" t="str">
        <f>M10</f>
        <v>车库</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联排</v>
      </c>
      <c r="BC12" s="2213" t="str">
        <f>K11</f>
        <v>底商</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c r="D13" s="2214" t="s">
        <v>3277</v>
      </c>
      <c r="E13" s="16">
        <f>IF($C$3="是",ROUND($A$3*G13/$B$3,2),ROUND($A$3*(G13-AT13)/$B$3,2))</f>
        <v>0</v>
      </c>
      <c r="F13" s="32"/>
      <c r="G13" s="33">
        <f>H13+AC13+AT13</f>
        <v>14581.819999999996</v>
      </c>
      <c r="H13" s="20">
        <f>SUMIF(I$12:AB$12,"总值",I13:AB13)</f>
        <v>14581.819999999996</v>
      </c>
      <c r="I13" s="2215">
        <f>信息!K77</f>
        <v>10299.269999999997</v>
      </c>
      <c r="J13" s="2215"/>
      <c r="K13" s="2215">
        <f>信息!K79</f>
        <v>2025.8600000000001</v>
      </c>
      <c r="L13" s="2215"/>
      <c r="M13" s="2215">
        <f>信息!K78</f>
        <v>2256.6899999999991</v>
      </c>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0</v>
      </c>
      <c r="AZ13" s="16">
        <f>BA13+BL13</f>
        <v>14581.819999999996</v>
      </c>
      <c r="BA13" s="16">
        <f>SUM(BB13:BK13)</f>
        <v>14581.819999999996</v>
      </c>
      <c r="BB13" s="16">
        <f>IF($D13="是",I13-J13,0)</f>
        <v>10299.269999999997</v>
      </c>
      <c r="BC13" s="16">
        <f>IF($D13="是",K13-L13,0)</f>
        <v>2025.8600000000001</v>
      </c>
      <c r="BD13" s="16">
        <f>IF($D13="是",M13-N13,0)</f>
        <v>2256.6899999999991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0" sqref="G3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38" t="s">
        <v>1936</v>
      </c>
      <c r="B2" s="3038"/>
      <c r="C2" s="3038"/>
      <c r="D2" s="967" t="s">
        <v>1912</v>
      </c>
      <c r="E2" s="2228" t="s">
        <v>1913</v>
      </c>
      <c r="F2" s="1392"/>
      <c r="G2" s="2229"/>
      <c r="H2" s="2230"/>
      <c r="I2" s="2231" t="s">
        <v>1937</v>
      </c>
      <c r="J2" s="1392"/>
      <c r="K2" s="1392"/>
      <c r="L2" s="1392"/>
      <c r="M2" s="1392"/>
      <c r="N2" s="1427"/>
      <c r="O2" s="1392"/>
      <c r="P2" s="1392"/>
    </row>
    <row r="3" spans="1:16" ht="15.75" thickBot="1">
      <c r="A3" s="3039" t="s">
        <v>1910</v>
      </c>
      <c r="B3" s="3039"/>
      <c r="C3" s="3039"/>
      <c r="D3" s="46">
        <f>'数据-基础表'!AY6</f>
        <v>0</v>
      </c>
      <c r="E3" s="46">
        <f>'数据-基础表'!AZ5</f>
        <v>14581.819999999996</v>
      </c>
      <c r="F3" s="1392"/>
      <c r="G3" s="1399"/>
      <c r="H3" s="1247" t="s">
        <v>1911</v>
      </c>
      <c r="I3" s="55" t="e">
        <f>ROUND('数据-基础表'!B3/'数据-基础表'!A3,2)</f>
        <v>#DIV/0!</v>
      </c>
      <c r="J3" s="1392"/>
      <c r="K3" s="1392"/>
      <c r="L3" s="1392"/>
      <c r="M3" s="1392"/>
      <c r="N3" s="1427"/>
      <c r="O3" s="1392"/>
      <c r="P3" s="1392"/>
    </row>
    <row r="4" spans="1:16" ht="15">
      <c r="A4" s="3040"/>
      <c r="B4" s="3041"/>
      <c r="C4" s="3042"/>
      <c r="D4" s="2232" t="s">
        <v>1912</v>
      </c>
      <c r="E4" s="2233" t="s">
        <v>1913</v>
      </c>
      <c r="F4" s="1392"/>
      <c r="G4" s="2234" t="s">
        <v>1938</v>
      </c>
      <c r="H4" s="1247" t="s">
        <v>1918</v>
      </c>
      <c r="I4" s="55" t="e">
        <f>ROUND(SUMIF('数据-基础表'!I9:AS9,"地上",'数据-基础表'!I5:AS5)/'数据-基础表'!A3,2)</f>
        <v>#DIV/0!</v>
      </c>
      <c r="J4" s="1392"/>
      <c r="K4" s="1392"/>
      <c r="L4" s="1392"/>
      <c r="M4" s="1392"/>
      <c r="N4" s="1427"/>
      <c r="O4" s="1392"/>
      <c r="P4" s="1392"/>
    </row>
    <row r="5" spans="1:16">
      <c r="A5" s="47" t="s">
        <v>1914</v>
      </c>
      <c r="B5" s="3043" t="s">
        <v>1915</v>
      </c>
      <c r="C5" s="3043"/>
      <c r="D5" s="48">
        <f>ROUND($D$3*E5/$E$3,2)</f>
        <v>0</v>
      </c>
      <c r="E5" s="49">
        <f>SUMIF('数据-基础表'!$11:$11,"住宅",'数据-基础表'!$5:$5)</f>
        <v>10299.269999999997</v>
      </c>
      <c r="F5" s="1392"/>
      <c r="G5" s="1399"/>
      <c r="H5" s="1247" t="s">
        <v>1911</v>
      </c>
      <c r="I5" s="55" t="e">
        <f>ROUND(E31/D31,2)</f>
        <v>#DIV/0!</v>
      </c>
      <c r="J5" s="1392"/>
      <c r="K5" s="1392"/>
      <c r="L5" s="1392"/>
      <c r="M5" s="1392"/>
      <c r="N5" s="1392"/>
      <c r="O5" s="1392"/>
      <c r="P5" s="1392"/>
    </row>
    <row r="6" spans="1:16" ht="15" thickBot="1">
      <c r="A6" s="2235"/>
      <c r="B6" s="3043" t="s">
        <v>1916</v>
      </c>
      <c r="C6" s="3043"/>
      <c r="D6" s="48">
        <f>ROUND($D$3*E6/$E$3,2)</f>
        <v>0</v>
      </c>
      <c r="E6" s="49">
        <f>E3-E5</f>
        <v>4282.5499999999993</v>
      </c>
      <c r="F6" s="1392"/>
      <c r="G6" s="2236" t="s">
        <v>1917</v>
      </c>
      <c r="H6" s="1399" t="s">
        <v>1918</v>
      </c>
      <c r="I6" s="939" t="e">
        <f>ROUND(F31/D31,2)</f>
        <v>#DIV/0!</v>
      </c>
      <c r="J6" s="1392"/>
      <c r="K6" s="1392"/>
      <c r="L6" s="1392"/>
      <c r="M6" s="1392"/>
      <c r="N6" s="1392"/>
      <c r="O6" s="1392"/>
      <c r="P6" s="1392"/>
    </row>
    <row r="7" spans="1:16" ht="15">
      <c r="A7" s="3035"/>
      <c r="B7" s="3036"/>
      <c r="C7" s="3037"/>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0</v>
      </c>
      <c r="E8" s="51">
        <f>SUMIF('数据-基础表'!BB10:BK10,"地上",'数据-基础表'!BB5:BK5)</f>
        <v>12325.129999999997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2256.6899999999991</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0</v>
      </c>
      <c r="E16" s="53">
        <f>SUM(E8:E15)</f>
        <v>14581.819999999996</v>
      </c>
      <c r="F16" s="1392"/>
      <c r="G16" s="2238"/>
      <c r="H16" s="2241" t="s">
        <v>1940</v>
      </c>
      <c r="I16" s="2242"/>
      <c r="J16" s="1392"/>
      <c r="K16" s="3032" t="s">
        <v>1940</v>
      </c>
      <c r="L16" s="3033"/>
      <c r="M16" s="3033"/>
      <c r="N16" s="3033"/>
      <c r="O16" s="3033"/>
      <c r="P16" s="3034"/>
    </row>
    <row r="17" spans="1:19" ht="15">
      <c r="A17" s="2243" t="s">
        <v>1941</v>
      </c>
      <c r="B17" s="2244" t="s">
        <v>1942</v>
      </c>
      <c r="C17" s="2245" t="s">
        <v>1943</v>
      </c>
      <c r="D17" s="2246" t="s">
        <v>1931</v>
      </c>
      <c r="E17" s="2247" t="s">
        <v>1932</v>
      </c>
      <c r="F17" s="2248"/>
      <c r="G17" s="2249"/>
      <c r="H17" s="2250" t="s">
        <v>1944</v>
      </c>
      <c r="I17" s="2251" t="s">
        <v>1929</v>
      </c>
      <c r="J17" s="1392"/>
      <c r="K17" s="3029" t="s">
        <v>1945</v>
      </c>
      <c r="L17" s="3030"/>
      <c r="M17" s="3031"/>
      <c r="N17" s="3029" t="s">
        <v>1946</v>
      </c>
      <c r="O17" s="3030"/>
      <c r="P17" s="3031"/>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3289" t="s">
        <v>3287</v>
      </c>
      <c r="D19" s="48">
        <f>ROUND($D$3*E19/$E$3,2)</f>
        <v>0</v>
      </c>
      <c r="E19" s="56">
        <f t="shared" ref="E19:E26" si="1">SUM(F19:G19)</f>
        <v>10299.269999999997</v>
      </c>
      <c r="F19" s="57">
        <f>'数据-基础表'!I13</f>
        <v>10299.269999999997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10299.269999999997</v>
      </c>
    </row>
    <row r="20" spans="1:19">
      <c r="A20" s="2263"/>
      <c r="B20" s="50" t="s">
        <v>1958</v>
      </c>
      <c r="C20" s="3289" t="s">
        <v>3288</v>
      </c>
      <c r="D20" s="48">
        <f t="shared" ref="D20:D26" si="6">ROUND($D$3*E20/$E$3,2)</f>
        <v>0</v>
      </c>
      <c r="E20" s="56">
        <f t="shared" si="1"/>
        <v>2025.8600000000001</v>
      </c>
      <c r="F20" s="57">
        <f>'数据-基础表'!K13</f>
        <v>2025.8600000000001</v>
      </c>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2025.8600000000001</v>
      </c>
    </row>
    <row r="21" spans="1:19">
      <c r="A21" s="2263"/>
      <c r="B21" s="50" t="s">
        <v>1958</v>
      </c>
      <c r="C21" s="3289" t="s">
        <v>3289</v>
      </c>
      <c r="D21" s="48">
        <f t="shared" si="6"/>
        <v>0</v>
      </c>
      <c r="E21" s="56">
        <f t="shared" si="1"/>
        <v>2256.6899999999991</v>
      </c>
      <c r="F21" s="57"/>
      <c r="G21" s="58">
        <f>'数据-基础表'!M13</f>
        <v>2256.6899999999991</v>
      </c>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2256.6899999999991</v>
      </c>
    </row>
    <row r="22" spans="1:19">
      <c r="A22" s="2263"/>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1959</v>
      </c>
      <c r="D27" s="1393">
        <f>SUM(D19:D26)</f>
        <v>0</v>
      </c>
      <c r="E27" s="1394">
        <f>IF(SUM(E19:E26)='数据-基础表'!BA5,SUM(E19:E26),IF(F27="地上面积有误","面积有误","地下面积有误"))</f>
        <v>14581.819999999996</v>
      </c>
      <c r="F27" s="1393">
        <f>IF(SUM(F19:F26)=E8,SUM(F19:F26),"地上面积有误")</f>
        <v>12325.129999999997</v>
      </c>
      <c r="G27" s="1395">
        <f>SUM(G19:G26)</f>
        <v>2256.6899999999991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14581.819999999996</v>
      </c>
    </row>
    <row r="28" spans="1:19">
      <c r="A28" s="2263"/>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1963</v>
      </c>
      <c r="D31" s="729">
        <f>D27+D30</f>
        <v>0</v>
      </c>
      <c r="E31" s="729">
        <f>E27+E30</f>
        <v>14581.819999999996</v>
      </c>
      <c r="F31" s="730">
        <f>F27+F30</f>
        <v>12325.129999999997</v>
      </c>
      <c r="G31" s="731">
        <f>G27+G30</f>
        <v>2256.6899999999991</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9"/>
  <sheetViews>
    <sheetView tabSelected="1" topLeftCell="D1" workbookViewId="0">
      <selection activeCell="L80" sqref="L80"/>
    </sheetView>
  </sheetViews>
  <sheetFormatPr defaultRowHeight="13.5"/>
  <cols>
    <col min="1" max="1" width="9" style="1635"/>
    <col min="2" max="2" width="35.875" style="1635" bestFit="1" customWidth="1"/>
    <col min="3" max="3" width="9" style="1635"/>
    <col min="4" max="4" width="10.875" style="1635" customWidth="1"/>
    <col min="5" max="5" width="13.75" style="1635" customWidth="1"/>
    <col min="6" max="6" width="17.625" style="1635" customWidth="1"/>
    <col min="7" max="11" width="9" style="1635"/>
    <col min="12" max="12" width="10.75" style="1635" customWidth="1"/>
    <col min="13" max="14" width="9.5" style="1635" bestFit="1" customWidth="1"/>
    <col min="15" max="15" width="16.125" style="1635" customWidth="1"/>
    <col min="16" max="16" width="13" style="1635" customWidth="1"/>
    <col min="17" max="17" width="12.875" style="1635" customWidth="1"/>
    <col min="18" max="18" width="16.25" style="1635" customWidth="1"/>
    <col min="19" max="19" width="14.875" style="1635" customWidth="1"/>
    <col min="20" max="20" width="9" style="1635"/>
    <col min="21" max="21" width="14.625" style="1635" customWidth="1"/>
    <col min="22" max="16384" width="9" style="1635"/>
  </cols>
  <sheetData>
    <row r="1" spans="1:46">
      <c r="A1" s="3282"/>
      <c r="B1" s="3282"/>
      <c r="C1" s="3282"/>
      <c r="D1" s="3282"/>
      <c r="E1" s="3282"/>
      <c r="F1" s="3282"/>
      <c r="G1" s="3282"/>
      <c r="H1" s="3282"/>
      <c r="I1" s="3282"/>
      <c r="J1" s="3282" t="s">
        <v>3061</v>
      </c>
      <c r="K1" s="3282"/>
      <c r="L1" s="3282"/>
      <c r="M1" s="3282"/>
      <c r="N1" s="3282"/>
      <c r="O1" s="3282"/>
      <c r="P1" s="3282"/>
      <c r="Q1" s="3282"/>
      <c r="R1" s="3282"/>
      <c r="S1" s="3282"/>
      <c r="T1" s="3282"/>
      <c r="U1" s="3282"/>
      <c r="V1" s="3282"/>
      <c r="W1" s="3282"/>
      <c r="X1" s="3282"/>
      <c r="Y1" s="3282"/>
      <c r="Z1" s="3282"/>
      <c r="AA1" s="3282"/>
      <c r="AB1" s="3282"/>
      <c r="AC1" s="3282"/>
      <c r="AD1" s="3282"/>
      <c r="AE1" s="3282"/>
      <c r="AF1" s="3282"/>
      <c r="AG1" s="3282"/>
      <c r="AH1" s="3282"/>
      <c r="AI1" s="3282"/>
      <c r="AJ1" s="3282"/>
      <c r="AK1" s="3282"/>
      <c r="AL1" s="3282"/>
      <c r="AM1" s="3282"/>
      <c r="AN1" s="3282"/>
      <c r="AO1" s="3282"/>
      <c r="AP1" s="3282"/>
      <c r="AQ1" s="3282"/>
      <c r="AR1" s="3282"/>
      <c r="AS1" s="3282"/>
      <c r="AT1" s="3282"/>
    </row>
    <row r="2" spans="1:46">
      <c r="A2" s="3282"/>
      <c r="B2" s="3282"/>
      <c r="C2" s="3282"/>
      <c r="D2" s="3282"/>
      <c r="E2" s="328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t="s">
        <v>3062</v>
      </c>
      <c r="AO2" s="3282"/>
      <c r="AP2" s="3282"/>
      <c r="AQ2" s="3282"/>
      <c r="AR2" s="3282"/>
      <c r="AS2" s="3282"/>
      <c r="AT2" s="3282"/>
    </row>
    <row r="3" spans="1:46">
      <c r="A3" s="3282" t="s">
        <v>3063</v>
      </c>
      <c r="B3" s="3282" t="s">
        <v>3064</v>
      </c>
      <c r="C3" s="3282" t="s">
        <v>3065</v>
      </c>
      <c r="D3" s="3282" t="s">
        <v>3066</v>
      </c>
      <c r="E3" s="3282" t="s">
        <v>3067</v>
      </c>
      <c r="F3" s="3282" t="s">
        <v>3068</v>
      </c>
      <c r="G3" s="3282" t="s">
        <v>3069</v>
      </c>
      <c r="H3" s="3282" t="s">
        <v>3070</v>
      </c>
      <c r="I3" s="3282"/>
      <c r="J3" s="3282" t="s">
        <v>3071</v>
      </c>
      <c r="K3" s="3282" t="s">
        <v>3072</v>
      </c>
      <c r="L3" s="3282" t="s">
        <v>3073</v>
      </c>
      <c r="M3" s="3282" t="s">
        <v>3074</v>
      </c>
      <c r="N3" s="3282" t="s">
        <v>3075</v>
      </c>
      <c r="O3" s="3282" t="s">
        <v>3076</v>
      </c>
      <c r="P3" s="3282" t="s">
        <v>3077</v>
      </c>
      <c r="Q3" s="3282" t="s">
        <v>3078</v>
      </c>
      <c r="R3" s="3282" t="s">
        <v>3079</v>
      </c>
      <c r="S3" s="3282" t="s">
        <v>3080</v>
      </c>
      <c r="T3" s="3282" t="s">
        <v>3081</v>
      </c>
      <c r="U3" s="3282" t="s">
        <v>3082</v>
      </c>
      <c r="V3" s="3282" t="s">
        <v>3083</v>
      </c>
      <c r="W3" s="3282" t="s">
        <v>3084</v>
      </c>
      <c r="X3" s="3282" t="s">
        <v>3085</v>
      </c>
      <c r="Y3" s="3282" t="s">
        <v>3086</v>
      </c>
      <c r="Z3" s="3282" t="s">
        <v>3087</v>
      </c>
      <c r="AA3" s="3282" t="s">
        <v>3088</v>
      </c>
      <c r="AB3" s="3282" t="s">
        <v>3089</v>
      </c>
      <c r="AC3" s="3282" t="s">
        <v>3090</v>
      </c>
      <c r="AD3" s="3282" t="s">
        <v>3091</v>
      </c>
      <c r="AE3" s="3282" t="s">
        <v>3092</v>
      </c>
      <c r="AF3" s="3282" t="s">
        <v>3093</v>
      </c>
      <c r="AG3" s="3282" t="s">
        <v>3094</v>
      </c>
      <c r="AH3" s="3282" t="s">
        <v>3095</v>
      </c>
      <c r="AI3" s="3282" t="s">
        <v>3096</v>
      </c>
      <c r="AJ3" s="3282" t="s">
        <v>3097</v>
      </c>
      <c r="AK3" s="3282" t="s">
        <v>3098</v>
      </c>
      <c r="AL3" s="3282" t="s">
        <v>3099</v>
      </c>
      <c r="AM3" s="3282" t="s">
        <v>3100</v>
      </c>
      <c r="AN3" s="3282" t="s">
        <v>3101</v>
      </c>
      <c r="AO3" s="3282" t="s">
        <v>3102</v>
      </c>
      <c r="AP3" s="3282" t="s">
        <v>3103</v>
      </c>
      <c r="AQ3" s="3282" t="s">
        <v>3104</v>
      </c>
      <c r="AR3" s="3282" t="s">
        <v>3104</v>
      </c>
      <c r="AS3" s="3282" t="s">
        <v>3105</v>
      </c>
      <c r="AT3" s="3282" t="s">
        <v>3106</v>
      </c>
    </row>
    <row r="4" spans="1:46">
      <c r="A4" s="3282">
        <v>1</v>
      </c>
      <c r="B4" s="3282" t="s">
        <v>3107</v>
      </c>
      <c r="C4" s="3282" t="s">
        <v>3108</v>
      </c>
      <c r="D4" s="3282" t="s">
        <v>48</v>
      </c>
      <c r="E4" s="3282" t="s">
        <v>3109</v>
      </c>
      <c r="F4" s="3282" t="s">
        <v>3110</v>
      </c>
      <c r="G4" s="3282"/>
      <c r="H4" s="3282"/>
      <c r="I4" s="3282" t="s">
        <v>3111</v>
      </c>
      <c r="J4" s="3282"/>
      <c r="K4" s="3282"/>
      <c r="L4" s="3282"/>
      <c r="M4" s="3282">
        <v>52.34</v>
      </c>
      <c r="N4" s="3282">
        <v>13.75</v>
      </c>
      <c r="O4" s="3283">
        <v>400000</v>
      </c>
      <c r="P4" s="3282"/>
      <c r="Q4" s="3282"/>
      <c r="R4" s="3282"/>
      <c r="S4" s="3282"/>
      <c r="T4" s="3282"/>
      <c r="U4" s="3282"/>
      <c r="V4" s="3282"/>
      <c r="W4" s="3282"/>
      <c r="X4" s="3282"/>
      <c r="Y4" s="3282">
        <v>0</v>
      </c>
      <c r="Z4" s="3282">
        <v>0</v>
      </c>
      <c r="AA4" s="3282">
        <v>0</v>
      </c>
      <c r="AB4" s="3282">
        <v>0</v>
      </c>
      <c r="AC4" s="3282">
        <v>0</v>
      </c>
      <c r="AD4" s="3282">
        <v>0</v>
      </c>
      <c r="AE4" s="3282">
        <v>0</v>
      </c>
      <c r="AF4" s="3282">
        <v>0</v>
      </c>
      <c r="AG4" s="3282">
        <v>0</v>
      </c>
      <c r="AH4" s="3282">
        <v>0</v>
      </c>
      <c r="AI4" s="3282">
        <v>0</v>
      </c>
      <c r="AJ4" s="3282">
        <v>52.34</v>
      </c>
      <c r="AK4" s="3282"/>
      <c r="AL4" s="3282"/>
      <c r="AM4" s="3282"/>
      <c r="AN4" s="3282"/>
      <c r="AO4" s="3282"/>
      <c r="AP4" s="3282"/>
      <c r="AQ4" s="3282"/>
      <c r="AR4" s="3282"/>
      <c r="AS4" s="3282"/>
      <c r="AT4" s="3282"/>
    </row>
    <row r="5" spans="1:46">
      <c r="A5" s="3282">
        <v>2</v>
      </c>
      <c r="B5" s="3282" t="s">
        <v>3107</v>
      </c>
      <c r="C5" s="3282" t="s">
        <v>3112</v>
      </c>
      <c r="D5" s="3282" t="s">
        <v>48</v>
      </c>
      <c r="E5" s="3282" t="s">
        <v>3109</v>
      </c>
      <c r="F5" s="3282" t="s">
        <v>3110</v>
      </c>
      <c r="G5" s="3282"/>
      <c r="H5" s="3282"/>
      <c r="I5" s="3282" t="s">
        <v>3113</v>
      </c>
      <c r="J5" s="3282"/>
      <c r="K5" s="3282"/>
      <c r="L5" s="3282"/>
      <c r="M5" s="3282">
        <v>52.34</v>
      </c>
      <c r="N5" s="3282">
        <v>13.75</v>
      </c>
      <c r="O5" s="3283">
        <v>400000</v>
      </c>
      <c r="P5" s="3282"/>
      <c r="Q5" s="3282"/>
      <c r="R5" s="3282"/>
      <c r="S5" s="3282"/>
      <c r="T5" s="3282"/>
      <c r="U5" s="3282"/>
      <c r="V5" s="3282"/>
      <c r="W5" s="3282"/>
      <c r="X5" s="3282"/>
      <c r="Y5" s="3282">
        <v>0</v>
      </c>
      <c r="Z5" s="3282">
        <v>0</v>
      </c>
      <c r="AA5" s="3282">
        <v>0</v>
      </c>
      <c r="AB5" s="3282">
        <v>0</v>
      </c>
      <c r="AC5" s="3282">
        <v>0</v>
      </c>
      <c r="AD5" s="3282">
        <v>0</v>
      </c>
      <c r="AE5" s="3282">
        <v>0</v>
      </c>
      <c r="AF5" s="3282">
        <v>0</v>
      </c>
      <c r="AG5" s="3282">
        <v>0</v>
      </c>
      <c r="AH5" s="3282">
        <v>0</v>
      </c>
      <c r="AI5" s="3282">
        <v>0</v>
      </c>
      <c r="AJ5" s="3282">
        <v>52.34</v>
      </c>
      <c r="AK5" s="3282"/>
      <c r="AL5" s="3282"/>
      <c r="AM5" s="3282"/>
      <c r="AN5" s="3282"/>
      <c r="AO5" s="3282"/>
      <c r="AP5" s="3282"/>
      <c r="AQ5" s="3282"/>
      <c r="AR5" s="3282"/>
      <c r="AS5" s="3282"/>
      <c r="AT5" s="3282"/>
    </row>
    <row r="6" spans="1:46">
      <c r="A6" s="3282">
        <v>3</v>
      </c>
      <c r="B6" s="3282" t="s">
        <v>3107</v>
      </c>
      <c r="C6" s="3282" t="s">
        <v>3114</v>
      </c>
      <c r="D6" s="3282" t="s">
        <v>48</v>
      </c>
      <c r="E6" s="3282" t="s">
        <v>3109</v>
      </c>
      <c r="F6" s="3282" t="s">
        <v>3110</v>
      </c>
      <c r="G6" s="3282" t="s">
        <v>3115</v>
      </c>
      <c r="H6" s="3282" t="s">
        <v>3116</v>
      </c>
      <c r="I6" s="3282" t="s">
        <v>3117</v>
      </c>
      <c r="J6" s="3282"/>
      <c r="K6" s="3282"/>
      <c r="L6" s="3284">
        <v>43370</v>
      </c>
      <c r="M6" s="3282">
        <v>33.49</v>
      </c>
      <c r="N6" s="3282">
        <v>8.8000000000000007</v>
      </c>
      <c r="O6" s="3283">
        <v>400000</v>
      </c>
      <c r="P6" s="3283">
        <v>11943.86</v>
      </c>
      <c r="Q6" s="3283">
        <v>45454.55</v>
      </c>
      <c r="R6" s="3283">
        <v>400000</v>
      </c>
      <c r="S6" s="3283">
        <v>400000</v>
      </c>
      <c r="T6" s="3282" t="s">
        <v>3118</v>
      </c>
      <c r="U6" s="3282">
        <v>0</v>
      </c>
      <c r="V6" s="3282"/>
      <c r="W6" s="3282">
        <v>0</v>
      </c>
      <c r="X6" s="3282"/>
      <c r="Y6" s="3283">
        <v>100000</v>
      </c>
      <c r="Z6" s="3283">
        <v>300000</v>
      </c>
      <c r="AA6" s="3282">
        <v>0</v>
      </c>
      <c r="AB6" s="3282">
        <v>0</v>
      </c>
      <c r="AC6" s="3282">
        <v>0</v>
      </c>
      <c r="AD6" s="3282">
        <v>0</v>
      </c>
      <c r="AE6" s="3282">
        <v>0</v>
      </c>
      <c r="AF6" s="3282">
        <v>0</v>
      </c>
      <c r="AG6" s="3282">
        <v>0</v>
      </c>
      <c r="AH6" s="3282">
        <v>0</v>
      </c>
      <c r="AI6" s="3282">
        <v>0</v>
      </c>
      <c r="AJ6" s="3282">
        <v>33.49</v>
      </c>
      <c r="AK6" s="3282">
        <v>0</v>
      </c>
      <c r="AL6" s="3282">
        <v>0</v>
      </c>
      <c r="AM6" s="3282"/>
      <c r="AN6" s="3285">
        <v>43480</v>
      </c>
      <c r="AO6" s="3285">
        <v>43370</v>
      </c>
      <c r="AP6" s="3282"/>
      <c r="AQ6" s="3282" t="s">
        <v>3119</v>
      </c>
      <c r="AR6" s="3282">
        <v>100</v>
      </c>
      <c r="AS6" s="3282" t="s">
        <v>3120</v>
      </c>
      <c r="AT6" s="3285">
        <v>43370</v>
      </c>
    </row>
    <row r="7" spans="1:46">
      <c r="A7" s="3282">
        <v>4</v>
      </c>
      <c r="B7" s="3282" t="s">
        <v>3107</v>
      </c>
      <c r="C7" s="3282" t="s">
        <v>3121</v>
      </c>
      <c r="D7" s="3282" t="s">
        <v>48</v>
      </c>
      <c r="E7" s="3282" t="s">
        <v>3109</v>
      </c>
      <c r="F7" s="3282" t="s">
        <v>3110</v>
      </c>
      <c r="G7" s="3282" t="s">
        <v>3115</v>
      </c>
      <c r="H7" s="3282" t="s">
        <v>3116</v>
      </c>
      <c r="I7" s="3282" t="s">
        <v>3122</v>
      </c>
      <c r="J7" s="3282"/>
      <c r="K7" s="3282"/>
      <c r="L7" s="3284">
        <v>43370</v>
      </c>
      <c r="M7" s="3282">
        <v>33.49</v>
      </c>
      <c r="N7" s="3282">
        <v>8.8000000000000007</v>
      </c>
      <c r="O7" s="3283">
        <v>400000</v>
      </c>
      <c r="P7" s="3283">
        <v>11943.86</v>
      </c>
      <c r="Q7" s="3283">
        <v>45454.55</v>
      </c>
      <c r="R7" s="3283">
        <v>400000</v>
      </c>
      <c r="S7" s="3283">
        <v>400000</v>
      </c>
      <c r="T7" s="3282" t="s">
        <v>3118</v>
      </c>
      <c r="U7" s="3282">
        <v>0</v>
      </c>
      <c r="V7" s="3282"/>
      <c r="W7" s="3282">
        <v>0</v>
      </c>
      <c r="X7" s="3282"/>
      <c r="Y7" s="3283">
        <v>100000</v>
      </c>
      <c r="Z7" s="3283">
        <v>300000</v>
      </c>
      <c r="AA7" s="3282">
        <v>0</v>
      </c>
      <c r="AB7" s="3282">
        <v>0</v>
      </c>
      <c r="AC7" s="3282">
        <v>0</v>
      </c>
      <c r="AD7" s="3282">
        <v>0</v>
      </c>
      <c r="AE7" s="3282">
        <v>0</v>
      </c>
      <c r="AF7" s="3282">
        <v>0</v>
      </c>
      <c r="AG7" s="3282">
        <v>0</v>
      </c>
      <c r="AH7" s="3282">
        <v>0</v>
      </c>
      <c r="AI7" s="3282">
        <v>0</v>
      </c>
      <c r="AJ7" s="3282">
        <v>33.49</v>
      </c>
      <c r="AK7" s="3282">
        <v>0</v>
      </c>
      <c r="AL7" s="3282">
        <v>0</v>
      </c>
      <c r="AM7" s="3282"/>
      <c r="AN7" s="3285">
        <v>43480</v>
      </c>
      <c r="AO7" s="3285">
        <v>43370</v>
      </c>
      <c r="AP7" s="3282"/>
      <c r="AQ7" s="3282" t="s">
        <v>3119</v>
      </c>
      <c r="AR7" s="3282">
        <v>100</v>
      </c>
      <c r="AS7" s="3282" t="s">
        <v>3120</v>
      </c>
      <c r="AT7" s="3285">
        <v>43370</v>
      </c>
    </row>
    <row r="8" spans="1:46">
      <c r="A8" s="3282">
        <v>7</v>
      </c>
      <c r="B8" s="3282" t="s">
        <v>3107</v>
      </c>
      <c r="C8" s="3282" t="s">
        <v>3123</v>
      </c>
      <c r="D8" s="3282" t="s">
        <v>48</v>
      </c>
      <c r="E8" s="3282" t="s">
        <v>3109</v>
      </c>
      <c r="F8" s="3282" t="s">
        <v>3110</v>
      </c>
      <c r="G8" s="3282"/>
      <c r="H8" s="3282"/>
      <c r="I8" s="3282" t="s">
        <v>3122</v>
      </c>
      <c r="J8" s="3282"/>
      <c r="K8" s="3282"/>
      <c r="L8" s="3282"/>
      <c r="M8" s="3282">
        <v>52.34</v>
      </c>
      <c r="N8" s="3282">
        <v>13.75</v>
      </c>
      <c r="O8" s="3283">
        <v>500000</v>
      </c>
      <c r="P8" s="3282"/>
      <c r="Q8" s="3282"/>
      <c r="R8" s="3282"/>
      <c r="S8" s="3282"/>
      <c r="T8" s="3282"/>
      <c r="U8" s="3282"/>
      <c r="V8" s="3282"/>
      <c r="W8" s="3282"/>
      <c r="X8" s="3282"/>
      <c r="Y8" s="3282">
        <v>0</v>
      </c>
      <c r="Z8" s="3282">
        <v>0</v>
      </c>
      <c r="AA8" s="3282">
        <v>0</v>
      </c>
      <c r="AB8" s="3282">
        <v>0</v>
      </c>
      <c r="AC8" s="3282">
        <v>0</v>
      </c>
      <c r="AD8" s="3282">
        <v>0</v>
      </c>
      <c r="AE8" s="3282">
        <v>0</v>
      </c>
      <c r="AF8" s="3282">
        <v>0</v>
      </c>
      <c r="AG8" s="3282">
        <v>0</v>
      </c>
      <c r="AH8" s="3282">
        <v>0</v>
      </c>
      <c r="AI8" s="3282">
        <v>0</v>
      </c>
      <c r="AJ8" s="3282">
        <v>52.34</v>
      </c>
      <c r="AK8" s="3282"/>
      <c r="AL8" s="3282"/>
      <c r="AM8" s="3282"/>
      <c r="AN8" s="3282"/>
      <c r="AO8" s="3282"/>
      <c r="AP8" s="3282"/>
      <c r="AQ8" s="3282"/>
      <c r="AR8" s="3282"/>
      <c r="AS8" s="3282"/>
      <c r="AT8" s="3282"/>
    </row>
    <row r="9" spans="1:46">
      <c r="A9" s="3282">
        <v>8</v>
      </c>
      <c r="B9" s="3282" t="s">
        <v>3107</v>
      </c>
      <c r="C9" s="3282" t="s">
        <v>3124</v>
      </c>
      <c r="D9" s="3282" t="s">
        <v>48</v>
      </c>
      <c r="E9" s="3282" t="s">
        <v>3109</v>
      </c>
      <c r="F9" s="3282" t="s">
        <v>3110</v>
      </c>
      <c r="G9" s="3282"/>
      <c r="H9" s="3282"/>
      <c r="I9" s="3282" t="s">
        <v>3111</v>
      </c>
      <c r="J9" s="3282"/>
      <c r="K9" s="3282"/>
      <c r="L9" s="3282"/>
      <c r="M9" s="3282">
        <v>79.55</v>
      </c>
      <c r="N9" s="3282">
        <v>20.9</v>
      </c>
      <c r="O9" s="3283">
        <v>500000</v>
      </c>
      <c r="P9" s="3282"/>
      <c r="Q9" s="3282"/>
      <c r="R9" s="3282"/>
      <c r="S9" s="3282"/>
      <c r="T9" s="3282"/>
      <c r="U9" s="3282"/>
      <c r="V9" s="3282"/>
      <c r="W9" s="3282"/>
      <c r="X9" s="3282"/>
      <c r="Y9" s="3282">
        <v>0</v>
      </c>
      <c r="Z9" s="3282">
        <v>0</v>
      </c>
      <c r="AA9" s="3282">
        <v>0</v>
      </c>
      <c r="AB9" s="3282">
        <v>0</v>
      </c>
      <c r="AC9" s="3282">
        <v>0</v>
      </c>
      <c r="AD9" s="3282">
        <v>0</v>
      </c>
      <c r="AE9" s="3282">
        <v>0</v>
      </c>
      <c r="AF9" s="3282">
        <v>0</v>
      </c>
      <c r="AG9" s="3282">
        <v>0</v>
      </c>
      <c r="AH9" s="3282">
        <v>0</v>
      </c>
      <c r="AI9" s="3282">
        <v>0</v>
      </c>
      <c r="AJ9" s="3282">
        <v>79.55</v>
      </c>
      <c r="AK9" s="3282"/>
      <c r="AL9" s="3282"/>
      <c r="AM9" s="3282"/>
      <c r="AN9" s="3282"/>
      <c r="AO9" s="3282"/>
      <c r="AP9" s="3282"/>
      <c r="AQ9" s="3282"/>
      <c r="AR9" s="3282"/>
      <c r="AS9" s="3282"/>
      <c r="AT9" s="3282"/>
    </row>
    <row r="10" spans="1:46">
      <c r="A10" s="3282">
        <v>9</v>
      </c>
      <c r="B10" s="3282" t="s">
        <v>3107</v>
      </c>
      <c r="C10" s="3282" t="s">
        <v>3125</v>
      </c>
      <c r="D10" s="3282" t="s">
        <v>48</v>
      </c>
      <c r="E10" s="3282" t="s">
        <v>3109</v>
      </c>
      <c r="F10" s="3282" t="s">
        <v>3110</v>
      </c>
      <c r="G10" s="3282"/>
      <c r="H10" s="3282"/>
      <c r="I10" s="3282" t="s">
        <v>3113</v>
      </c>
      <c r="J10" s="3282"/>
      <c r="K10" s="3282"/>
      <c r="L10" s="3282"/>
      <c r="M10" s="3282">
        <v>104.67</v>
      </c>
      <c r="N10" s="3282">
        <v>27.5</v>
      </c>
      <c r="O10" s="3283">
        <v>400000</v>
      </c>
      <c r="P10" s="3282"/>
      <c r="Q10" s="3282"/>
      <c r="R10" s="3282"/>
      <c r="S10" s="3282"/>
      <c r="T10" s="3282"/>
      <c r="U10" s="3282"/>
      <c r="V10" s="3282"/>
      <c r="W10" s="3282"/>
      <c r="X10" s="3282"/>
      <c r="Y10" s="3282">
        <v>0</v>
      </c>
      <c r="Z10" s="3282">
        <v>0</v>
      </c>
      <c r="AA10" s="3282">
        <v>0</v>
      </c>
      <c r="AB10" s="3282">
        <v>0</v>
      </c>
      <c r="AC10" s="3282">
        <v>0</v>
      </c>
      <c r="AD10" s="3282">
        <v>0</v>
      </c>
      <c r="AE10" s="3282">
        <v>0</v>
      </c>
      <c r="AF10" s="3282">
        <v>0</v>
      </c>
      <c r="AG10" s="3282">
        <v>0</v>
      </c>
      <c r="AH10" s="3282">
        <v>0</v>
      </c>
      <c r="AI10" s="3282">
        <v>0</v>
      </c>
      <c r="AJ10" s="3282">
        <v>104.67</v>
      </c>
      <c r="AK10" s="3282"/>
      <c r="AL10" s="3282"/>
      <c r="AM10" s="3282"/>
      <c r="AN10" s="3282"/>
      <c r="AO10" s="3282"/>
      <c r="AP10" s="3282"/>
      <c r="AQ10" s="3282"/>
      <c r="AR10" s="3282"/>
      <c r="AS10" s="3282"/>
      <c r="AT10" s="3282"/>
    </row>
    <row r="11" spans="1:46">
      <c r="A11" s="3282">
        <v>10</v>
      </c>
      <c r="B11" s="3282" t="s">
        <v>3107</v>
      </c>
      <c r="C11" s="3282" t="s">
        <v>3126</v>
      </c>
      <c r="D11" s="3282" t="s">
        <v>48</v>
      </c>
      <c r="E11" s="3282" t="s">
        <v>3109</v>
      </c>
      <c r="F11" s="3282" t="s">
        <v>3110</v>
      </c>
      <c r="G11" s="3282"/>
      <c r="H11" s="3282"/>
      <c r="I11" s="3282" t="s">
        <v>3122</v>
      </c>
      <c r="J11" s="3282"/>
      <c r="K11" s="3282"/>
      <c r="L11" s="3282"/>
      <c r="M11" s="3282">
        <v>52.34</v>
      </c>
      <c r="N11" s="3282">
        <v>13.75</v>
      </c>
      <c r="O11" s="3283">
        <v>400000</v>
      </c>
      <c r="P11" s="3282"/>
      <c r="Q11" s="3282"/>
      <c r="R11" s="3282"/>
      <c r="S11" s="3282"/>
      <c r="T11" s="3282"/>
      <c r="U11" s="3282"/>
      <c r="V11" s="3282"/>
      <c r="W11" s="3282"/>
      <c r="X11" s="3282"/>
      <c r="Y11" s="3282">
        <v>0</v>
      </c>
      <c r="Z11" s="3282">
        <v>0</v>
      </c>
      <c r="AA11" s="3282">
        <v>0</v>
      </c>
      <c r="AB11" s="3282">
        <v>0</v>
      </c>
      <c r="AC11" s="3282">
        <v>0</v>
      </c>
      <c r="AD11" s="3282">
        <v>0</v>
      </c>
      <c r="AE11" s="3282">
        <v>0</v>
      </c>
      <c r="AF11" s="3282">
        <v>0</v>
      </c>
      <c r="AG11" s="3282">
        <v>0</v>
      </c>
      <c r="AH11" s="3282">
        <v>0</v>
      </c>
      <c r="AI11" s="3282">
        <v>0</v>
      </c>
      <c r="AJ11" s="3282">
        <v>52.34</v>
      </c>
      <c r="AK11" s="3282"/>
      <c r="AL11" s="3282"/>
      <c r="AM11" s="3282"/>
      <c r="AN11" s="3282"/>
      <c r="AO11" s="3282"/>
      <c r="AP11" s="3282"/>
      <c r="AQ11" s="3282"/>
      <c r="AR11" s="3282"/>
      <c r="AS11" s="3282"/>
      <c r="AT11" s="3282"/>
    </row>
    <row r="12" spans="1:46">
      <c r="A12" s="3282">
        <v>11</v>
      </c>
      <c r="B12" s="3282" t="s">
        <v>3107</v>
      </c>
      <c r="C12" s="3282" t="s">
        <v>3127</v>
      </c>
      <c r="D12" s="3282" t="s">
        <v>48</v>
      </c>
      <c r="E12" s="3282" t="s">
        <v>3109</v>
      </c>
      <c r="F12" s="3282" t="s">
        <v>3110</v>
      </c>
      <c r="G12" s="3282"/>
      <c r="H12" s="3282"/>
      <c r="I12" s="3282" t="s">
        <v>3113</v>
      </c>
      <c r="J12" s="3282"/>
      <c r="K12" s="3282"/>
      <c r="L12" s="3282"/>
      <c r="M12" s="3282">
        <v>52.34</v>
      </c>
      <c r="N12" s="3282">
        <v>13.75</v>
      </c>
      <c r="O12" s="3283">
        <v>400000</v>
      </c>
      <c r="P12" s="3282"/>
      <c r="Q12" s="3282"/>
      <c r="R12" s="3282"/>
      <c r="S12" s="3282"/>
      <c r="T12" s="3282"/>
      <c r="U12" s="3282"/>
      <c r="V12" s="3282"/>
      <c r="W12" s="3282"/>
      <c r="X12" s="3282"/>
      <c r="Y12" s="3282">
        <v>0</v>
      </c>
      <c r="Z12" s="3282">
        <v>0</v>
      </c>
      <c r="AA12" s="3282">
        <v>0</v>
      </c>
      <c r="AB12" s="3282">
        <v>0</v>
      </c>
      <c r="AC12" s="3282">
        <v>0</v>
      </c>
      <c r="AD12" s="3282">
        <v>0</v>
      </c>
      <c r="AE12" s="3282">
        <v>0</v>
      </c>
      <c r="AF12" s="3282">
        <v>0</v>
      </c>
      <c r="AG12" s="3282">
        <v>0</v>
      </c>
      <c r="AH12" s="3282">
        <v>0</v>
      </c>
      <c r="AI12" s="3282">
        <v>0</v>
      </c>
      <c r="AJ12" s="3282">
        <v>52.34</v>
      </c>
      <c r="AK12" s="3282"/>
      <c r="AL12" s="3282"/>
      <c r="AM12" s="3282"/>
      <c r="AN12" s="3282"/>
      <c r="AO12" s="3282"/>
      <c r="AP12" s="3282"/>
      <c r="AQ12" s="3282"/>
      <c r="AR12" s="3282"/>
      <c r="AS12" s="3282"/>
      <c r="AT12" s="3282"/>
    </row>
    <row r="13" spans="1:46">
      <c r="A13" s="3282">
        <v>12</v>
      </c>
      <c r="B13" s="3282" t="s">
        <v>3107</v>
      </c>
      <c r="C13" s="3282" t="s">
        <v>3128</v>
      </c>
      <c r="D13" s="3282" t="s">
        <v>48</v>
      </c>
      <c r="E13" s="3282" t="s">
        <v>3109</v>
      </c>
      <c r="F13" s="3282" t="s">
        <v>3110</v>
      </c>
      <c r="G13" s="3282"/>
      <c r="H13" s="3282"/>
      <c r="I13" s="3282" t="s">
        <v>3122</v>
      </c>
      <c r="J13" s="3282"/>
      <c r="K13" s="3282"/>
      <c r="L13" s="3282"/>
      <c r="M13" s="3282">
        <v>52.34</v>
      </c>
      <c r="N13" s="3282">
        <v>13.75</v>
      </c>
      <c r="O13" s="3283">
        <v>400000</v>
      </c>
      <c r="P13" s="3282"/>
      <c r="Q13" s="3282"/>
      <c r="R13" s="3282"/>
      <c r="S13" s="3282"/>
      <c r="T13" s="3282"/>
      <c r="U13" s="3282"/>
      <c r="V13" s="3282"/>
      <c r="W13" s="3282"/>
      <c r="X13" s="3282"/>
      <c r="Y13" s="3282">
        <v>0</v>
      </c>
      <c r="Z13" s="3282">
        <v>0</v>
      </c>
      <c r="AA13" s="3282">
        <v>0</v>
      </c>
      <c r="AB13" s="3282">
        <v>0</v>
      </c>
      <c r="AC13" s="3282">
        <v>0</v>
      </c>
      <c r="AD13" s="3282">
        <v>0</v>
      </c>
      <c r="AE13" s="3282">
        <v>0</v>
      </c>
      <c r="AF13" s="3282">
        <v>0</v>
      </c>
      <c r="AG13" s="3282">
        <v>0</v>
      </c>
      <c r="AH13" s="3282">
        <v>0</v>
      </c>
      <c r="AI13" s="3282">
        <v>0</v>
      </c>
      <c r="AJ13" s="3282">
        <v>52.34</v>
      </c>
      <c r="AK13" s="3282"/>
      <c r="AL13" s="3282"/>
      <c r="AM13" s="3282"/>
      <c r="AN13" s="3282"/>
      <c r="AO13" s="3282"/>
      <c r="AP13" s="3282"/>
      <c r="AQ13" s="3282"/>
      <c r="AR13" s="3282"/>
      <c r="AS13" s="3282"/>
      <c r="AT13" s="3282"/>
    </row>
    <row r="14" spans="1:46">
      <c r="A14" s="3282">
        <v>14</v>
      </c>
      <c r="B14" s="3282" t="s">
        <v>3107</v>
      </c>
      <c r="C14" s="3282" t="s">
        <v>3129</v>
      </c>
      <c r="D14" s="3282" t="s">
        <v>48</v>
      </c>
      <c r="E14" s="3282" t="s">
        <v>3109</v>
      </c>
      <c r="F14" s="3282" t="s">
        <v>3110</v>
      </c>
      <c r="G14" s="3282" t="s">
        <v>3130</v>
      </c>
      <c r="H14" s="3282" t="s">
        <v>3131</v>
      </c>
      <c r="I14" s="3282" t="s">
        <v>3117</v>
      </c>
      <c r="J14" s="3282"/>
      <c r="K14" s="3282"/>
      <c r="L14" s="3284">
        <v>43373</v>
      </c>
      <c r="M14" s="3282">
        <v>52.34</v>
      </c>
      <c r="N14" s="3282">
        <v>13.75</v>
      </c>
      <c r="O14" s="3283">
        <v>400000</v>
      </c>
      <c r="P14" s="3283">
        <v>7642.34</v>
      </c>
      <c r="Q14" s="3283">
        <v>29090.91</v>
      </c>
      <c r="R14" s="3283">
        <v>400000</v>
      </c>
      <c r="S14" s="3283">
        <v>400000</v>
      </c>
      <c r="T14" s="3282" t="s">
        <v>3118</v>
      </c>
      <c r="U14" s="3282">
        <v>0</v>
      </c>
      <c r="V14" s="3282"/>
      <c r="W14" s="3282">
        <v>0</v>
      </c>
      <c r="X14" s="3282"/>
      <c r="Y14" s="3283">
        <v>100000</v>
      </c>
      <c r="Z14" s="3283">
        <v>300000</v>
      </c>
      <c r="AA14" s="3282">
        <v>0</v>
      </c>
      <c r="AB14" s="3282">
        <v>0</v>
      </c>
      <c r="AC14" s="3282">
        <v>0</v>
      </c>
      <c r="AD14" s="3282">
        <v>0</v>
      </c>
      <c r="AE14" s="3282">
        <v>0</v>
      </c>
      <c r="AF14" s="3282">
        <v>0</v>
      </c>
      <c r="AG14" s="3282">
        <v>0</v>
      </c>
      <c r="AH14" s="3282">
        <v>0</v>
      </c>
      <c r="AI14" s="3282">
        <v>0</v>
      </c>
      <c r="AJ14" s="3282">
        <v>52.34</v>
      </c>
      <c r="AK14" s="3282">
        <v>0</v>
      </c>
      <c r="AL14" s="3282">
        <v>0</v>
      </c>
      <c r="AM14" s="3282"/>
      <c r="AN14" s="3285">
        <v>43480</v>
      </c>
      <c r="AO14" s="3285">
        <v>43373</v>
      </c>
      <c r="AP14" s="3282"/>
      <c r="AQ14" s="3282" t="s">
        <v>3119</v>
      </c>
      <c r="AR14" s="3282">
        <v>100</v>
      </c>
      <c r="AS14" s="3282" t="s">
        <v>3132</v>
      </c>
      <c r="AT14" s="3285">
        <v>43373</v>
      </c>
    </row>
    <row r="15" spans="1:46">
      <c r="A15" s="3282">
        <v>15</v>
      </c>
      <c r="B15" s="3282" t="s">
        <v>3107</v>
      </c>
      <c r="C15" s="3282" t="s">
        <v>3133</v>
      </c>
      <c r="D15" s="3282" t="s">
        <v>48</v>
      </c>
      <c r="E15" s="3282" t="s">
        <v>3109</v>
      </c>
      <c r="F15" s="3282" t="s">
        <v>3110</v>
      </c>
      <c r="G15" s="3282"/>
      <c r="H15" s="3282"/>
      <c r="I15" s="3282" t="s">
        <v>3113</v>
      </c>
      <c r="J15" s="3282"/>
      <c r="K15" s="3282"/>
      <c r="L15" s="3282"/>
      <c r="M15" s="3282">
        <v>52.34</v>
      </c>
      <c r="N15" s="3282">
        <v>13.75</v>
      </c>
      <c r="O15" s="3283">
        <v>400000</v>
      </c>
      <c r="P15" s="3282"/>
      <c r="Q15" s="3282"/>
      <c r="R15" s="3282"/>
      <c r="S15" s="3282"/>
      <c r="T15" s="3282"/>
      <c r="U15" s="3282"/>
      <c r="V15" s="3282"/>
      <c r="W15" s="3282"/>
      <c r="X15" s="3282"/>
      <c r="Y15" s="3282">
        <v>0</v>
      </c>
      <c r="Z15" s="3282">
        <v>0</v>
      </c>
      <c r="AA15" s="3282">
        <v>0</v>
      </c>
      <c r="AB15" s="3282">
        <v>0</v>
      </c>
      <c r="AC15" s="3282">
        <v>0</v>
      </c>
      <c r="AD15" s="3282">
        <v>0</v>
      </c>
      <c r="AE15" s="3282">
        <v>0</v>
      </c>
      <c r="AF15" s="3282">
        <v>0</v>
      </c>
      <c r="AG15" s="3282">
        <v>0</v>
      </c>
      <c r="AH15" s="3282">
        <v>0</v>
      </c>
      <c r="AI15" s="3282">
        <v>0</v>
      </c>
      <c r="AJ15" s="3282">
        <v>52.34</v>
      </c>
      <c r="AK15" s="3282"/>
      <c r="AL15" s="3282"/>
      <c r="AM15" s="3282"/>
      <c r="AN15" s="3282"/>
      <c r="AO15" s="3282"/>
      <c r="AP15" s="3282"/>
      <c r="AQ15" s="3282"/>
      <c r="AR15" s="3282"/>
      <c r="AS15" s="3282"/>
      <c r="AT15" s="3282"/>
    </row>
    <row r="16" spans="1:46">
      <c r="A16" s="3282">
        <v>16</v>
      </c>
      <c r="B16" s="3282" t="s">
        <v>3107</v>
      </c>
      <c r="C16" s="3282" t="s">
        <v>3134</v>
      </c>
      <c r="D16" s="3282" t="s">
        <v>48</v>
      </c>
      <c r="E16" s="3282" t="s">
        <v>3109</v>
      </c>
      <c r="F16" s="3282" t="s">
        <v>3110</v>
      </c>
      <c r="G16" s="3282"/>
      <c r="H16" s="3282"/>
      <c r="I16" s="3282" t="s">
        <v>3135</v>
      </c>
      <c r="J16" s="3282"/>
      <c r="K16" s="3282"/>
      <c r="L16" s="3282"/>
      <c r="M16" s="3282">
        <v>52.34</v>
      </c>
      <c r="N16" s="3282">
        <v>13.75</v>
      </c>
      <c r="O16" s="3283">
        <v>400000</v>
      </c>
      <c r="P16" s="3282"/>
      <c r="Q16" s="3282"/>
      <c r="R16" s="3282"/>
      <c r="S16" s="3282"/>
      <c r="T16" s="3282"/>
      <c r="U16" s="3282"/>
      <c r="V16" s="3282"/>
      <c r="W16" s="3282"/>
      <c r="X16" s="3282"/>
      <c r="Y16" s="3282">
        <v>0</v>
      </c>
      <c r="Z16" s="3282">
        <v>0</v>
      </c>
      <c r="AA16" s="3282">
        <v>0</v>
      </c>
      <c r="AB16" s="3282">
        <v>0</v>
      </c>
      <c r="AC16" s="3282">
        <v>0</v>
      </c>
      <c r="AD16" s="3282">
        <v>0</v>
      </c>
      <c r="AE16" s="3282">
        <v>0</v>
      </c>
      <c r="AF16" s="3282">
        <v>0</v>
      </c>
      <c r="AG16" s="3282">
        <v>0</v>
      </c>
      <c r="AH16" s="3282">
        <v>0</v>
      </c>
      <c r="AI16" s="3282">
        <v>0</v>
      </c>
      <c r="AJ16" s="3282">
        <v>52.34</v>
      </c>
      <c r="AK16" s="3282"/>
      <c r="AL16" s="3282"/>
      <c r="AM16" s="3282"/>
      <c r="AN16" s="3282"/>
      <c r="AO16" s="3282"/>
      <c r="AP16" s="3282"/>
      <c r="AQ16" s="3282"/>
      <c r="AR16" s="3282"/>
      <c r="AS16" s="3282"/>
      <c r="AT16" s="3282"/>
    </row>
    <row r="17" spans="1:46">
      <c r="A17" s="3282">
        <v>17</v>
      </c>
      <c r="B17" s="3282" t="s">
        <v>3107</v>
      </c>
      <c r="C17" s="3282" t="s">
        <v>3136</v>
      </c>
      <c r="D17" s="3282" t="s">
        <v>48</v>
      </c>
      <c r="E17" s="3282" t="s">
        <v>3109</v>
      </c>
      <c r="F17" s="3282" t="s">
        <v>3110</v>
      </c>
      <c r="G17" s="3282"/>
      <c r="H17" s="3282"/>
      <c r="I17" s="3282" t="s">
        <v>3135</v>
      </c>
      <c r="J17" s="3282"/>
      <c r="K17" s="3282"/>
      <c r="L17" s="3282"/>
      <c r="M17" s="3282">
        <v>52.34</v>
      </c>
      <c r="N17" s="3282">
        <v>13.75</v>
      </c>
      <c r="O17" s="3283">
        <v>400000</v>
      </c>
      <c r="P17" s="3282"/>
      <c r="Q17" s="3282"/>
      <c r="R17" s="3282"/>
      <c r="S17" s="3282"/>
      <c r="T17" s="3282"/>
      <c r="U17" s="3282"/>
      <c r="V17" s="3282"/>
      <c r="W17" s="3282"/>
      <c r="X17" s="3282"/>
      <c r="Y17" s="3282">
        <v>0</v>
      </c>
      <c r="Z17" s="3282">
        <v>0</v>
      </c>
      <c r="AA17" s="3282">
        <v>0</v>
      </c>
      <c r="AB17" s="3282">
        <v>0</v>
      </c>
      <c r="AC17" s="3282">
        <v>0</v>
      </c>
      <c r="AD17" s="3282">
        <v>0</v>
      </c>
      <c r="AE17" s="3282">
        <v>0</v>
      </c>
      <c r="AF17" s="3282">
        <v>0</v>
      </c>
      <c r="AG17" s="3282">
        <v>0</v>
      </c>
      <c r="AH17" s="3282">
        <v>0</v>
      </c>
      <c r="AI17" s="3282">
        <v>0</v>
      </c>
      <c r="AJ17" s="3282">
        <v>52.34</v>
      </c>
      <c r="AK17" s="3282"/>
      <c r="AL17" s="3282"/>
      <c r="AM17" s="3282"/>
      <c r="AN17" s="3282"/>
      <c r="AO17" s="3282"/>
      <c r="AP17" s="3282"/>
      <c r="AQ17" s="3282"/>
      <c r="AR17" s="3282"/>
      <c r="AS17" s="3282"/>
      <c r="AT17" s="3282"/>
    </row>
    <row r="18" spans="1:46">
      <c r="A18" s="3282">
        <v>18</v>
      </c>
      <c r="B18" s="3282" t="s">
        <v>3107</v>
      </c>
      <c r="C18" s="3282" t="s">
        <v>3137</v>
      </c>
      <c r="D18" s="3282" t="s">
        <v>48</v>
      </c>
      <c r="E18" s="3282" t="s">
        <v>3109</v>
      </c>
      <c r="F18" s="3282" t="s">
        <v>3110</v>
      </c>
      <c r="G18" s="3282"/>
      <c r="H18" s="3282"/>
      <c r="I18" s="3282" t="s">
        <v>3117</v>
      </c>
      <c r="J18" s="3282"/>
      <c r="K18" s="3282"/>
      <c r="L18" s="3282"/>
      <c r="M18" s="3282">
        <v>52.34</v>
      </c>
      <c r="N18" s="3282">
        <v>13.75</v>
      </c>
      <c r="O18" s="3283">
        <v>400000</v>
      </c>
      <c r="P18" s="3282"/>
      <c r="Q18" s="3282"/>
      <c r="R18" s="3282"/>
      <c r="S18" s="3282"/>
      <c r="T18" s="3282"/>
      <c r="U18" s="3282"/>
      <c r="V18" s="3282"/>
      <c r="W18" s="3282"/>
      <c r="X18" s="3282"/>
      <c r="Y18" s="3282">
        <v>0</v>
      </c>
      <c r="Z18" s="3282">
        <v>0</v>
      </c>
      <c r="AA18" s="3282">
        <v>0</v>
      </c>
      <c r="AB18" s="3282">
        <v>0</v>
      </c>
      <c r="AC18" s="3282">
        <v>0</v>
      </c>
      <c r="AD18" s="3282">
        <v>0</v>
      </c>
      <c r="AE18" s="3282">
        <v>0</v>
      </c>
      <c r="AF18" s="3282">
        <v>0</v>
      </c>
      <c r="AG18" s="3282">
        <v>0</v>
      </c>
      <c r="AH18" s="3282">
        <v>0</v>
      </c>
      <c r="AI18" s="3282">
        <v>0</v>
      </c>
      <c r="AJ18" s="3282">
        <v>52.34</v>
      </c>
      <c r="AK18" s="3282"/>
      <c r="AL18" s="3282"/>
      <c r="AM18" s="3282"/>
      <c r="AN18" s="3282"/>
      <c r="AO18" s="3282"/>
      <c r="AP18" s="3282"/>
      <c r="AQ18" s="3282"/>
      <c r="AR18" s="3282"/>
      <c r="AS18" s="3282"/>
      <c r="AT18" s="3282"/>
    </row>
    <row r="19" spans="1:46">
      <c r="A19" s="3282">
        <v>19</v>
      </c>
      <c r="B19" s="3282" t="s">
        <v>3107</v>
      </c>
      <c r="C19" s="3282" t="s">
        <v>3138</v>
      </c>
      <c r="D19" s="3282" t="s">
        <v>48</v>
      </c>
      <c r="E19" s="3282" t="s">
        <v>3109</v>
      </c>
      <c r="F19" s="3282" t="s">
        <v>3110</v>
      </c>
      <c r="G19" s="3282"/>
      <c r="H19" s="3282"/>
      <c r="I19" s="3282" t="s">
        <v>3111</v>
      </c>
      <c r="J19" s="3282"/>
      <c r="K19" s="3282"/>
      <c r="L19" s="3282"/>
      <c r="M19" s="3282">
        <v>52.34</v>
      </c>
      <c r="N19" s="3282">
        <v>13.75</v>
      </c>
      <c r="O19" s="3283">
        <v>400000</v>
      </c>
      <c r="P19" s="3282"/>
      <c r="Q19" s="3282"/>
      <c r="R19" s="3282"/>
      <c r="S19" s="3282"/>
      <c r="T19" s="3282"/>
      <c r="U19" s="3282"/>
      <c r="V19" s="3282"/>
      <c r="W19" s="3282"/>
      <c r="X19" s="3282"/>
      <c r="Y19" s="3282">
        <v>0</v>
      </c>
      <c r="Z19" s="3282">
        <v>0</v>
      </c>
      <c r="AA19" s="3282">
        <v>0</v>
      </c>
      <c r="AB19" s="3282">
        <v>0</v>
      </c>
      <c r="AC19" s="3282">
        <v>0</v>
      </c>
      <c r="AD19" s="3282">
        <v>0</v>
      </c>
      <c r="AE19" s="3282">
        <v>0</v>
      </c>
      <c r="AF19" s="3282">
        <v>0</v>
      </c>
      <c r="AG19" s="3282">
        <v>0</v>
      </c>
      <c r="AH19" s="3282">
        <v>0</v>
      </c>
      <c r="AI19" s="3282">
        <v>0</v>
      </c>
      <c r="AJ19" s="3282">
        <v>52.34</v>
      </c>
      <c r="AK19" s="3282"/>
      <c r="AL19" s="3282"/>
      <c r="AM19" s="3282"/>
      <c r="AN19" s="3282"/>
      <c r="AO19" s="3282"/>
      <c r="AP19" s="3282"/>
      <c r="AQ19" s="3282"/>
      <c r="AR19" s="3282"/>
      <c r="AS19" s="3282"/>
      <c r="AT19" s="3282"/>
    </row>
    <row r="20" spans="1:46">
      <c r="A20" s="3282">
        <v>20</v>
      </c>
      <c r="B20" s="3282" t="s">
        <v>3107</v>
      </c>
      <c r="C20" s="3282" t="s">
        <v>3139</v>
      </c>
      <c r="D20" s="3282" t="s">
        <v>48</v>
      </c>
      <c r="E20" s="3282" t="s">
        <v>3109</v>
      </c>
      <c r="F20" s="3282" t="s">
        <v>3110</v>
      </c>
      <c r="G20" s="3282"/>
      <c r="H20" s="3282"/>
      <c r="I20" s="3282" t="s">
        <v>3111</v>
      </c>
      <c r="J20" s="3282"/>
      <c r="K20" s="3282"/>
      <c r="L20" s="3282"/>
      <c r="M20" s="3282">
        <v>33.49</v>
      </c>
      <c r="N20" s="3282">
        <v>8.8000000000000007</v>
      </c>
      <c r="O20" s="3283">
        <v>400000</v>
      </c>
      <c r="P20" s="3282"/>
      <c r="Q20" s="3282"/>
      <c r="R20" s="3282"/>
      <c r="S20" s="3282"/>
      <c r="T20" s="3282"/>
      <c r="U20" s="3282"/>
      <c r="V20" s="3282"/>
      <c r="W20" s="3282"/>
      <c r="X20" s="3282"/>
      <c r="Y20" s="3282">
        <v>0</v>
      </c>
      <c r="Z20" s="3282">
        <v>0</v>
      </c>
      <c r="AA20" s="3282">
        <v>0</v>
      </c>
      <c r="AB20" s="3282">
        <v>0</v>
      </c>
      <c r="AC20" s="3282">
        <v>0</v>
      </c>
      <c r="AD20" s="3282">
        <v>0</v>
      </c>
      <c r="AE20" s="3282">
        <v>0</v>
      </c>
      <c r="AF20" s="3282">
        <v>0</v>
      </c>
      <c r="AG20" s="3282">
        <v>0</v>
      </c>
      <c r="AH20" s="3282">
        <v>0</v>
      </c>
      <c r="AI20" s="3282">
        <v>0</v>
      </c>
      <c r="AJ20" s="3282">
        <v>33.49</v>
      </c>
      <c r="AK20" s="3282"/>
      <c r="AL20" s="3282"/>
      <c r="AM20" s="3282"/>
      <c r="AN20" s="3282"/>
      <c r="AO20" s="3282"/>
      <c r="AP20" s="3282"/>
      <c r="AQ20" s="3282"/>
      <c r="AR20" s="3282"/>
      <c r="AS20" s="3282"/>
      <c r="AT20" s="3282"/>
    </row>
    <row r="21" spans="1:46">
      <c r="A21" s="3282">
        <v>21</v>
      </c>
      <c r="B21" s="3282" t="s">
        <v>3107</v>
      </c>
      <c r="C21" s="3282" t="s">
        <v>3140</v>
      </c>
      <c r="D21" s="3282" t="s">
        <v>48</v>
      </c>
      <c r="E21" s="3282" t="s">
        <v>3109</v>
      </c>
      <c r="F21" s="3282" t="s">
        <v>3110</v>
      </c>
      <c r="G21" s="3282"/>
      <c r="H21" s="3282"/>
      <c r="I21" s="3282" t="s">
        <v>3117</v>
      </c>
      <c r="J21" s="3282"/>
      <c r="K21" s="3282"/>
      <c r="L21" s="3282"/>
      <c r="M21" s="3282">
        <v>33.49</v>
      </c>
      <c r="N21" s="3282">
        <v>8.8000000000000007</v>
      </c>
      <c r="O21" s="3283">
        <v>400000</v>
      </c>
      <c r="P21" s="3282"/>
      <c r="Q21" s="3282"/>
      <c r="R21" s="3282"/>
      <c r="S21" s="3282"/>
      <c r="T21" s="3282"/>
      <c r="U21" s="3282"/>
      <c r="V21" s="3282"/>
      <c r="W21" s="3282"/>
      <c r="X21" s="3282"/>
      <c r="Y21" s="3282">
        <v>0</v>
      </c>
      <c r="Z21" s="3282">
        <v>0</v>
      </c>
      <c r="AA21" s="3282">
        <v>0</v>
      </c>
      <c r="AB21" s="3282">
        <v>0</v>
      </c>
      <c r="AC21" s="3282">
        <v>0</v>
      </c>
      <c r="AD21" s="3282">
        <v>0</v>
      </c>
      <c r="AE21" s="3282">
        <v>0</v>
      </c>
      <c r="AF21" s="3282">
        <v>0</v>
      </c>
      <c r="AG21" s="3282">
        <v>0</v>
      </c>
      <c r="AH21" s="3282">
        <v>0</v>
      </c>
      <c r="AI21" s="3282">
        <v>0</v>
      </c>
      <c r="AJ21" s="3282">
        <v>33.49</v>
      </c>
      <c r="AK21" s="3282"/>
      <c r="AL21" s="3282"/>
      <c r="AM21" s="3282"/>
      <c r="AN21" s="3282"/>
      <c r="AO21" s="3282"/>
      <c r="AP21" s="3282"/>
      <c r="AQ21" s="3282"/>
      <c r="AR21" s="3282"/>
      <c r="AS21" s="3282"/>
      <c r="AT21" s="3282"/>
    </row>
    <row r="22" spans="1:46">
      <c r="A22" s="3282">
        <v>22</v>
      </c>
      <c r="B22" s="3282" t="s">
        <v>3107</v>
      </c>
      <c r="C22" s="3282" t="s">
        <v>3141</v>
      </c>
      <c r="D22" s="3282" t="s">
        <v>48</v>
      </c>
      <c r="E22" s="3282" t="s">
        <v>3109</v>
      </c>
      <c r="F22" s="3282" t="s">
        <v>3110</v>
      </c>
      <c r="G22" s="3282"/>
      <c r="H22" s="3282"/>
      <c r="I22" s="3282" t="s">
        <v>3135</v>
      </c>
      <c r="J22" s="3282"/>
      <c r="K22" s="3282"/>
      <c r="L22" s="3282"/>
      <c r="M22" s="3282">
        <v>33.49</v>
      </c>
      <c r="N22" s="3282">
        <v>8.8000000000000007</v>
      </c>
      <c r="O22" s="3283">
        <v>400000</v>
      </c>
      <c r="P22" s="3282"/>
      <c r="Q22" s="3282"/>
      <c r="R22" s="3282"/>
      <c r="S22" s="3282"/>
      <c r="T22" s="3282"/>
      <c r="U22" s="3282"/>
      <c r="V22" s="3282"/>
      <c r="W22" s="3282"/>
      <c r="X22" s="3282"/>
      <c r="Y22" s="3282">
        <v>0</v>
      </c>
      <c r="Z22" s="3282">
        <v>0</v>
      </c>
      <c r="AA22" s="3282">
        <v>0</v>
      </c>
      <c r="AB22" s="3282">
        <v>0</v>
      </c>
      <c r="AC22" s="3282">
        <v>0</v>
      </c>
      <c r="AD22" s="3282">
        <v>0</v>
      </c>
      <c r="AE22" s="3282">
        <v>0</v>
      </c>
      <c r="AF22" s="3282">
        <v>0</v>
      </c>
      <c r="AG22" s="3282">
        <v>0</v>
      </c>
      <c r="AH22" s="3282">
        <v>0</v>
      </c>
      <c r="AI22" s="3282">
        <v>0</v>
      </c>
      <c r="AJ22" s="3282">
        <v>33.49</v>
      </c>
      <c r="AK22" s="3282"/>
      <c r="AL22" s="3282"/>
      <c r="AM22" s="3282"/>
      <c r="AN22" s="3282"/>
      <c r="AO22" s="3282"/>
      <c r="AP22" s="3282"/>
      <c r="AQ22" s="3282"/>
      <c r="AR22" s="3282"/>
      <c r="AS22" s="3282"/>
      <c r="AT22" s="3282"/>
    </row>
    <row r="23" spans="1:46">
      <c r="A23" s="3282">
        <v>23</v>
      </c>
      <c r="B23" s="3282" t="s">
        <v>3107</v>
      </c>
      <c r="C23" s="3282" t="s">
        <v>3142</v>
      </c>
      <c r="D23" s="3282" t="s">
        <v>48</v>
      </c>
      <c r="E23" s="3282" t="s">
        <v>3109</v>
      </c>
      <c r="F23" s="3282" t="s">
        <v>3110</v>
      </c>
      <c r="G23" s="3282"/>
      <c r="H23" s="3282"/>
      <c r="I23" s="3282" t="s">
        <v>3135</v>
      </c>
      <c r="J23" s="3282"/>
      <c r="K23" s="3282"/>
      <c r="L23" s="3282"/>
      <c r="M23" s="3282">
        <v>52.34</v>
      </c>
      <c r="N23" s="3282">
        <v>13.75</v>
      </c>
      <c r="O23" s="3283">
        <v>400000</v>
      </c>
      <c r="P23" s="3282"/>
      <c r="Q23" s="3282"/>
      <c r="R23" s="3282"/>
      <c r="S23" s="3282"/>
      <c r="T23" s="3282"/>
      <c r="U23" s="3282"/>
      <c r="V23" s="3282"/>
      <c r="W23" s="3282"/>
      <c r="X23" s="3282"/>
      <c r="Y23" s="3282">
        <v>0</v>
      </c>
      <c r="Z23" s="3282">
        <v>0</v>
      </c>
      <c r="AA23" s="3282">
        <v>0</v>
      </c>
      <c r="AB23" s="3282">
        <v>0</v>
      </c>
      <c r="AC23" s="3282">
        <v>0</v>
      </c>
      <c r="AD23" s="3282">
        <v>0</v>
      </c>
      <c r="AE23" s="3282">
        <v>0</v>
      </c>
      <c r="AF23" s="3282">
        <v>0</v>
      </c>
      <c r="AG23" s="3282">
        <v>0</v>
      </c>
      <c r="AH23" s="3282">
        <v>0</v>
      </c>
      <c r="AI23" s="3282">
        <v>0</v>
      </c>
      <c r="AJ23" s="3282">
        <v>52.34</v>
      </c>
      <c r="AK23" s="3282"/>
      <c r="AL23" s="3282"/>
      <c r="AM23" s="3282"/>
      <c r="AN23" s="3282"/>
      <c r="AO23" s="3282"/>
      <c r="AP23" s="3282"/>
      <c r="AQ23" s="3282"/>
      <c r="AR23" s="3282"/>
      <c r="AS23" s="3282"/>
      <c r="AT23" s="3282"/>
    </row>
    <row r="24" spans="1:46">
      <c r="A24" s="3282">
        <v>24</v>
      </c>
      <c r="B24" s="3282" t="s">
        <v>3107</v>
      </c>
      <c r="C24" s="3282" t="s">
        <v>3143</v>
      </c>
      <c r="D24" s="3282" t="s">
        <v>48</v>
      </c>
      <c r="E24" s="3282" t="s">
        <v>3109</v>
      </c>
      <c r="F24" s="3282" t="s">
        <v>3110</v>
      </c>
      <c r="G24" s="3282"/>
      <c r="H24" s="3282"/>
      <c r="I24" s="3282" t="s">
        <v>3135</v>
      </c>
      <c r="J24" s="3282"/>
      <c r="K24" s="3282"/>
      <c r="L24" s="3282"/>
      <c r="M24" s="3282">
        <v>33.49</v>
      </c>
      <c r="N24" s="3282">
        <v>8.8000000000000007</v>
      </c>
      <c r="O24" s="3283">
        <v>400000</v>
      </c>
      <c r="P24" s="3282"/>
      <c r="Q24" s="3282"/>
      <c r="R24" s="3282"/>
      <c r="S24" s="3282"/>
      <c r="T24" s="3282"/>
      <c r="U24" s="3282"/>
      <c r="V24" s="3282"/>
      <c r="W24" s="3282"/>
      <c r="X24" s="3282"/>
      <c r="Y24" s="3282">
        <v>0</v>
      </c>
      <c r="Z24" s="3282">
        <v>0</v>
      </c>
      <c r="AA24" s="3282">
        <v>0</v>
      </c>
      <c r="AB24" s="3282">
        <v>0</v>
      </c>
      <c r="AC24" s="3282">
        <v>0</v>
      </c>
      <c r="AD24" s="3282">
        <v>0</v>
      </c>
      <c r="AE24" s="3282">
        <v>0</v>
      </c>
      <c r="AF24" s="3282">
        <v>0</v>
      </c>
      <c r="AG24" s="3282">
        <v>0</v>
      </c>
      <c r="AH24" s="3282">
        <v>0</v>
      </c>
      <c r="AI24" s="3282">
        <v>0</v>
      </c>
      <c r="AJ24" s="3282">
        <v>33.49</v>
      </c>
      <c r="AK24" s="3282"/>
      <c r="AL24" s="3282"/>
      <c r="AM24" s="3282"/>
      <c r="AN24" s="3282"/>
      <c r="AO24" s="3282"/>
      <c r="AP24" s="3282"/>
      <c r="AQ24" s="3282"/>
      <c r="AR24" s="3282"/>
      <c r="AS24" s="3282"/>
      <c r="AT24" s="3282"/>
    </row>
    <row r="25" spans="1:46">
      <c r="A25" s="3282">
        <v>25</v>
      </c>
      <c r="B25" s="3282" t="s">
        <v>3107</v>
      </c>
      <c r="C25" s="3282" t="s">
        <v>3144</v>
      </c>
      <c r="D25" s="3282" t="s">
        <v>48</v>
      </c>
      <c r="E25" s="3282" t="s">
        <v>3109</v>
      </c>
      <c r="F25" s="3282" t="s">
        <v>3110</v>
      </c>
      <c r="G25" s="3282"/>
      <c r="H25" s="3282"/>
      <c r="I25" s="3282" t="s">
        <v>3135</v>
      </c>
      <c r="J25" s="3282"/>
      <c r="K25" s="3282"/>
      <c r="L25" s="3282"/>
      <c r="M25" s="3282">
        <v>52.34</v>
      </c>
      <c r="N25" s="3282">
        <v>13.75</v>
      </c>
      <c r="O25" s="3283">
        <v>400000</v>
      </c>
      <c r="P25" s="3282"/>
      <c r="Q25" s="3282"/>
      <c r="R25" s="3282"/>
      <c r="S25" s="3282"/>
      <c r="T25" s="3282"/>
      <c r="U25" s="3282"/>
      <c r="V25" s="3282"/>
      <c r="W25" s="3282"/>
      <c r="X25" s="3282"/>
      <c r="Y25" s="3282">
        <v>0</v>
      </c>
      <c r="Z25" s="3282">
        <v>0</v>
      </c>
      <c r="AA25" s="3282">
        <v>0</v>
      </c>
      <c r="AB25" s="3282">
        <v>0</v>
      </c>
      <c r="AC25" s="3282">
        <v>0</v>
      </c>
      <c r="AD25" s="3282">
        <v>0</v>
      </c>
      <c r="AE25" s="3282">
        <v>0</v>
      </c>
      <c r="AF25" s="3282">
        <v>0</v>
      </c>
      <c r="AG25" s="3282">
        <v>0</v>
      </c>
      <c r="AH25" s="3282">
        <v>0</v>
      </c>
      <c r="AI25" s="3282">
        <v>0</v>
      </c>
      <c r="AJ25" s="3282">
        <v>52.34</v>
      </c>
      <c r="AK25" s="3282"/>
      <c r="AL25" s="3282"/>
      <c r="AM25" s="3282"/>
      <c r="AN25" s="3282"/>
      <c r="AO25" s="3282"/>
      <c r="AP25" s="3282"/>
      <c r="AQ25" s="3282"/>
      <c r="AR25" s="3282"/>
      <c r="AS25" s="3282"/>
      <c r="AT25" s="3282"/>
    </row>
    <row r="26" spans="1:46">
      <c r="A26" s="3282">
        <v>30</v>
      </c>
      <c r="B26" s="3282" t="s">
        <v>3107</v>
      </c>
      <c r="C26" s="3282" t="s">
        <v>3145</v>
      </c>
      <c r="D26" s="3282" t="s">
        <v>48</v>
      </c>
      <c r="E26" s="3282" t="s">
        <v>3109</v>
      </c>
      <c r="F26" s="3282" t="s">
        <v>3110</v>
      </c>
      <c r="G26" s="3282" t="s">
        <v>3146</v>
      </c>
      <c r="H26" s="3282" t="s">
        <v>3131</v>
      </c>
      <c r="I26" s="3282" t="s">
        <v>3135</v>
      </c>
      <c r="J26" s="3282"/>
      <c r="K26" s="3282"/>
      <c r="L26" s="3284">
        <v>43431</v>
      </c>
      <c r="M26" s="3282">
        <v>33.49</v>
      </c>
      <c r="N26" s="3282">
        <v>8.8000000000000007</v>
      </c>
      <c r="O26" s="3283">
        <v>400000</v>
      </c>
      <c r="P26" s="3283">
        <v>11943.86</v>
      </c>
      <c r="Q26" s="3283">
        <v>45454.55</v>
      </c>
      <c r="R26" s="3283">
        <v>400000</v>
      </c>
      <c r="S26" s="3283">
        <v>400000</v>
      </c>
      <c r="T26" s="3282" t="s">
        <v>3118</v>
      </c>
      <c r="U26" s="3282">
        <v>0</v>
      </c>
      <c r="V26" s="3282"/>
      <c r="W26" s="3282">
        <v>0</v>
      </c>
      <c r="X26" s="3282"/>
      <c r="Y26" s="3283">
        <v>100000</v>
      </c>
      <c r="Z26" s="3283">
        <v>300000</v>
      </c>
      <c r="AA26" s="3282">
        <v>0</v>
      </c>
      <c r="AB26" s="3282">
        <v>0</v>
      </c>
      <c r="AC26" s="3282">
        <v>0</v>
      </c>
      <c r="AD26" s="3282">
        <v>0</v>
      </c>
      <c r="AE26" s="3282">
        <v>0</v>
      </c>
      <c r="AF26" s="3282">
        <v>0</v>
      </c>
      <c r="AG26" s="3282">
        <v>0</v>
      </c>
      <c r="AH26" s="3282">
        <v>0</v>
      </c>
      <c r="AI26" s="3282">
        <v>0</v>
      </c>
      <c r="AJ26" s="3282">
        <v>33.49</v>
      </c>
      <c r="AK26" s="3282">
        <v>0</v>
      </c>
      <c r="AL26" s="3282">
        <v>0</v>
      </c>
      <c r="AM26" s="3282"/>
      <c r="AN26" s="3285">
        <v>43480</v>
      </c>
      <c r="AO26" s="3285">
        <v>43431</v>
      </c>
      <c r="AP26" s="3282"/>
      <c r="AQ26" s="3282" t="s">
        <v>3119</v>
      </c>
      <c r="AR26" s="3282">
        <v>100</v>
      </c>
      <c r="AS26" s="3282" t="s">
        <v>3147</v>
      </c>
      <c r="AT26" s="3285">
        <v>43431</v>
      </c>
    </row>
    <row r="27" spans="1:46">
      <c r="A27" s="3282">
        <v>31</v>
      </c>
      <c r="B27" s="3282" t="s">
        <v>3107</v>
      </c>
      <c r="C27" s="3282" t="s">
        <v>3148</v>
      </c>
      <c r="D27" s="3282" t="s">
        <v>48</v>
      </c>
      <c r="E27" s="3282" t="s">
        <v>3109</v>
      </c>
      <c r="F27" s="3282" t="s">
        <v>3110</v>
      </c>
      <c r="G27" s="3282"/>
      <c r="H27" s="3282"/>
      <c r="I27" s="3282" t="s">
        <v>3135</v>
      </c>
      <c r="J27" s="3282"/>
      <c r="K27" s="3282"/>
      <c r="L27" s="3282"/>
      <c r="M27" s="3282">
        <v>52.34</v>
      </c>
      <c r="N27" s="3282">
        <v>13.75</v>
      </c>
      <c r="O27" s="3283">
        <v>400000</v>
      </c>
      <c r="P27" s="3282"/>
      <c r="Q27" s="3282"/>
      <c r="R27" s="3282"/>
      <c r="S27" s="3282"/>
      <c r="T27" s="3282"/>
      <c r="U27" s="3282"/>
      <c r="V27" s="3282"/>
      <c r="W27" s="3282"/>
      <c r="X27" s="3282"/>
      <c r="Y27" s="3282">
        <v>0</v>
      </c>
      <c r="Z27" s="3282">
        <v>0</v>
      </c>
      <c r="AA27" s="3282">
        <v>0</v>
      </c>
      <c r="AB27" s="3282">
        <v>0</v>
      </c>
      <c r="AC27" s="3282">
        <v>0</v>
      </c>
      <c r="AD27" s="3282">
        <v>0</v>
      </c>
      <c r="AE27" s="3282">
        <v>0</v>
      </c>
      <c r="AF27" s="3282">
        <v>0</v>
      </c>
      <c r="AG27" s="3282">
        <v>0</v>
      </c>
      <c r="AH27" s="3282">
        <v>0</v>
      </c>
      <c r="AI27" s="3282">
        <v>0</v>
      </c>
      <c r="AJ27" s="3282">
        <v>52.34</v>
      </c>
      <c r="AK27" s="3282"/>
      <c r="AL27" s="3282"/>
      <c r="AM27" s="3282"/>
      <c r="AN27" s="3282"/>
      <c r="AO27" s="3282"/>
      <c r="AP27" s="3282"/>
      <c r="AQ27" s="3282"/>
      <c r="AR27" s="3282"/>
      <c r="AS27" s="3282"/>
      <c r="AT27" s="3282"/>
    </row>
    <row r="28" spans="1:46">
      <c r="A28" s="3282">
        <v>32</v>
      </c>
      <c r="B28" s="3282" t="s">
        <v>3107</v>
      </c>
      <c r="C28" s="3282" t="s">
        <v>3149</v>
      </c>
      <c r="D28" s="3282" t="s">
        <v>48</v>
      </c>
      <c r="E28" s="3282" t="s">
        <v>3109</v>
      </c>
      <c r="F28" s="3282" t="s">
        <v>3110</v>
      </c>
      <c r="G28" s="3282"/>
      <c r="H28" s="3282"/>
      <c r="I28" s="3282" t="s">
        <v>3135</v>
      </c>
      <c r="J28" s="3282"/>
      <c r="K28" s="3282"/>
      <c r="L28" s="3282"/>
      <c r="M28" s="3282">
        <v>52.34</v>
      </c>
      <c r="N28" s="3282">
        <v>13.75</v>
      </c>
      <c r="O28" s="3283">
        <v>400000</v>
      </c>
      <c r="P28" s="3282"/>
      <c r="Q28" s="3282"/>
      <c r="R28" s="3282"/>
      <c r="S28" s="3282"/>
      <c r="T28" s="3282"/>
      <c r="U28" s="3282"/>
      <c r="V28" s="3282"/>
      <c r="W28" s="3282"/>
      <c r="X28" s="3282"/>
      <c r="Y28" s="3282">
        <v>0</v>
      </c>
      <c r="Z28" s="3282">
        <v>0</v>
      </c>
      <c r="AA28" s="3282">
        <v>0</v>
      </c>
      <c r="AB28" s="3282">
        <v>0</v>
      </c>
      <c r="AC28" s="3282">
        <v>0</v>
      </c>
      <c r="AD28" s="3282">
        <v>0</v>
      </c>
      <c r="AE28" s="3282">
        <v>0</v>
      </c>
      <c r="AF28" s="3282">
        <v>0</v>
      </c>
      <c r="AG28" s="3282">
        <v>0</v>
      </c>
      <c r="AH28" s="3282">
        <v>0</v>
      </c>
      <c r="AI28" s="3282">
        <v>0</v>
      </c>
      <c r="AJ28" s="3282">
        <v>52.34</v>
      </c>
      <c r="AK28" s="3282"/>
      <c r="AL28" s="3282"/>
      <c r="AM28" s="3282"/>
      <c r="AN28" s="3282"/>
      <c r="AO28" s="3282"/>
      <c r="AP28" s="3282"/>
      <c r="AQ28" s="3282"/>
      <c r="AR28" s="3282"/>
      <c r="AS28" s="3282"/>
      <c r="AT28" s="3282"/>
    </row>
    <row r="29" spans="1:46">
      <c r="A29" s="3282">
        <v>33</v>
      </c>
      <c r="B29" s="3282" t="s">
        <v>3107</v>
      </c>
      <c r="C29" s="3282" t="s">
        <v>3150</v>
      </c>
      <c r="D29" s="3282" t="s">
        <v>48</v>
      </c>
      <c r="E29" s="3282" t="s">
        <v>3109</v>
      </c>
      <c r="F29" s="3282" t="s">
        <v>3110</v>
      </c>
      <c r="G29" s="3282"/>
      <c r="H29" s="3282"/>
      <c r="I29" s="3282" t="s">
        <v>3135</v>
      </c>
      <c r="J29" s="3282"/>
      <c r="K29" s="3282"/>
      <c r="L29" s="3282"/>
      <c r="M29" s="3282">
        <v>52.34</v>
      </c>
      <c r="N29" s="3282">
        <v>13.75</v>
      </c>
      <c r="O29" s="3283">
        <v>400000</v>
      </c>
      <c r="P29" s="3282"/>
      <c r="Q29" s="3282"/>
      <c r="R29" s="3282"/>
      <c r="S29" s="3282"/>
      <c r="T29" s="3282"/>
      <c r="U29" s="3282"/>
      <c r="V29" s="3282"/>
      <c r="W29" s="3282"/>
      <c r="X29" s="3282"/>
      <c r="Y29" s="3282">
        <v>0</v>
      </c>
      <c r="Z29" s="3282">
        <v>0</v>
      </c>
      <c r="AA29" s="3282">
        <v>0</v>
      </c>
      <c r="AB29" s="3282">
        <v>0</v>
      </c>
      <c r="AC29" s="3282">
        <v>0</v>
      </c>
      <c r="AD29" s="3282">
        <v>0</v>
      </c>
      <c r="AE29" s="3282">
        <v>0</v>
      </c>
      <c r="AF29" s="3282">
        <v>0</v>
      </c>
      <c r="AG29" s="3282">
        <v>0</v>
      </c>
      <c r="AH29" s="3282">
        <v>0</v>
      </c>
      <c r="AI29" s="3282">
        <v>0</v>
      </c>
      <c r="AJ29" s="3282">
        <v>52.34</v>
      </c>
      <c r="AK29" s="3282"/>
      <c r="AL29" s="3282"/>
      <c r="AM29" s="3282"/>
      <c r="AN29" s="3282"/>
      <c r="AO29" s="3282"/>
      <c r="AP29" s="3282"/>
      <c r="AQ29" s="3282"/>
      <c r="AR29" s="3282"/>
      <c r="AS29" s="3282"/>
      <c r="AT29" s="3282"/>
    </row>
    <row r="30" spans="1:46">
      <c r="A30" s="3282">
        <v>34</v>
      </c>
      <c r="B30" s="3282" t="s">
        <v>3107</v>
      </c>
      <c r="C30" s="3282" t="s">
        <v>3151</v>
      </c>
      <c r="D30" s="3282" t="s">
        <v>48</v>
      </c>
      <c r="E30" s="3282" t="s">
        <v>3109</v>
      </c>
      <c r="F30" s="3282" t="s">
        <v>3110</v>
      </c>
      <c r="G30" s="3282"/>
      <c r="H30" s="3282"/>
      <c r="I30" s="3282" t="s">
        <v>3135</v>
      </c>
      <c r="J30" s="3282"/>
      <c r="K30" s="3282"/>
      <c r="L30" s="3282"/>
      <c r="M30" s="3282">
        <v>52.34</v>
      </c>
      <c r="N30" s="3282">
        <v>13.75</v>
      </c>
      <c r="O30" s="3283">
        <v>400000</v>
      </c>
      <c r="P30" s="3282"/>
      <c r="Q30" s="3282"/>
      <c r="R30" s="3282"/>
      <c r="S30" s="3282"/>
      <c r="T30" s="3282"/>
      <c r="U30" s="3282"/>
      <c r="V30" s="3282"/>
      <c r="W30" s="3282"/>
      <c r="X30" s="3282"/>
      <c r="Y30" s="3282">
        <v>0</v>
      </c>
      <c r="Z30" s="3282">
        <v>0</v>
      </c>
      <c r="AA30" s="3282">
        <v>0</v>
      </c>
      <c r="AB30" s="3282">
        <v>0</v>
      </c>
      <c r="AC30" s="3282">
        <v>0</v>
      </c>
      <c r="AD30" s="3282">
        <v>0</v>
      </c>
      <c r="AE30" s="3282">
        <v>0</v>
      </c>
      <c r="AF30" s="3282">
        <v>0</v>
      </c>
      <c r="AG30" s="3282">
        <v>0</v>
      </c>
      <c r="AH30" s="3282">
        <v>0</v>
      </c>
      <c r="AI30" s="3282">
        <v>0</v>
      </c>
      <c r="AJ30" s="3282">
        <v>52.34</v>
      </c>
      <c r="AK30" s="3282"/>
      <c r="AL30" s="3282"/>
      <c r="AM30" s="3282"/>
      <c r="AN30" s="3282"/>
      <c r="AO30" s="3282"/>
      <c r="AP30" s="3282"/>
      <c r="AQ30" s="3282"/>
      <c r="AR30" s="3282"/>
      <c r="AS30" s="3282"/>
      <c r="AT30" s="3282"/>
    </row>
    <row r="31" spans="1:46">
      <c r="A31" s="3282">
        <v>35</v>
      </c>
      <c r="B31" s="3282" t="s">
        <v>3107</v>
      </c>
      <c r="C31" s="3282" t="s">
        <v>3152</v>
      </c>
      <c r="D31" s="3282" t="s">
        <v>48</v>
      </c>
      <c r="E31" s="3282" t="s">
        <v>3109</v>
      </c>
      <c r="F31" s="3282" t="s">
        <v>3110</v>
      </c>
      <c r="G31" s="3282"/>
      <c r="H31" s="3282"/>
      <c r="I31" s="3282" t="s">
        <v>3135</v>
      </c>
      <c r="J31" s="3282"/>
      <c r="K31" s="3282"/>
      <c r="L31" s="3282"/>
      <c r="M31" s="3282">
        <v>52.34</v>
      </c>
      <c r="N31" s="3282">
        <v>13.75</v>
      </c>
      <c r="O31" s="3283">
        <v>400000</v>
      </c>
      <c r="P31" s="3282"/>
      <c r="Q31" s="3282"/>
      <c r="R31" s="3282"/>
      <c r="S31" s="3282"/>
      <c r="T31" s="3282"/>
      <c r="U31" s="3282"/>
      <c r="V31" s="3282"/>
      <c r="W31" s="3282"/>
      <c r="X31" s="3282"/>
      <c r="Y31" s="3282">
        <v>0</v>
      </c>
      <c r="Z31" s="3282">
        <v>0</v>
      </c>
      <c r="AA31" s="3282">
        <v>0</v>
      </c>
      <c r="AB31" s="3282">
        <v>0</v>
      </c>
      <c r="AC31" s="3282">
        <v>0</v>
      </c>
      <c r="AD31" s="3282">
        <v>0</v>
      </c>
      <c r="AE31" s="3282">
        <v>0</v>
      </c>
      <c r="AF31" s="3282">
        <v>0</v>
      </c>
      <c r="AG31" s="3282">
        <v>0</v>
      </c>
      <c r="AH31" s="3282">
        <v>0</v>
      </c>
      <c r="AI31" s="3282">
        <v>0</v>
      </c>
      <c r="AJ31" s="3282">
        <v>52.34</v>
      </c>
      <c r="AK31" s="3282"/>
      <c r="AL31" s="3282"/>
      <c r="AM31" s="3282"/>
      <c r="AN31" s="3282"/>
      <c r="AO31" s="3282"/>
      <c r="AP31" s="3282"/>
      <c r="AQ31" s="3282"/>
      <c r="AR31" s="3282"/>
      <c r="AS31" s="3282"/>
      <c r="AT31" s="3282"/>
    </row>
    <row r="32" spans="1:46">
      <c r="A32" s="3282">
        <v>36</v>
      </c>
      <c r="B32" s="3282" t="s">
        <v>3107</v>
      </c>
      <c r="C32" s="3282" t="s">
        <v>3153</v>
      </c>
      <c r="D32" s="3282" t="s">
        <v>48</v>
      </c>
      <c r="E32" s="3282" t="s">
        <v>3109</v>
      </c>
      <c r="F32" s="3282" t="s">
        <v>3110</v>
      </c>
      <c r="G32" s="3282"/>
      <c r="H32" s="3282"/>
      <c r="I32" s="3282" t="s">
        <v>3135</v>
      </c>
      <c r="J32" s="3282"/>
      <c r="K32" s="3282"/>
      <c r="L32" s="3282"/>
      <c r="M32" s="3282">
        <v>52.34</v>
      </c>
      <c r="N32" s="3282">
        <v>13.75</v>
      </c>
      <c r="O32" s="3283">
        <v>400000</v>
      </c>
      <c r="P32" s="3282"/>
      <c r="Q32" s="3282"/>
      <c r="R32" s="3282"/>
      <c r="S32" s="3282"/>
      <c r="T32" s="3282"/>
      <c r="U32" s="3282"/>
      <c r="V32" s="3282"/>
      <c r="W32" s="3282"/>
      <c r="X32" s="3282"/>
      <c r="Y32" s="3282">
        <v>0</v>
      </c>
      <c r="Z32" s="3282">
        <v>0</v>
      </c>
      <c r="AA32" s="3282">
        <v>0</v>
      </c>
      <c r="AB32" s="3282">
        <v>0</v>
      </c>
      <c r="AC32" s="3282">
        <v>0</v>
      </c>
      <c r="AD32" s="3282">
        <v>0</v>
      </c>
      <c r="AE32" s="3282">
        <v>0</v>
      </c>
      <c r="AF32" s="3282">
        <v>0</v>
      </c>
      <c r="AG32" s="3282">
        <v>0</v>
      </c>
      <c r="AH32" s="3282">
        <v>0</v>
      </c>
      <c r="AI32" s="3282">
        <v>0</v>
      </c>
      <c r="AJ32" s="3282">
        <v>52.34</v>
      </c>
      <c r="AK32" s="3282"/>
      <c r="AL32" s="3282"/>
      <c r="AM32" s="3282"/>
      <c r="AN32" s="3282"/>
      <c r="AO32" s="3282"/>
      <c r="AP32" s="3282"/>
      <c r="AQ32" s="3282"/>
      <c r="AR32" s="3282"/>
      <c r="AS32" s="3282"/>
      <c r="AT32" s="3282"/>
    </row>
    <row r="33" spans="1:46">
      <c r="A33" s="3282">
        <v>37</v>
      </c>
      <c r="B33" s="3282" t="s">
        <v>3107</v>
      </c>
      <c r="C33" s="3282" t="s">
        <v>3154</v>
      </c>
      <c r="D33" s="3282" t="s">
        <v>48</v>
      </c>
      <c r="E33" s="3282" t="s">
        <v>3109</v>
      </c>
      <c r="F33" s="3282" t="s">
        <v>3110</v>
      </c>
      <c r="G33" s="3282"/>
      <c r="H33" s="3282"/>
      <c r="I33" s="3282" t="s">
        <v>3135</v>
      </c>
      <c r="J33" s="3282"/>
      <c r="K33" s="3282"/>
      <c r="L33" s="3282"/>
      <c r="M33" s="3282">
        <v>52.34</v>
      </c>
      <c r="N33" s="3282">
        <v>13.75</v>
      </c>
      <c r="O33" s="3283">
        <v>400000</v>
      </c>
      <c r="P33" s="3282"/>
      <c r="Q33" s="3282"/>
      <c r="R33" s="3282"/>
      <c r="S33" s="3282"/>
      <c r="T33" s="3282"/>
      <c r="U33" s="3282"/>
      <c r="V33" s="3282"/>
      <c r="W33" s="3282"/>
      <c r="X33" s="3282"/>
      <c r="Y33" s="3282">
        <v>0</v>
      </c>
      <c r="Z33" s="3282">
        <v>0</v>
      </c>
      <c r="AA33" s="3282">
        <v>0</v>
      </c>
      <c r="AB33" s="3282">
        <v>0</v>
      </c>
      <c r="AC33" s="3282">
        <v>0</v>
      </c>
      <c r="AD33" s="3282">
        <v>0</v>
      </c>
      <c r="AE33" s="3282">
        <v>0</v>
      </c>
      <c r="AF33" s="3282">
        <v>0</v>
      </c>
      <c r="AG33" s="3282">
        <v>0</v>
      </c>
      <c r="AH33" s="3282">
        <v>0</v>
      </c>
      <c r="AI33" s="3282">
        <v>0</v>
      </c>
      <c r="AJ33" s="3282">
        <v>52.34</v>
      </c>
      <c r="AK33" s="3282"/>
      <c r="AL33" s="3282"/>
      <c r="AM33" s="3282"/>
      <c r="AN33" s="3282"/>
      <c r="AO33" s="3282"/>
      <c r="AP33" s="3282"/>
      <c r="AQ33" s="3282"/>
      <c r="AR33" s="3282"/>
      <c r="AS33" s="3282"/>
      <c r="AT33" s="3282"/>
    </row>
    <row r="34" spans="1:46">
      <c r="A34" s="3282">
        <v>38</v>
      </c>
      <c r="B34" s="3282" t="s">
        <v>3107</v>
      </c>
      <c r="C34" s="3282" t="s">
        <v>3155</v>
      </c>
      <c r="D34" s="3282" t="s">
        <v>48</v>
      </c>
      <c r="E34" s="3282" t="s">
        <v>3109</v>
      </c>
      <c r="F34" s="3282" t="s">
        <v>3110</v>
      </c>
      <c r="G34" s="3282"/>
      <c r="H34" s="3282"/>
      <c r="I34" s="3282" t="s">
        <v>3135</v>
      </c>
      <c r="J34" s="3282"/>
      <c r="K34" s="3282"/>
      <c r="L34" s="3282"/>
      <c r="M34" s="3282">
        <v>52.34</v>
      </c>
      <c r="N34" s="3282">
        <v>13.75</v>
      </c>
      <c r="O34" s="3283">
        <v>400000</v>
      </c>
      <c r="P34" s="3282"/>
      <c r="Q34" s="3282"/>
      <c r="R34" s="3282"/>
      <c r="S34" s="3282"/>
      <c r="T34" s="3282"/>
      <c r="U34" s="3282"/>
      <c r="V34" s="3282"/>
      <c r="W34" s="3282"/>
      <c r="X34" s="3282"/>
      <c r="Y34" s="3282">
        <v>0</v>
      </c>
      <c r="Z34" s="3282">
        <v>0</v>
      </c>
      <c r="AA34" s="3282">
        <v>0</v>
      </c>
      <c r="AB34" s="3282">
        <v>0</v>
      </c>
      <c r="AC34" s="3282">
        <v>0</v>
      </c>
      <c r="AD34" s="3282">
        <v>0</v>
      </c>
      <c r="AE34" s="3282">
        <v>0</v>
      </c>
      <c r="AF34" s="3282">
        <v>0</v>
      </c>
      <c r="AG34" s="3282">
        <v>0</v>
      </c>
      <c r="AH34" s="3282">
        <v>0</v>
      </c>
      <c r="AI34" s="3282">
        <v>0</v>
      </c>
      <c r="AJ34" s="3282">
        <v>52.34</v>
      </c>
      <c r="AK34" s="3282"/>
      <c r="AL34" s="3282"/>
      <c r="AM34" s="3282"/>
      <c r="AN34" s="3282"/>
      <c r="AO34" s="3282"/>
      <c r="AP34" s="3282"/>
      <c r="AQ34" s="3282"/>
      <c r="AR34" s="3282"/>
      <c r="AS34" s="3282"/>
      <c r="AT34" s="3282"/>
    </row>
    <row r="35" spans="1:46">
      <c r="A35" s="3282">
        <v>39</v>
      </c>
      <c r="B35" s="3282" t="s">
        <v>3107</v>
      </c>
      <c r="C35" s="3282" t="s">
        <v>3156</v>
      </c>
      <c r="D35" s="3282" t="s">
        <v>48</v>
      </c>
      <c r="E35" s="3282" t="s">
        <v>3109</v>
      </c>
      <c r="F35" s="3282" t="s">
        <v>3110</v>
      </c>
      <c r="G35" s="3282"/>
      <c r="H35" s="3282"/>
      <c r="I35" s="3282" t="s">
        <v>3135</v>
      </c>
      <c r="J35" s="3282"/>
      <c r="K35" s="3282"/>
      <c r="L35" s="3282"/>
      <c r="M35" s="3282">
        <v>52.34</v>
      </c>
      <c r="N35" s="3282">
        <v>13.75</v>
      </c>
      <c r="O35" s="3283">
        <v>400000</v>
      </c>
      <c r="P35" s="3282"/>
      <c r="Q35" s="3282"/>
      <c r="R35" s="3282"/>
      <c r="S35" s="3282"/>
      <c r="T35" s="3282"/>
      <c r="U35" s="3282"/>
      <c r="V35" s="3282"/>
      <c r="W35" s="3282"/>
      <c r="X35" s="3282"/>
      <c r="Y35" s="3282">
        <v>0</v>
      </c>
      <c r="Z35" s="3282">
        <v>0</v>
      </c>
      <c r="AA35" s="3282">
        <v>0</v>
      </c>
      <c r="AB35" s="3282">
        <v>0</v>
      </c>
      <c r="AC35" s="3282">
        <v>0</v>
      </c>
      <c r="AD35" s="3282">
        <v>0</v>
      </c>
      <c r="AE35" s="3282">
        <v>0</v>
      </c>
      <c r="AF35" s="3282">
        <v>0</v>
      </c>
      <c r="AG35" s="3282">
        <v>0</v>
      </c>
      <c r="AH35" s="3282">
        <v>0</v>
      </c>
      <c r="AI35" s="3282">
        <v>0</v>
      </c>
      <c r="AJ35" s="3282">
        <v>52.34</v>
      </c>
      <c r="AK35" s="3282"/>
      <c r="AL35" s="3282"/>
      <c r="AM35" s="3282"/>
      <c r="AN35" s="3282"/>
      <c r="AO35" s="3282"/>
      <c r="AP35" s="3282"/>
      <c r="AQ35" s="3282"/>
      <c r="AR35" s="3282"/>
      <c r="AS35" s="3282"/>
      <c r="AT35" s="3282"/>
    </row>
    <row r="36" spans="1:46">
      <c r="A36" s="3282">
        <v>40</v>
      </c>
      <c r="B36" s="3282" t="s">
        <v>3107</v>
      </c>
      <c r="C36" s="3282" t="s">
        <v>3157</v>
      </c>
      <c r="D36" s="3282" t="s">
        <v>48</v>
      </c>
      <c r="E36" s="3282" t="s">
        <v>3109</v>
      </c>
      <c r="F36" s="3282" t="s">
        <v>3110</v>
      </c>
      <c r="G36" s="3282"/>
      <c r="H36" s="3282"/>
      <c r="I36" s="3282" t="s">
        <v>3135</v>
      </c>
      <c r="J36" s="3282"/>
      <c r="K36" s="3282"/>
      <c r="L36" s="3282"/>
      <c r="M36" s="3282">
        <v>52.34</v>
      </c>
      <c r="N36" s="3282">
        <v>13.75</v>
      </c>
      <c r="O36" s="3283">
        <v>400000</v>
      </c>
      <c r="P36" s="3282"/>
      <c r="Q36" s="3282"/>
      <c r="R36" s="3282"/>
      <c r="S36" s="3282"/>
      <c r="T36" s="3282"/>
      <c r="U36" s="3282"/>
      <c r="V36" s="3282"/>
      <c r="W36" s="3282"/>
      <c r="X36" s="3282"/>
      <c r="Y36" s="3282">
        <v>0</v>
      </c>
      <c r="Z36" s="3282">
        <v>0</v>
      </c>
      <c r="AA36" s="3282">
        <v>0</v>
      </c>
      <c r="AB36" s="3282">
        <v>0</v>
      </c>
      <c r="AC36" s="3282">
        <v>0</v>
      </c>
      <c r="AD36" s="3282">
        <v>0</v>
      </c>
      <c r="AE36" s="3282">
        <v>0</v>
      </c>
      <c r="AF36" s="3282">
        <v>0</v>
      </c>
      <c r="AG36" s="3282">
        <v>0</v>
      </c>
      <c r="AH36" s="3282">
        <v>0</v>
      </c>
      <c r="AI36" s="3282">
        <v>0</v>
      </c>
      <c r="AJ36" s="3282">
        <v>52.34</v>
      </c>
      <c r="AK36" s="3282"/>
      <c r="AL36" s="3282"/>
      <c r="AM36" s="3282"/>
      <c r="AN36" s="3282"/>
      <c r="AO36" s="3282"/>
      <c r="AP36" s="3282"/>
      <c r="AQ36" s="3282"/>
      <c r="AR36" s="3282"/>
      <c r="AS36" s="3282"/>
      <c r="AT36" s="3282"/>
    </row>
    <row r="37" spans="1:46">
      <c r="A37" s="3282">
        <v>41</v>
      </c>
      <c r="B37" s="3282" t="s">
        <v>3107</v>
      </c>
      <c r="C37" s="3282" t="s">
        <v>3158</v>
      </c>
      <c r="D37" s="3282" t="s">
        <v>48</v>
      </c>
      <c r="E37" s="3282" t="s">
        <v>3109</v>
      </c>
      <c r="F37" s="3282" t="s">
        <v>3110</v>
      </c>
      <c r="G37" s="3282"/>
      <c r="H37" s="3282"/>
      <c r="I37" s="3282" t="s">
        <v>3135</v>
      </c>
      <c r="J37" s="3282"/>
      <c r="K37" s="3282"/>
      <c r="L37" s="3282"/>
      <c r="M37" s="3282">
        <v>52.34</v>
      </c>
      <c r="N37" s="3282">
        <v>13.75</v>
      </c>
      <c r="O37" s="3283">
        <v>400000</v>
      </c>
      <c r="P37" s="3282"/>
      <c r="Q37" s="3282"/>
      <c r="R37" s="3282"/>
      <c r="S37" s="3282"/>
      <c r="T37" s="3282"/>
      <c r="U37" s="3282"/>
      <c r="V37" s="3282"/>
      <c r="W37" s="3282"/>
      <c r="X37" s="3282"/>
      <c r="Y37" s="3282">
        <v>0</v>
      </c>
      <c r="Z37" s="3282">
        <v>0</v>
      </c>
      <c r="AA37" s="3282">
        <v>0</v>
      </c>
      <c r="AB37" s="3282">
        <v>0</v>
      </c>
      <c r="AC37" s="3282">
        <v>0</v>
      </c>
      <c r="AD37" s="3282">
        <v>0</v>
      </c>
      <c r="AE37" s="3282">
        <v>0</v>
      </c>
      <c r="AF37" s="3282">
        <v>0</v>
      </c>
      <c r="AG37" s="3282">
        <v>0</v>
      </c>
      <c r="AH37" s="3282">
        <v>0</v>
      </c>
      <c r="AI37" s="3282">
        <v>0</v>
      </c>
      <c r="AJ37" s="3282">
        <v>52.34</v>
      </c>
      <c r="AK37" s="3282"/>
      <c r="AL37" s="3282"/>
      <c r="AM37" s="3282"/>
      <c r="AN37" s="3282"/>
      <c r="AO37" s="3282"/>
      <c r="AP37" s="3282"/>
      <c r="AQ37" s="3282"/>
      <c r="AR37" s="3282"/>
      <c r="AS37" s="3282"/>
      <c r="AT37" s="3282"/>
    </row>
    <row r="38" spans="1:46">
      <c r="A38" s="3282">
        <v>42</v>
      </c>
      <c r="B38" s="3282" t="s">
        <v>3107</v>
      </c>
      <c r="C38" s="3282" t="s">
        <v>3159</v>
      </c>
      <c r="D38" s="3282" t="s">
        <v>48</v>
      </c>
      <c r="E38" s="3282" t="s">
        <v>3109</v>
      </c>
      <c r="F38" s="3282" t="s">
        <v>3110</v>
      </c>
      <c r="G38" s="3282"/>
      <c r="H38" s="3282"/>
      <c r="I38" s="3282" t="s">
        <v>3135</v>
      </c>
      <c r="J38" s="3282"/>
      <c r="K38" s="3282"/>
      <c r="L38" s="3282"/>
      <c r="M38" s="3282">
        <v>52.34</v>
      </c>
      <c r="N38" s="3282">
        <v>13.75</v>
      </c>
      <c r="O38" s="3283">
        <v>400000</v>
      </c>
      <c r="P38" s="3282"/>
      <c r="Q38" s="3282"/>
      <c r="R38" s="3282"/>
      <c r="S38" s="3282"/>
      <c r="T38" s="3282"/>
      <c r="U38" s="3282"/>
      <c r="V38" s="3282"/>
      <c r="W38" s="3282"/>
      <c r="X38" s="3282"/>
      <c r="Y38" s="3282">
        <v>0</v>
      </c>
      <c r="Z38" s="3282">
        <v>0</v>
      </c>
      <c r="AA38" s="3282">
        <v>0</v>
      </c>
      <c r="AB38" s="3282">
        <v>0</v>
      </c>
      <c r="AC38" s="3282">
        <v>0</v>
      </c>
      <c r="AD38" s="3282">
        <v>0</v>
      </c>
      <c r="AE38" s="3282">
        <v>0</v>
      </c>
      <c r="AF38" s="3282">
        <v>0</v>
      </c>
      <c r="AG38" s="3282">
        <v>0</v>
      </c>
      <c r="AH38" s="3282">
        <v>0</v>
      </c>
      <c r="AI38" s="3282">
        <v>0</v>
      </c>
      <c r="AJ38" s="3282">
        <v>52.34</v>
      </c>
      <c r="AK38" s="3282"/>
      <c r="AL38" s="3282"/>
      <c r="AM38" s="3282"/>
      <c r="AN38" s="3282"/>
      <c r="AO38" s="3282"/>
      <c r="AP38" s="3282"/>
      <c r="AQ38" s="3282"/>
      <c r="AR38" s="3282"/>
      <c r="AS38" s="3282"/>
      <c r="AT38" s="3282"/>
    </row>
    <row r="39" spans="1:46">
      <c r="A39" s="3282">
        <v>43</v>
      </c>
      <c r="B39" s="3282" t="s">
        <v>3107</v>
      </c>
      <c r="C39" s="3282" t="s">
        <v>3160</v>
      </c>
      <c r="D39" s="3282" t="s">
        <v>48</v>
      </c>
      <c r="E39" s="3282" t="s">
        <v>3109</v>
      </c>
      <c r="F39" s="3282" t="s">
        <v>3110</v>
      </c>
      <c r="G39" s="3282"/>
      <c r="H39" s="3282"/>
      <c r="I39" s="3282" t="s">
        <v>3135</v>
      </c>
      <c r="J39" s="3282"/>
      <c r="K39" s="3282"/>
      <c r="L39" s="3282"/>
      <c r="M39" s="3282">
        <v>52.34</v>
      </c>
      <c r="N39" s="3282">
        <v>13.75</v>
      </c>
      <c r="O39" s="3283">
        <v>400000</v>
      </c>
      <c r="P39" s="3282"/>
      <c r="Q39" s="3282"/>
      <c r="R39" s="3282"/>
      <c r="S39" s="3282"/>
      <c r="T39" s="3282"/>
      <c r="U39" s="3282"/>
      <c r="V39" s="3282"/>
      <c r="W39" s="3282"/>
      <c r="X39" s="3282"/>
      <c r="Y39" s="3282">
        <v>0</v>
      </c>
      <c r="Z39" s="3282">
        <v>0</v>
      </c>
      <c r="AA39" s="3282">
        <v>0</v>
      </c>
      <c r="AB39" s="3282">
        <v>0</v>
      </c>
      <c r="AC39" s="3282">
        <v>0</v>
      </c>
      <c r="AD39" s="3282">
        <v>0</v>
      </c>
      <c r="AE39" s="3282">
        <v>0</v>
      </c>
      <c r="AF39" s="3282">
        <v>0</v>
      </c>
      <c r="AG39" s="3282">
        <v>0</v>
      </c>
      <c r="AH39" s="3282">
        <v>0</v>
      </c>
      <c r="AI39" s="3282">
        <v>0</v>
      </c>
      <c r="AJ39" s="3282">
        <v>52.34</v>
      </c>
      <c r="AK39" s="3282"/>
      <c r="AL39" s="3282"/>
      <c r="AM39" s="3282"/>
      <c r="AN39" s="3282"/>
      <c r="AO39" s="3282"/>
      <c r="AP39" s="3282"/>
      <c r="AQ39" s="3282"/>
      <c r="AR39" s="3282"/>
      <c r="AS39" s="3282"/>
      <c r="AT39" s="3282"/>
    </row>
    <row r="40" spans="1:46">
      <c r="A40" s="3282">
        <v>44</v>
      </c>
      <c r="B40" s="3282" t="s">
        <v>3107</v>
      </c>
      <c r="C40" s="3282" t="s">
        <v>3161</v>
      </c>
      <c r="D40" s="3282" t="s">
        <v>48</v>
      </c>
      <c r="E40" s="3282" t="s">
        <v>3109</v>
      </c>
      <c r="F40" s="3282" t="s">
        <v>3110</v>
      </c>
      <c r="G40" s="3282"/>
      <c r="H40" s="3282"/>
      <c r="I40" s="3282" t="s">
        <v>3135</v>
      </c>
      <c r="J40" s="3282"/>
      <c r="K40" s="3282"/>
      <c r="L40" s="3282"/>
      <c r="M40" s="3282">
        <v>52.34</v>
      </c>
      <c r="N40" s="3282">
        <v>13.75</v>
      </c>
      <c r="O40" s="3283">
        <v>400000</v>
      </c>
      <c r="P40" s="3282"/>
      <c r="Q40" s="3282"/>
      <c r="R40" s="3282"/>
      <c r="S40" s="3282"/>
      <c r="T40" s="3282"/>
      <c r="U40" s="3282"/>
      <c r="V40" s="3282"/>
      <c r="W40" s="3282"/>
      <c r="X40" s="3282"/>
      <c r="Y40" s="3282">
        <v>0</v>
      </c>
      <c r="Z40" s="3282">
        <v>0</v>
      </c>
      <c r="AA40" s="3282">
        <v>0</v>
      </c>
      <c r="AB40" s="3282">
        <v>0</v>
      </c>
      <c r="AC40" s="3282">
        <v>0</v>
      </c>
      <c r="AD40" s="3282">
        <v>0</v>
      </c>
      <c r="AE40" s="3282">
        <v>0</v>
      </c>
      <c r="AF40" s="3282">
        <v>0</v>
      </c>
      <c r="AG40" s="3282">
        <v>0</v>
      </c>
      <c r="AH40" s="3282">
        <v>0</v>
      </c>
      <c r="AI40" s="3282">
        <v>0</v>
      </c>
      <c r="AJ40" s="3282">
        <v>52.34</v>
      </c>
      <c r="AK40" s="3282"/>
      <c r="AL40" s="3282"/>
      <c r="AM40" s="3282"/>
      <c r="AN40" s="3282"/>
      <c r="AO40" s="3282"/>
      <c r="AP40" s="3282"/>
      <c r="AQ40" s="3282"/>
      <c r="AR40" s="3282"/>
      <c r="AS40" s="3282"/>
      <c r="AT40" s="3282"/>
    </row>
    <row r="41" spans="1:46">
      <c r="A41" s="3282">
        <v>45</v>
      </c>
      <c r="B41" s="3282" t="s">
        <v>3107</v>
      </c>
      <c r="C41" s="3282" t="s">
        <v>3162</v>
      </c>
      <c r="D41" s="3282" t="s">
        <v>48</v>
      </c>
      <c r="E41" s="3282" t="s">
        <v>3109</v>
      </c>
      <c r="F41" s="3282" t="s">
        <v>3110</v>
      </c>
      <c r="G41" s="3282"/>
      <c r="H41" s="3282"/>
      <c r="I41" s="3282" t="s">
        <v>3135</v>
      </c>
      <c r="J41" s="3282"/>
      <c r="K41" s="3282"/>
      <c r="L41" s="3282"/>
      <c r="M41" s="3282">
        <v>52.34</v>
      </c>
      <c r="N41" s="3282">
        <v>13.75</v>
      </c>
      <c r="O41" s="3283">
        <v>400000</v>
      </c>
      <c r="P41" s="3282"/>
      <c r="Q41" s="3282"/>
      <c r="R41" s="3282"/>
      <c r="S41" s="3282"/>
      <c r="T41" s="3282"/>
      <c r="U41" s="3282"/>
      <c r="V41" s="3282"/>
      <c r="W41" s="3282"/>
      <c r="X41" s="3282"/>
      <c r="Y41" s="3282">
        <v>0</v>
      </c>
      <c r="Z41" s="3282">
        <v>0</v>
      </c>
      <c r="AA41" s="3282">
        <v>0</v>
      </c>
      <c r="AB41" s="3282">
        <v>0</v>
      </c>
      <c r="AC41" s="3282">
        <v>0</v>
      </c>
      <c r="AD41" s="3282">
        <v>0</v>
      </c>
      <c r="AE41" s="3282">
        <v>0</v>
      </c>
      <c r="AF41" s="3282">
        <v>0</v>
      </c>
      <c r="AG41" s="3282">
        <v>0</v>
      </c>
      <c r="AH41" s="3282">
        <v>0</v>
      </c>
      <c r="AI41" s="3282">
        <v>0</v>
      </c>
      <c r="AJ41" s="3282">
        <v>52.34</v>
      </c>
      <c r="AK41" s="3282"/>
      <c r="AL41" s="3282"/>
      <c r="AM41" s="3282"/>
      <c r="AN41" s="3282"/>
      <c r="AO41" s="3282"/>
      <c r="AP41" s="3282"/>
      <c r="AQ41" s="3282"/>
      <c r="AR41" s="3282"/>
      <c r="AS41" s="3282"/>
      <c r="AT41" s="3282"/>
    </row>
    <row r="42" spans="1:46">
      <c r="A42" s="3282">
        <v>63</v>
      </c>
      <c r="B42" s="3282" t="s">
        <v>3107</v>
      </c>
      <c r="C42" s="3282" t="s">
        <v>3163</v>
      </c>
      <c r="D42" s="3282" t="s">
        <v>3164</v>
      </c>
      <c r="E42" s="3282" t="s">
        <v>3165</v>
      </c>
      <c r="F42" s="3282" t="s">
        <v>3166</v>
      </c>
      <c r="G42" s="3282"/>
      <c r="H42" s="3282"/>
      <c r="I42" s="3282" t="s">
        <v>3167</v>
      </c>
      <c r="J42" s="3282"/>
      <c r="K42" s="3282"/>
      <c r="L42" s="3282"/>
      <c r="M42" s="3282">
        <v>413.86</v>
      </c>
      <c r="N42" s="3282">
        <v>394.68</v>
      </c>
      <c r="O42" s="3283">
        <v>29060000</v>
      </c>
      <c r="P42" s="3282"/>
      <c r="Q42" s="3282"/>
      <c r="R42" s="3282"/>
      <c r="S42" s="3282"/>
      <c r="T42" s="3282"/>
      <c r="U42" s="3282"/>
      <c r="V42" s="3282"/>
      <c r="W42" s="3282"/>
      <c r="X42" s="3282"/>
      <c r="Y42" s="3282">
        <v>0</v>
      </c>
      <c r="Z42" s="3282">
        <v>0</v>
      </c>
      <c r="AA42" s="3282">
        <v>0</v>
      </c>
      <c r="AB42" s="3282">
        <v>0</v>
      </c>
      <c r="AC42" s="3282">
        <v>0</v>
      </c>
      <c r="AD42" s="3282">
        <v>0</v>
      </c>
      <c r="AE42" s="3282">
        <v>0</v>
      </c>
      <c r="AF42" s="3282">
        <v>0</v>
      </c>
      <c r="AG42" s="3282">
        <v>0</v>
      </c>
      <c r="AH42" s="3282">
        <v>0</v>
      </c>
      <c r="AI42" s="3282">
        <v>0</v>
      </c>
      <c r="AJ42" s="3282">
        <v>413.86</v>
      </c>
      <c r="AK42" s="3282"/>
      <c r="AL42" s="3282"/>
      <c r="AM42" s="3282"/>
      <c r="AN42" s="3282"/>
      <c r="AO42" s="3282"/>
      <c r="AP42" s="3282"/>
      <c r="AQ42" s="3282"/>
      <c r="AR42" s="3282"/>
      <c r="AS42" s="3282"/>
      <c r="AT42" s="3282"/>
    </row>
    <row r="43" spans="1:46">
      <c r="A43" s="3282">
        <v>64</v>
      </c>
      <c r="B43" s="3282" t="s">
        <v>3107</v>
      </c>
      <c r="C43" s="3282" t="s">
        <v>3168</v>
      </c>
      <c r="D43" s="3282" t="s">
        <v>3169</v>
      </c>
      <c r="E43" s="3282" t="s">
        <v>3165</v>
      </c>
      <c r="F43" s="3282" t="s">
        <v>3170</v>
      </c>
      <c r="G43" s="3282"/>
      <c r="H43" s="3282"/>
      <c r="I43" s="3282" t="s">
        <v>3171</v>
      </c>
      <c r="J43" s="3282"/>
      <c r="K43" s="3282"/>
      <c r="L43" s="3282"/>
      <c r="M43" s="3282">
        <v>664.33</v>
      </c>
      <c r="N43" s="3282">
        <v>552.61</v>
      </c>
      <c r="O43" s="3283">
        <v>41376674</v>
      </c>
      <c r="P43" s="3282"/>
      <c r="Q43" s="3282"/>
      <c r="R43" s="3282"/>
      <c r="S43" s="3282"/>
      <c r="T43" s="3282"/>
      <c r="U43" s="3282"/>
      <c r="V43" s="3282"/>
      <c r="W43" s="3282"/>
      <c r="X43" s="3282"/>
      <c r="Y43" s="3282">
        <v>0</v>
      </c>
      <c r="Z43" s="3282">
        <v>0</v>
      </c>
      <c r="AA43" s="3282">
        <v>0</v>
      </c>
      <c r="AB43" s="3282">
        <v>0</v>
      </c>
      <c r="AC43" s="3282">
        <v>0</v>
      </c>
      <c r="AD43" s="3282">
        <v>0</v>
      </c>
      <c r="AE43" s="3282">
        <v>0</v>
      </c>
      <c r="AF43" s="3282">
        <v>0</v>
      </c>
      <c r="AG43" s="3282">
        <v>0</v>
      </c>
      <c r="AH43" s="3282">
        <v>0</v>
      </c>
      <c r="AI43" s="3282">
        <v>0</v>
      </c>
      <c r="AJ43" s="3282">
        <v>664.33</v>
      </c>
      <c r="AK43" s="3282"/>
      <c r="AL43" s="3282"/>
      <c r="AM43" s="3282"/>
      <c r="AN43" s="3282"/>
      <c r="AO43" s="3282"/>
      <c r="AP43" s="3282"/>
      <c r="AQ43" s="3282"/>
      <c r="AR43" s="3282"/>
      <c r="AS43" s="3282"/>
      <c r="AT43" s="3282"/>
    </row>
    <row r="44" spans="1:46">
      <c r="A44" s="3282">
        <v>65</v>
      </c>
      <c r="B44" s="3282" t="s">
        <v>3107</v>
      </c>
      <c r="C44" s="3282" t="s">
        <v>3172</v>
      </c>
      <c r="D44" s="3282" t="s">
        <v>48</v>
      </c>
      <c r="E44" s="3282" t="s">
        <v>3173</v>
      </c>
      <c r="F44" s="3282" t="s">
        <v>3174</v>
      </c>
      <c r="G44" s="3282"/>
      <c r="H44" s="3282"/>
      <c r="I44" s="3282" t="s">
        <v>3135</v>
      </c>
      <c r="J44" s="3282"/>
      <c r="K44" s="3282"/>
      <c r="L44" s="3282"/>
      <c r="M44" s="3282">
        <v>320.18</v>
      </c>
      <c r="N44" s="3282">
        <v>0</v>
      </c>
      <c r="O44" s="3283">
        <v>3388465</v>
      </c>
      <c r="P44" s="3282"/>
      <c r="Q44" s="3282"/>
      <c r="R44" s="3282"/>
      <c r="S44" s="3282"/>
      <c r="T44" s="3282"/>
      <c r="U44" s="3282"/>
      <c r="V44" s="3282"/>
      <c r="W44" s="3282"/>
      <c r="X44" s="3282"/>
      <c r="Y44" s="3282">
        <v>0</v>
      </c>
      <c r="Z44" s="3282">
        <v>0</v>
      </c>
      <c r="AA44" s="3282">
        <v>0</v>
      </c>
      <c r="AB44" s="3282">
        <v>0</v>
      </c>
      <c r="AC44" s="3282">
        <v>0</v>
      </c>
      <c r="AD44" s="3282">
        <v>0</v>
      </c>
      <c r="AE44" s="3282">
        <v>0</v>
      </c>
      <c r="AF44" s="3282">
        <v>0</v>
      </c>
      <c r="AG44" s="3282">
        <v>0</v>
      </c>
      <c r="AH44" s="3282">
        <v>0</v>
      </c>
      <c r="AI44" s="3282">
        <v>0</v>
      </c>
      <c r="AJ44" s="3282">
        <v>320.18</v>
      </c>
      <c r="AK44" s="3282"/>
      <c r="AL44" s="3282"/>
      <c r="AM44" s="3282"/>
      <c r="AN44" s="3282"/>
      <c r="AO44" s="3282"/>
      <c r="AP44" s="3282"/>
      <c r="AQ44" s="3282"/>
      <c r="AR44" s="3282"/>
      <c r="AS44" s="3282"/>
      <c r="AT44" s="3282"/>
    </row>
    <row r="45" spans="1:46">
      <c r="A45" s="3282">
        <v>66</v>
      </c>
      <c r="B45" s="3282" t="s">
        <v>3107</v>
      </c>
      <c r="C45" s="3282" t="s">
        <v>3175</v>
      </c>
      <c r="D45" s="3282" t="s">
        <v>3164</v>
      </c>
      <c r="E45" s="3282" t="s">
        <v>3165</v>
      </c>
      <c r="F45" s="3282" t="s">
        <v>3176</v>
      </c>
      <c r="G45" s="3282"/>
      <c r="H45" s="3282"/>
      <c r="I45" s="3282" t="s">
        <v>3167</v>
      </c>
      <c r="J45" s="3282"/>
      <c r="K45" s="3282"/>
      <c r="L45" s="3282"/>
      <c r="M45" s="3282">
        <v>490.32</v>
      </c>
      <c r="N45" s="3282">
        <v>464.89</v>
      </c>
      <c r="O45" s="3283">
        <v>45500000</v>
      </c>
      <c r="P45" s="3282"/>
      <c r="Q45" s="3282"/>
      <c r="R45" s="3282"/>
      <c r="S45" s="3282"/>
      <c r="T45" s="3282"/>
      <c r="U45" s="3282"/>
      <c r="V45" s="3282"/>
      <c r="W45" s="3282"/>
      <c r="X45" s="3282"/>
      <c r="Y45" s="3282">
        <v>0</v>
      </c>
      <c r="Z45" s="3282">
        <v>0</v>
      </c>
      <c r="AA45" s="3282">
        <v>0</v>
      </c>
      <c r="AB45" s="3282">
        <v>0</v>
      </c>
      <c r="AC45" s="3282">
        <v>0</v>
      </c>
      <c r="AD45" s="3282">
        <v>0</v>
      </c>
      <c r="AE45" s="3282">
        <v>0</v>
      </c>
      <c r="AF45" s="3282">
        <v>0</v>
      </c>
      <c r="AG45" s="3282">
        <v>0</v>
      </c>
      <c r="AH45" s="3282">
        <v>0</v>
      </c>
      <c r="AI45" s="3282">
        <v>0</v>
      </c>
      <c r="AJ45" s="3282">
        <v>490.32</v>
      </c>
      <c r="AK45" s="3282"/>
      <c r="AL45" s="3282"/>
      <c r="AM45" s="3282"/>
      <c r="AN45" s="3282"/>
      <c r="AO45" s="3282"/>
      <c r="AP45" s="3282"/>
      <c r="AQ45" s="3282"/>
      <c r="AR45" s="3282"/>
      <c r="AS45" s="3282"/>
      <c r="AT45" s="3282"/>
    </row>
    <row r="46" spans="1:46">
      <c r="A46" s="3282">
        <v>67</v>
      </c>
      <c r="B46" s="3282" t="s">
        <v>3107</v>
      </c>
      <c r="C46" s="3282" t="s">
        <v>3177</v>
      </c>
      <c r="D46" s="3282" t="s">
        <v>3164</v>
      </c>
      <c r="E46" s="3282" t="s">
        <v>3165</v>
      </c>
      <c r="F46" s="3282" t="s">
        <v>3176</v>
      </c>
      <c r="G46" s="3282"/>
      <c r="H46" s="3282"/>
      <c r="I46" s="3282" t="s">
        <v>3167</v>
      </c>
      <c r="J46" s="3282"/>
      <c r="K46" s="3282"/>
      <c r="L46" s="3282"/>
      <c r="M46" s="3282">
        <v>490.32</v>
      </c>
      <c r="N46" s="3282">
        <v>464.89</v>
      </c>
      <c r="O46" s="3283">
        <v>48300000</v>
      </c>
      <c r="P46" s="3282"/>
      <c r="Q46" s="3282"/>
      <c r="R46" s="3282"/>
      <c r="S46" s="3282"/>
      <c r="T46" s="3282"/>
      <c r="U46" s="3282"/>
      <c r="V46" s="3282"/>
      <c r="W46" s="3282"/>
      <c r="X46" s="3282"/>
      <c r="Y46" s="3282">
        <v>0</v>
      </c>
      <c r="Z46" s="3282">
        <v>0</v>
      </c>
      <c r="AA46" s="3282">
        <v>0</v>
      </c>
      <c r="AB46" s="3282">
        <v>0</v>
      </c>
      <c r="AC46" s="3282">
        <v>0</v>
      </c>
      <c r="AD46" s="3282">
        <v>0</v>
      </c>
      <c r="AE46" s="3282">
        <v>0</v>
      </c>
      <c r="AF46" s="3282">
        <v>0</v>
      </c>
      <c r="AG46" s="3282">
        <v>0</v>
      </c>
      <c r="AH46" s="3282">
        <v>0</v>
      </c>
      <c r="AI46" s="3282">
        <v>0</v>
      </c>
      <c r="AJ46" s="3282">
        <v>490.32</v>
      </c>
      <c r="AK46" s="3282"/>
      <c r="AL46" s="3282"/>
      <c r="AM46" s="3282"/>
      <c r="AN46" s="3282"/>
      <c r="AO46" s="3282"/>
      <c r="AP46" s="3282"/>
      <c r="AQ46" s="3282"/>
      <c r="AR46" s="3282"/>
      <c r="AS46" s="3282"/>
      <c r="AT46" s="3282"/>
    </row>
    <row r="47" spans="1:46">
      <c r="A47" s="3282">
        <v>68</v>
      </c>
      <c r="B47" s="3282" t="s">
        <v>3107</v>
      </c>
      <c r="C47" s="3282" t="s">
        <v>3178</v>
      </c>
      <c r="D47" s="3282" t="s">
        <v>3164</v>
      </c>
      <c r="E47" s="3282" t="s">
        <v>3165</v>
      </c>
      <c r="F47" s="3282" t="s">
        <v>3176</v>
      </c>
      <c r="G47" s="3282" t="s">
        <v>3179</v>
      </c>
      <c r="H47" s="3282" t="s">
        <v>3131</v>
      </c>
      <c r="I47" s="3282" t="s">
        <v>3167</v>
      </c>
      <c r="J47" s="3282"/>
      <c r="K47" s="3282">
        <v>201904190078</v>
      </c>
      <c r="L47" s="3284">
        <v>43580</v>
      </c>
      <c r="M47" s="3282">
        <v>525.79</v>
      </c>
      <c r="N47" s="3282">
        <v>498.52</v>
      </c>
      <c r="O47" s="3282">
        <f>P47*N47</f>
        <v>42077121.961599998</v>
      </c>
      <c r="P47" s="3283">
        <v>84404.08</v>
      </c>
      <c r="Q47" s="3283">
        <v>89021.15</v>
      </c>
      <c r="R47" s="3283">
        <v>44378822</v>
      </c>
      <c r="S47" s="3283">
        <v>44378822</v>
      </c>
      <c r="T47" s="3282" t="s">
        <v>3180</v>
      </c>
      <c r="U47" s="3283">
        <v>26620000</v>
      </c>
      <c r="V47" s="3282" t="s">
        <v>3181</v>
      </c>
      <c r="W47" s="3282">
        <v>0</v>
      </c>
      <c r="X47" s="3282"/>
      <c r="Y47" s="3283">
        <v>500000</v>
      </c>
      <c r="Z47" s="3283">
        <v>16908822</v>
      </c>
      <c r="AA47" s="3282">
        <v>0</v>
      </c>
      <c r="AB47" s="3282">
        <v>0</v>
      </c>
      <c r="AC47" s="3283">
        <v>350000</v>
      </c>
      <c r="AD47" s="3283">
        <v>26620000</v>
      </c>
      <c r="AE47" s="3282">
        <v>0</v>
      </c>
      <c r="AF47" s="3282">
        <v>0</v>
      </c>
      <c r="AG47" s="3282">
        <v>0</v>
      </c>
      <c r="AH47" s="3282">
        <v>0</v>
      </c>
      <c r="AI47" s="3282">
        <v>0</v>
      </c>
      <c r="AJ47" s="3282">
        <v>525.79</v>
      </c>
      <c r="AK47" s="3282">
        <v>0</v>
      </c>
      <c r="AL47" s="3282">
        <v>0</v>
      </c>
      <c r="AM47" s="3282"/>
      <c r="AN47" s="3285">
        <v>43830</v>
      </c>
      <c r="AO47" s="3285">
        <v>43580</v>
      </c>
      <c r="AP47" s="3282"/>
      <c r="AQ47" s="3282" t="s">
        <v>3182</v>
      </c>
      <c r="AR47" s="3282">
        <v>87.71</v>
      </c>
      <c r="AS47" s="3282" t="s">
        <v>3183</v>
      </c>
      <c r="AT47" s="3285">
        <v>43574</v>
      </c>
    </row>
    <row r="48" spans="1:46">
      <c r="A48" s="3282">
        <v>104</v>
      </c>
      <c r="B48" s="3282" t="s">
        <v>3107</v>
      </c>
      <c r="C48" s="3282" t="s">
        <v>3184</v>
      </c>
      <c r="D48" s="3282" t="s">
        <v>3164</v>
      </c>
      <c r="E48" s="3282" t="s">
        <v>3165</v>
      </c>
      <c r="F48" s="3282" t="s">
        <v>3185</v>
      </c>
      <c r="G48" s="3282" t="s">
        <v>3186</v>
      </c>
      <c r="H48" s="3282" t="s">
        <v>3131</v>
      </c>
      <c r="I48" s="3282" t="s">
        <v>3167</v>
      </c>
      <c r="J48" s="3282"/>
      <c r="K48" s="3282"/>
      <c r="L48" s="3284">
        <v>43363</v>
      </c>
      <c r="M48" s="3282">
        <v>413.95</v>
      </c>
      <c r="N48" s="3282">
        <v>394.68</v>
      </c>
      <c r="O48" s="3283">
        <v>30140000</v>
      </c>
      <c r="P48" s="3283">
        <v>69220.94</v>
      </c>
      <c r="Q48" s="3283">
        <v>72600.61</v>
      </c>
      <c r="R48" s="3283">
        <v>28654008</v>
      </c>
      <c r="S48" s="3283">
        <v>28654008</v>
      </c>
      <c r="T48" s="3282" t="s">
        <v>3187</v>
      </c>
      <c r="U48" s="3283">
        <v>5730000</v>
      </c>
      <c r="V48" s="3282" t="s">
        <v>3188</v>
      </c>
      <c r="W48" s="3282">
        <v>0</v>
      </c>
      <c r="X48" s="3282"/>
      <c r="Y48" s="3283">
        <v>500000</v>
      </c>
      <c r="Z48" s="3283">
        <v>18866714.890000001</v>
      </c>
      <c r="AA48" s="3282">
        <v>0</v>
      </c>
      <c r="AB48" s="3282">
        <v>0</v>
      </c>
      <c r="AC48" s="3283">
        <v>3557293.11</v>
      </c>
      <c r="AD48" s="3283">
        <v>5730000</v>
      </c>
      <c r="AE48" s="3282">
        <v>0</v>
      </c>
      <c r="AF48" s="3282">
        <v>0</v>
      </c>
      <c r="AG48" s="3282">
        <v>0</v>
      </c>
      <c r="AH48" s="3282">
        <v>0</v>
      </c>
      <c r="AI48" s="3282">
        <v>0</v>
      </c>
      <c r="AJ48" s="3282">
        <v>413.95</v>
      </c>
      <c r="AK48" s="3282">
        <v>0</v>
      </c>
      <c r="AL48" s="3282">
        <v>0</v>
      </c>
      <c r="AM48" s="3282"/>
      <c r="AN48" s="3285">
        <v>43830</v>
      </c>
      <c r="AO48" s="3285">
        <v>43363</v>
      </c>
      <c r="AP48" s="3282"/>
      <c r="AQ48" s="3282" t="s">
        <v>3189</v>
      </c>
      <c r="AR48" s="3282">
        <v>95.07</v>
      </c>
      <c r="AS48" s="3282" t="s">
        <v>3190</v>
      </c>
      <c r="AT48" s="3285">
        <v>43346</v>
      </c>
    </row>
    <row r="49" spans="1:46">
      <c r="A49" s="3282">
        <v>105</v>
      </c>
      <c r="B49" s="3282" t="s">
        <v>3107</v>
      </c>
      <c r="C49" s="3282" t="s">
        <v>3191</v>
      </c>
      <c r="D49" s="3282" t="s">
        <v>3164</v>
      </c>
      <c r="E49" s="3282" t="s">
        <v>3165</v>
      </c>
      <c r="F49" s="3282" t="s">
        <v>3185</v>
      </c>
      <c r="G49" s="3282" t="s">
        <v>3192</v>
      </c>
      <c r="H49" s="3282" t="s">
        <v>3131</v>
      </c>
      <c r="I49" s="3282" t="s">
        <v>3167</v>
      </c>
      <c r="J49" s="3282"/>
      <c r="K49" s="3282" t="s">
        <v>3193</v>
      </c>
      <c r="L49" s="3284">
        <v>43363</v>
      </c>
      <c r="M49" s="3282">
        <v>413.95</v>
      </c>
      <c r="N49" s="3282">
        <v>394.68</v>
      </c>
      <c r="O49" s="3283">
        <v>29600000</v>
      </c>
      <c r="P49" s="3283">
        <v>67980.75</v>
      </c>
      <c r="Q49" s="3283">
        <v>71299.87</v>
      </c>
      <c r="R49" s="3283">
        <v>28140631</v>
      </c>
      <c r="S49" s="3283">
        <v>28140631</v>
      </c>
      <c r="T49" s="3282" t="s">
        <v>3194</v>
      </c>
      <c r="U49" s="3283">
        <v>16880000</v>
      </c>
      <c r="V49" s="3282" t="s">
        <v>3195</v>
      </c>
      <c r="W49" s="3282">
        <v>0</v>
      </c>
      <c r="X49" s="3282"/>
      <c r="Y49" s="3283">
        <v>500000</v>
      </c>
      <c r="Z49" s="3283">
        <v>10760631</v>
      </c>
      <c r="AA49" s="3282">
        <v>0</v>
      </c>
      <c r="AB49" s="3282">
        <v>0</v>
      </c>
      <c r="AC49" s="3282">
        <v>0</v>
      </c>
      <c r="AD49" s="3283">
        <v>16880000</v>
      </c>
      <c r="AE49" s="3282">
        <v>0</v>
      </c>
      <c r="AF49" s="3282">
        <v>0</v>
      </c>
      <c r="AG49" s="3282">
        <v>0</v>
      </c>
      <c r="AH49" s="3282">
        <v>0</v>
      </c>
      <c r="AI49" s="3282">
        <v>0</v>
      </c>
      <c r="AJ49" s="3282">
        <v>413.95</v>
      </c>
      <c r="AK49" s="3282">
        <v>0</v>
      </c>
      <c r="AL49" s="3282">
        <v>0</v>
      </c>
      <c r="AM49" s="3282"/>
      <c r="AN49" s="3285">
        <v>43830</v>
      </c>
      <c r="AO49" s="3285">
        <v>43363</v>
      </c>
      <c r="AP49" s="3282"/>
      <c r="AQ49" s="3282" t="s">
        <v>3196</v>
      </c>
      <c r="AR49" s="3282">
        <v>95.07</v>
      </c>
      <c r="AS49" s="3282" t="s">
        <v>3197</v>
      </c>
      <c r="AT49" s="3285">
        <v>43347</v>
      </c>
    </row>
    <row r="50" spans="1:46">
      <c r="A50" s="3282">
        <v>109</v>
      </c>
      <c r="B50" s="3282" t="s">
        <v>3107</v>
      </c>
      <c r="C50" s="3282" t="s">
        <v>3198</v>
      </c>
      <c r="D50" s="3282" t="s">
        <v>3164</v>
      </c>
      <c r="E50" s="3282" t="s">
        <v>3165</v>
      </c>
      <c r="F50" s="3282" t="s">
        <v>3166</v>
      </c>
      <c r="G50" s="3282" t="s">
        <v>3199</v>
      </c>
      <c r="H50" s="3282" t="s">
        <v>3116</v>
      </c>
      <c r="I50" s="3282" t="s">
        <v>3167</v>
      </c>
      <c r="J50" s="3282"/>
      <c r="K50" s="3282"/>
      <c r="L50" s="3284">
        <v>43363</v>
      </c>
      <c r="M50" s="3282">
        <v>371.87</v>
      </c>
      <c r="N50" s="3282">
        <v>354.64</v>
      </c>
      <c r="O50" s="3283">
        <v>28510000</v>
      </c>
      <c r="P50" s="3283">
        <v>74366.58</v>
      </c>
      <c r="Q50" s="3283">
        <v>77979.64</v>
      </c>
      <c r="R50" s="3283">
        <v>27654700</v>
      </c>
      <c r="S50" s="3283">
        <v>27654700</v>
      </c>
      <c r="T50" s="3282" t="s">
        <v>3187</v>
      </c>
      <c r="U50" s="3283">
        <v>5530000</v>
      </c>
      <c r="V50" s="3282" t="s">
        <v>3195</v>
      </c>
      <c r="W50" s="3282">
        <v>0</v>
      </c>
      <c r="X50" s="3282"/>
      <c r="Y50" s="3283">
        <v>500000</v>
      </c>
      <c r="Z50" s="3283">
        <v>21624700</v>
      </c>
      <c r="AA50" s="3282">
        <v>0</v>
      </c>
      <c r="AB50" s="3282">
        <v>0</v>
      </c>
      <c r="AC50" s="3282">
        <v>0</v>
      </c>
      <c r="AD50" s="3283">
        <v>5530000</v>
      </c>
      <c r="AE50" s="3282">
        <v>0</v>
      </c>
      <c r="AF50" s="3282">
        <v>0</v>
      </c>
      <c r="AG50" s="3282">
        <v>0</v>
      </c>
      <c r="AH50" s="3282">
        <v>0</v>
      </c>
      <c r="AI50" s="3282">
        <v>0</v>
      </c>
      <c r="AJ50" s="3282">
        <v>371.87</v>
      </c>
      <c r="AK50" s="3282">
        <v>0</v>
      </c>
      <c r="AL50" s="3282">
        <v>0</v>
      </c>
      <c r="AM50" s="3282"/>
      <c r="AN50" s="3285">
        <v>43830</v>
      </c>
      <c r="AO50" s="3285">
        <v>43363</v>
      </c>
      <c r="AP50" s="3282"/>
      <c r="AQ50" s="3282" t="s">
        <v>3200</v>
      </c>
      <c r="AR50" s="3282">
        <v>97</v>
      </c>
      <c r="AS50" s="3282" t="s">
        <v>3197</v>
      </c>
      <c r="AT50" s="3285">
        <v>43350</v>
      </c>
    </row>
    <row r="51" spans="1:46">
      <c r="A51" s="3282">
        <v>110</v>
      </c>
      <c r="B51" s="3282" t="s">
        <v>3107</v>
      </c>
      <c r="C51" s="3282" t="s">
        <v>3201</v>
      </c>
      <c r="D51" s="3282" t="s">
        <v>3164</v>
      </c>
      <c r="E51" s="3282" t="s">
        <v>3165</v>
      </c>
      <c r="F51" s="3282" t="s">
        <v>3185</v>
      </c>
      <c r="G51" s="3282" t="s">
        <v>3202</v>
      </c>
      <c r="H51" s="3282" t="s">
        <v>3131</v>
      </c>
      <c r="I51" s="3282" t="s">
        <v>3167</v>
      </c>
      <c r="J51" s="3282"/>
      <c r="K51" s="3282"/>
      <c r="L51" s="3284">
        <v>43365</v>
      </c>
      <c r="M51" s="3282">
        <v>369.55</v>
      </c>
      <c r="N51" s="3282">
        <v>352.35</v>
      </c>
      <c r="O51" s="3283">
        <v>27430000</v>
      </c>
      <c r="P51" s="3283">
        <v>69860.22</v>
      </c>
      <c r="Q51" s="3283">
        <v>73270.45</v>
      </c>
      <c r="R51" s="3283">
        <v>25816843</v>
      </c>
      <c r="S51" s="3283">
        <v>25816843</v>
      </c>
      <c r="T51" s="3282" t="s">
        <v>3187</v>
      </c>
      <c r="U51" s="3283">
        <v>5160000</v>
      </c>
      <c r="V51" s="3282" t="s">
        <v>3203</v>
      </c>
      <c r="W51" s="3282">
        <v>0</v>
      </c>
      <c r="X51" s="3282"/>
      <c r="Y51" s="3283">
        <v>500000</v>
      </c>
      <c r="Z51" s="3283">
        <v>20156843</v>
      </c>
      <c r="AA51" s="3282">
        <v>0</v>
      </c>
      <c r="AB51" s="3282">
        <v>0</v>
      </c>
      <c r="AC51" s="3282">
        <v>0</v>
      </c>
      <c r="AD51" s="3283">
        <v>5160000</v>
      </c>
      <c r="AE51" s="3282">
        <v>0</v>
      </c>
      <c r="AF51" s="3282">
        <v>0</v>
      </c>
      <c r="AG51" s="3282">
        <v>0</v>
      </c>
      <c r="AH51" s="3282">
        <v>0</v>
      </c>
      <c r="AI51" s="3282">
        <v>0</v>
      </c>
      <c r="AJ51" s="3282">
        <v>369.55</v>
      </c>
      <c r="AK51" s="3282">
        <v>0</v>
      </c>
      <c r="AL51" s="3282">
        <v>0</v>
      </c>
      <c r="AM51" s="3282"/>
      <c r="AN51" s="3285">
        <v>43830</v>
      </c>
      <c r="AO51" s="3285">
        <v>43365</v>
      </c>
      <c r="AP51" s="3282"/>
      <c r="AQ51" s="3282" t="s">
        <v>3204</v>
      </c>
      <c r="AR51" s="3282">
        <v>94.12</v>
      </c>
      <c r="AS51" s="3282" t="s">
        <v>3132</v>
      </c>
      <c r="AT51" s="3285">
        <v>43352</v>
      </c>
    </row>
    <row r="52" spans="1:46">
      <c r="A52" s="3282">
        <v>113</v>
      </c>
      <c r="B52" s="3282" t="s">
        <v>3107</v>
      </c>
      <c r="C52" s="3282" t="s">
        <v>3205</v>
      </c>
      <c r="D52" s="3282" t="s">
        <v>3169</v>
      </c>
      <c r="E52" s="3282" t="s">
        <v>3165</v>
      </c>
      <c r="F52" s="3282" t="s">
        <v>3170</v>
      </c>
      <c r="G52" s="3282" t="s">
        <v>3206</v>
      </c>
      <c r="H52" s="3282" t="s">
        <v>3116</v>
      </c>
      <c r="I52" s="3282" t="s">
        <v>3171</v>
      </c>
      <c r="J52" s="3282"/>
      <c r="K52" s="3282"/>
      <c r="L52" s="3284">
        <v>43373</v>
      </c>
      <c r="M52" s="3282">
        <v>642.28</v>
      </c>
      <c r="N52" s="3282">
        <v>534.27</v>
      </c>
      <c r="O52" s="3283">
        <v>20822532</v>
      </c>
      <c r="P52" s="3283">
        <v>32419.71</v>
      </c>
      <c r="Q52" s="3283">
        <v>38973.800000000003</v>
      </c>
      <c r="R52" s="3283">
        <v>20822532</v>
      </c>
      <c r="S52" s="3283">
        <v>20822532</v>
      </c>
      <c r="T52" s="3282" t="s">
        <v>3207</v>
      </c>
      <c r="U52" s="3282">
        <v>0</v>
      </c>
      <c r="V52" s="3282"/>
      <c r="W52" s="3282">
        <v>0</v>
      </c>
      <c r="X52" s="3282"/>
      <c r="Y52" s="3283">
        <v>1000000</v>
      </c>
      <c r="Z52" s="3283">
        <v>3164506</v>
      </c>
      <c r="AA52" s="3282">
        <v>0</v>
      </c>
      <c r="AB52" s="3282">
        <v>0</v>
      </c>
      <c r="AC52" s="3283">
        <v>16658026</v>
      </c>
      <c r="AD52" s="3282">
        <v>0</v>
      </c>
      <c r="AE52" s="3282">
        <v>0</v>
      </c>
      <c r="AF52" s="3282">
        <v>0</v>
      </c>
      <c r="AG52" s="3282">
        <v>0</v>
      </c>
      <c r="AH52" s="3282">
        <v>0</v>
      </c>
      <c r="AI52" s="3282">
        <v>0</v>
      </c>
      <c r="AJ52" s="3282">
        <v>642.28</v>
      </c>
      <c r="AK52" s="3282">
        <v>0</v>
      </c>
      <c r="AL52" s="3282">
        <v>0</v>
      </c>
      <c r="AM52" s="3282"/>
      <c r="AN52" s="3285">
        <v>43646</v>
      </c>
      <c r="AO52" s="3285">
        <v>43373</v>
      </c>
      <c r="AP52" s="3282"/>
      <c r="AQ52" s="3282" t="s">
        <v>3119</v>
      </c>
      <c r="AR52" s="3282">
        <v>100</v>
      </c>
      <c r="AS52" s="3282" t="s">
        <v>3208</v>
      </c>
      <c r="AT52" s="3285">
        <v>43373</v>
      </c>
    </row>
    <row r="53" spans="1:46">
      <c r="A53" s="3282">
        <v>114</v>
      </c>
      <c r="B53" s="3282" t="s">
        <v>3107</v>
      </c>
      <c r="C53" s="3282" t="s">
        <v>3209</v>
      </c>
      <c r="D53" s="3282" t="s">
        <v>3164</v>
      </c>
      <c r="E53" s="3282" t="s">
        <v>3165</v>
      </c>
      <c r="F53" s="3282" t="s">
        <v>3166</v>
      </c>
      <c r="G53" s="3282" t="s">
        <v>3210</v>
      </c>
      <c r="H53" s="3282" t="s">
        <v>3131</v>
      </c>
      <c r="I53" s="3282" t="s">
        <v>3167</v>
      </c>
      <c r="J53" s="3282"/>
      <c r="K53" s="3282"/>
      <c r="L53" s="3284">
        <v>43404</v>
      </c>
      <c r="M53" s="3282">
        <v>413.86</v>
      </c>
      <c r="N53" s="3282">
        <v>394.68</v>
      </c>
      <c r="O53" s="3283">
        <v>28190000</v>
      </c>
      <c r="P53" s="3283">
        <v>64108.99</v>
      </c>
      <c r="Q53" s="3283">
        <v>67224.45</v>
      </c>
      <c r="R53" s="3283">
        <v>26532147</v>
      </c>
      <c r="S53" s="3283">
        <v>26532147</v>
      </c>
      <c r="T53" s="3282" t="s">
        <v>3211</v>
      </c>
      <c r="U53" s="3283">
        <v>15910000</v>
      </c>
      <c r="V53" s="3282" t="s">
        <v>3188</v>
      </c>
      <c r="W53" s="3282">
        <v>0</v>
      </c>
      <c r="X53" s="3282"/>
      <c r="Y53" s="3283">
        <v>500000</v>
      </c>
      <c r="Z53" s="3283">
        <v>10122147</v>
      </c>
      <c r="AA53" s="3282">
        <v>0</v>
      </c>
      <c r="AB53" s="3282">
        <v>0</v>
      </c>
      <c r="AC53" s="3282">
        <v>0</v>
      </c>
      <c r="AD53" s="3283">
        <v>15910000</v>
      </c>
      <c r="AE53" s="3282">
        <v>0</v>
      </c>
      <c r="AF53" s="3282">
        <v>0</v>
      </c>
      <c r="AG53" s="3282">
        <v>0</v>
      </c>
      <c r="AH53" s="3282">
        <v>0</v>
      </c>
      <c r="AI53" s="3282">
        <v>0</v>
      </c>
      <c r="AJ53" s="3282">
        <v>413.86</v>
      </c>
      <c r="AK53" s="3282">
        <v>0</v>
      </c>
      <c r="AL53" s="3282">
        <v>0</v>
      </c>
      <c r="AM53" s="3282"/>
      <c r="AN53" s="3285">
        <v>43830</v>
      </c>
      <c r="AO53" s="3285">
        <v>43404</v>
      </c>
      <c r="AP53" s="3282"/>
      <c r="AQ53" s="3282" t="s">
        <v>3204</v>
      </c>
      <c r="AR53" s="3282">
        <v>94.12</v>
      </c>
      <c r="AS53" s="3282" t="s">
        <v>3132</v>
      </c>
      <c r="AT53" s="3285">
        <v>43381</v>
      </c>
    </row>
    <row r="54" spans="1:46">
      <c r="A54" s="3282">
        <v>115</v>
      </c>
      <c r="B54" s="3282" t="s">
        <v>3107</v>
      </c>
      <c r="C54" s="3282" t="s">
        <v>3212</v>
      </c>
      <c r="D54" s="3282" t="s">
        <v>3164</v>
      </c>
      <c r="E54" s="3282" t="s">
        <v>3165</v>
      </c>
      <c r="F54" s="3282" t="s">
        <v>3185</v>
      </c>
      <c r="G54" s="3282" t="s">
        <v>3213</v>
      </c>
      <c r="H54" s="3282" t="s">
        <v>3131</v>
      </c>
      <c r="I54" s="3282" t="s">
        <v>3167</v>
      </c>
      <c r="J54" s="3282"/>
      <c r="K54" s="3282"/>
      <c r="L54" s="3284">
        <v>43402</v>
      </c>
      <c r="M54" s="3282">
        <v>416.77</v>
      </c>
      <c r="N54" s="3282">
        <v>397.37</v>
      </c>
      <c r="O54" s="3283">
        <v>36100000</v>
      </c>
      <c r="P54" s="3283">
        <v>81524.490000000005</v>
      </c>
      <c r="Q54" s="3283">
        <v>85504.59</v>
      </c>
      <c r="R54" s="3283">
        <v>33976960</v>
      </c>
      <c r="S54" s="3283">
        <v>33976960</v>
      </c>
      <c r="T54" s="3282" t="s">
        <v>3211</v>
      </c>
      <c r="U54" s="3283">
        <v>20380000</v>
      </c>
      <c r="V54" s="3282" t="s">
        <v>3188</v>
      </c>
      <c r="W54" s="3282">
        <v>0</v>
      </c>
      <c r="X54" s="3282"/>
      <c r="Y54" s="3283">
        <v>1000000</v>
      </c>
      <c r="Z54" s="3283">
        <v>12596960</v>
      </c>
      <c r="AA54" s="3282">
        <v>0</v>
      </c>
      <c r="AB54" s="3282">
        <v>0</v>
      </c>
      <c r="AC54" s="3282">
        <v>0</v>
      </c>
      <c r="AD54" s="3283">
        <v>20380000</v>
      </c>
      <c r="AE54" s="3282">
        <v>0</v>
      </c>
      <c r="AF54" s="3282">
        <v>0</v>
      </c>
      <c r="AG54" s="3282">
        <v>0</v>
      </c>
      <c r="AH54" s="3282">
        <v>0</v>
      </c>
      <c r="AI54" s="3282">
        <v>0</v>
      </c>
      <c r="AJ54" s="3282">
        <v>416.77</v>
      </c>
      <c r="AK54" s="3282">
        <v>0</v>
      </c>
      <c r="AL54" s="3282">
        <v>0</v>
      </c>
      <c r="AM54" s="3282"/>
      <c r="AN54" s="3285">
        <v>43830</v>
      </c>
      <c r="AO54" s="3285">
        <v>43402</v>
      </c>
      <c r="AP54" s="3282"/>
      <c r="AQ54" s="3282" t="s">
        <v>3214</v>
      </c>
      <c r="AR54" s="3282">
        <v>94.12</v>
      </c>
      <c r="AS54" s="3282" t="s">
        <v>3215</v>
      </c>
      <c r="AT54" s="3285">
        <v>43402</v>
      </c>
    </row>
    <row r="55" spans="1:46">
      <c r="A55" s="3282">
        <v>116</v>
      </c>
      <c r="B55" s="3282" t="s">
        <v>3107</v>
      </c>
      <c r="C55" s="3282" t="s">
        <v>3216</v>
      </c>
      <c r="D55" s="3282" t="s">
        <v>3164</v>
      </c>
      <c r="E55" s="3282" t="s">
        <v>3165</v>
      </c>
      <c r="F55" s="3282" t="s">
        <v>3166</v>
      </c>
      <c r="G55" s="3282" t="s">
        <v>3217</v>
      </c>
      <c r="H55" s="3282" t="s">
        <v>3116</v>
      </c>
      <c r="I55" s="3282" t="s">
        <v>3167</v>
      </c>
      <c r="J55" s="3282"/>
      <c r="K55" s="3282" t="s">
        <v>3218</v>
      </c>
      <c r="L55" s="3284">
        <v>43404</v>
      </c>
      <c r="M55" s="3282">
        <v>382.32</v>
      </c>
      <c r="N55" s="3282">
        <v>364.6</v>
      </c>
      <c r="O55" s="3283">
        <v>33610000</v>
      </c>
      <c r="P55" s="3283">
        <v>81085.820000000007</v>
      </c>
      <c r="Q55" s="3283">
        <v>85026.68</v>
      </c>
      <c r="R55" s="3283">
        <v>31000729</v>
      </c>
      <c r="S55" s="3283">
        <v>31000729</v>
      </c>
      <c r="T55" s="3282" t="s">
        <v>3219</v>
      </c>
      <c r="U55" s="3282">
        <v>0</v>
      </c>
      <c r="V55" s="3282"/>
      <c r="W55" s="3282">
        <v>0</v>
      </c>
      <c r="X55" s="3282"/>
      <c r="Y55" s="3283">
        <v>500000</v>
      </c>
      <c r="Z55" s="3283">
        <v>11900292</v>
      </c>
      <c r="AA55" s="3282">
        <v>0</v>
      </c>
      <c r="AB55" s="3282">
        <v>0</v>
      </c>
      <c r="AC55" s="3283">
        <v>18600437</v>
      </c>
      <c r="AD55" s="3282">
        <v>0</v>
      </c>
      <c r="AE55" s="3282">
        <v>0</v>
      </c>
      <c r="AF55" s="3282">
        <v>0</v>
      </c>
      <c r="AG55" s="3282">
        <v>0</v>
      </c>
      <c r="AH55" s="3282">
        <v>0</v>
      </c>
      <c r="AI55" s="3282">
        <v>0</v>
      </c>
      <c r="AJ55" s="3282">
        <v>382.32</v>
      </c>
      <c r="AK55" s="3282">
        <v>0</v>
      </c>
      <c r="AL55" s="3282">
        <v>0</v>
      </c>
      <c r="AM55" s="3282"/>
      <c r="AN55" s="3285">
        <v>43830</v>
      </c>
      <c r="AO55" s="3285">
        <v>43404</v>
      </c>
      <c r="AP55" s="3282"/>
      <c r="AQ55" s="3282" t="s">
        <v>3220</v>
      </c>
      <c r="AR55" s="3282">
        <v>92.24</v>
      </c>
      <c r="AS55" s="3282" t="s">
        <v>3208</v>
      </c>
      <c r="AT55" s="3285">
        <v>43404</v>
      </c>
    </row>
    <row r="56" spans="1:46">
      <c r="A56" s="3282">
        <v>119</v>
      </c>
      <c r="B56" s="3282" t="s">
        <v>3107</v>
      </c>
      <c r="C56" s="3282" t="s">
        <v>3221</v>
      </c>
      <c r="D56" s="3282" t="s">
        <v>3164</v>
      </c>
      <c r="E56" s="3282" t="s">
        <v>3165</v>
      </c>
      <c r="F56" s="3282" t="s">
        <v>3166</v>
      </c>
      <c r="G56" s="3282" t="s">
        <v>3146</v>
      </c>
      <c r="H56" s="3282" t="s">
        <v>3131</v>
      </c>
      <c r="I56" s="3282" t="s">
        <v>3167</v>
      </c>
      <c r="J56" s="3282"/>
      <c r="K56" s="3282"/>
      <c r="L56" s="3284">
        <v>43431</v>
      </c>
      <c r="M56" s="3282">
        <v>416.8</v>
      </c>
      <c r="N56" s="3282">
        <v>397.49</v>
      </c>
      <c r="O56" s="3283">
        <v>34150000</v>
      </c>
      <c r="P56" s="3283">
        <v>75572.95</v>
      </c>
      <c r="Q56" s="3283">
        <v>79244.28</v>
      </c>
      <c r="R56" s="3283">
        <v>31498807</v>
      </c>
      <c r="S56" s="3283">
        <v>31498807</v>
      </c>
      <c r="T56" s="3282" t="s">
        <v>3222</v>
      </c>
      <c r="U56" s="3283">
        <v>6290000</v>
      </c>
      <c r="V56" s="3282" t="s">
        <v>3188</v>
      </c>
      <c r="W56" s="3282">
        <v>0</v>
      </c>
      <c r="X56" s="3282"/>
      <c r="Y56" s="3283">
        <v>200000</v>
      </c>
      <c r="Z56" s="3283">
        <v>14399523</v>
      </c>
      <c r="AA56" s="3282">
        <v>0</v>
      </c>
      <c r="AB56" s="3282">
        <v>0</v>
      </c>
      <c r="AC56" s="3283">
        <v>10609284</v>
      </c>
      <c r="AD56" s="3283">
        <v>6290000</v>
      </c>
      <c r="AE56" s="3282">
        <v>0</v>
      </c>
      <c r="AF56" s="3282">
        <v>0</v>
      </c>
      <c r="AG56" s="3282">
        <v>0</v>
      </c>
      <c r="AH56" s="3282">
        <v>0</v>
      </c>
      <c r="AI56" s="3282">
        <v>0</v>
      </c>
      <c r="AJ56" s="3282">
        <v>416.8</v>
      </c>
      <c r="AK56" s="3282">
        <v>0</v>
      </c>
      <c r="AL56" s="3282">
        <v>0</v>
      </c>
      <c r="AM56" s="3282"/>
      <c r="AN56" s="3285">
        <v>43830</v>
      </c>
      <c r="AO56" s="3285">
        <v>43431</v>
      </c>
      <c r="AP56" s="3282"/>
      <c r="AQ56" s="3282" t="s">
        <v>3220</v>
      </c>
      <c r="AR56" s="3282">
        <v>92.24</v>
      </c>
      <c r="AS56" s="3282" t="s">
        <v>3147</v>
      </c>
      <c r="AT56" s="3285">
        <v>43428</v>
      </c>
    </row>
    <row r="57" spans="1:46">
      <c r="A57" s="3282">
        <v>122</v>
      </c>
      <c r="B57" s="3282" t="s">
        <v>3107</v>
      </c>
      <c r="C57" s="3282" t="s">
        <v>3223</v>
      </c>
      <c r="D57" s="3282" t="s">
        <v>3164</v>
      </c>
      <c r="E57" s="3282" t="s">
        <v>3165</v>
      </c>
      <c r="F57" s="3282" t="s">
        <v>3224</v>
      </c>
      <c r="G57" s="3282" t="s">
        <v>3225</v>
      </c>
      <c r="H57" s="3282" t="s">
        <v>3131</v>
      </c>
      <c r="I57" s="3282" t="s">
        <v>3167</v>
      </c>
      <c r="J57" s="3282"/>
      <c r="K57" s="3282"/>
      <c r="L57" s="3284">
        <v>43433</v>
      </c>
      <c r="M57" s="3282">
        <v>369.79</v>
      </c>
      <c r="N57" s="3282">
        <v>352.35</v>
      </c>
      <c r="O57" s="3283">
        <v>27970000</v>
      </c>
      <c r="P57" s="3283">
        <v>70470.2</v>
      </c>
      <c r="Q57" s="3283">
        <v>73958.210000000006</v>
      </c>
      <c r="R57" s="3283">
        <v>26059175</v>
      </c>
      <c r="S57" s="3283">
        <v>26059175</v>
      </c>
      <c r="T57" s="3282" t="s">
        <v>3226</v>
      </c>
      <c r="U57" s="3283">
        <v>15630000</v>
      </c>
      <c r="V57" s="3282" t="s">
        <v>3195</v>
      </c>
      <c r="W57" s="3282">
        <v>0</v>
      </c>
      <c r="X57" s="3282"/>
      <c r="Y57" s="3283">
        <v>500000</v>
      </c>
      <c r="Z57" s="3283">
        <v>3105918</v>
      </c>
      <c r="AA57" s="3282">
        <v>0</v>
      </c>
      <c r="AB57" s="3282">
        <v>0</v>
      </c>
      <c r="AC57" s="3283">
        <v>6823257</v>
      </c>
      <c r="AD57" s="3283">
        <v>15630000</v>
      </c>
      <c r="AE57" s="3282">
        <v>0</v>
      </c>
      <c r="AF57" s="3282">
        <v>0</v>
      </c>
      <c r="AG57" s="3282">
        <v>0</v>
      </c>
      <c r="AH57" s="3282">
        <v>0</v>
      </c>
      <c r="AI57" s="3282">
        <v>0</v>
      </c>
      <c r="AJ57" s="3282">
        <v>369.79</v>
      </c>
      <c r="AK57" s="3282">
        <v>0</v>
      </c>
      <c r="AL57" s="3282">
        <v>0</v>
      </c>
      <c r="AM57" s="3282"/>
      <c r="AN57" s="3285">
        <v>43830</v>
      </c>
      <c r="AO57" s="3285">
        <v>43433</v>
      </c>
      <c r="AP57" s="3282"/>
      <c r="AQ57" s="3282" t="s">
        <v>3227</v>
      </c>
      <c r="AR57" s="3282">
        <v>93.17</v>
      </c>
      <c r="AS57" s="3282" t="s">
        <v>3197</v>
      </c>
      <c r="AT57" s="3285">
        <v>43432</v>
      </c>
    </row>
    <row r="58" spans="1:46">
      <c r="A58" s="3282">
        <v>126</v>
      </c>
      <c r="B58" s="3282" t="s">
        <v>3107</v>
      </c>
      <c r="C58" s="3282" t="s">
        <v>3228</v>
      </c>
      <c r="D58" s="3282" t="s">
        <v>3169</v>
      </c>
      <c r="E58" s="3282" t="s">
        <v>3165</v>
      </c>
      <c r="F58" s="3282" t="s">
        <v>3170</v>
      </c>
      <c r="G58" s="3282" t="s">
        <v>3229</v>
      </c>
      <c r="H58" s="3282" t="s">
        <v>3116</v>
      </c>
      <c r="I58" s="3282" t="s">
        <v>3171</v>
      </c>
      <c r="J58" s="3282"/>
      <c r="K58" s="3282"/>
      <c r="L58" s="3284">
        <v>43465</v>
      </c>
      <c r="M58" s="3282">
        <v>719.25</v>
      </c>
      <c r="N58" s="3282">
        <v>598.29999999999995</v>
      </c>
      <c r="O58" s="3283">
        <v>24902830</v>
      </c>
      <c r="P58" s="3283">
        <v>32919.72</v>
      </c>
      <c r="Q58" s="3283">
        <v>39574.65</v>
      </c>
      <c r="R58" s="3283">
        <v>23677511</v>
      </c>
      <c r="S58" s="3283">
        <v>23677511</v>
      </c>
      <c r="T58" s="3282" t="s">
        <v>3230</v>
      </c>
      <c r="U58" s="3282">
        <v>0</v>
      </c>
      <c r="V58" s="3282"/>
      <c r="W58" s="3282">
        <v>0</v>
      </c>
      <c r="X58" s="3282"/>
      <c r="Y58" s="3283">
        <v>500000</v>
      </c>
      <c r="Z58" s="3283">
        <v>4235503</v>
      </c>
      <c r="AA58" s="3282">
        <v>0</v>
      </c>
      <c r="AB58" s="3282">
        <v>0</v>
      </c>
      <c r="AC58" s="3283">
        <v>18942008</v>
      </c>
      <c r="AD58" s="3282">
        <v>0</v>
      </c>
      <c r="AE58" s="3282">
        <v>0</v>
      </c>
      <c r="AF58" s="3282">
        <v>0</v>
      </c>
      <c r="AG58" s="3282">
        <v>0</v>
      </c>
      <c r="AH58" s="3282">
        <v>0</v>
      </c>
      <c r="AI58" s="3282">
        <v>0</v>
      </c>
      <c r="AJ58" s="3282">
        <v>719.25</v>
      </c>
      <c r="AK58" s="3282">
        <v>0</v>
      </c>
      <c r="AL58" s="3282">
        <v>0</v>
      </c>
      <c r="AM58" s="3282"/>
      <c r="AN58" s="3285">
        <v>43646</v>
      </c>
      <c r="AO58" s="3285">
        <v>43465</v>
      </c>
      <c r="AP58" s="3282"/>
      <c r="AQ58" s="3282" t="s">
        <v>3231</v>
      </c>
      <c r="AR58" s="3282">
        <v>95.08</v>
      </c>
      <c r="AS58" s="3282" t="s">
        <v>3215</v>
      </c>
      <c r="AT58" s="3285">
        <v>43465</v>
      </c>
    </row>
    <row r="59" spans="1:46">
      <c r="A59" s="3282">
        <v>127</v>
      </c>
      <c r="B59" s="3282" t="s">
        <v>3107</v>
      </c>
      <c r="C59" s="3282" t="s">
        <v>3232</v>
      </c>
      <c r="D59" s="3282" t="s">
        <v>3169</v>
      </c>
      <c r="E59" s="3282" t="s">
        <v>3173</v>
      </c>
      <c r="F59" s="3282" t="s">
        <v>3233</v>
      </c>
      <c r="G59" s="3282"/>
      <c r="H59" s="3282"/>
      <c r="I59" s="3282" t="s">
        <v>3171</v>
      </c>
      <c r="J59" s="3282"/>
      <c r="K59" s="3282"/>
      <c r="L59" s="3282"/>
      <c r="M59" s="3282">
        <v>0</v>
      </c>
      <c r="N59" s="3282">
        <v>0</v>
      </c>
      <c r="O59" s="3282">
        <v>0</v>
      </c>
      <c r="P59" s="3282"/>
      <c r="Q59" s="3282"/>
      <c r="R59" s="3282"/>
      <c r="S59" s="3282"/>
      <c r="T59" s="3282"/>
      <c r="U59" s="3282"/>
      <c r="V59" s="3282"/>
      <c r="W59" s="3282"/>
      <c r="X59" s="3282"/>
      <c r="Y59" s="3282">
        <v>0</v>
      </c>
      <c r="Z59" s="3282">
        <v>0</v>
      </c>
      <c r="AA59" s="3282">
        <v>0</v>
      </c>
      <c r="AB59" s="3282">
        <v>0</v>
      </c>
      <c r="AC59" s="3282">
        <v>0</v>
      </c>
      <c r="AD59" s="3282">
        <v>0</v>
      </c>
      <c r="AE59" s="3282">
        <v>0</v>
      </c>
      <c r="AF59" s="3282">
        <v>0</v>
      </c>
      <c r="AG59" s="3282">
        <v>0</v>
      </c>
      <c r="AH59" s="3282">
        <v>0</v>
      </c>
      <c r="AI59" s="3282">
        <v>0</v>
      </c>
      <c r="AJ59" s="3282">
        <v>0</v>
      </c>
      <c r="AK59" s="3282"/>
      <c r="AL59" s="3282"/>
      <c r="AM59" s="3282"/>
      <c r="AN59" s="3282"/>
      <c r="AO59" s="3282"/>
      <c r="AP59" s="3282"/>
      <c r="AQ59" s="3282"/>
      <c r="AR59" s="3282"/>
      <c r="AS59" s="3282"/>
      <c r="AT59" s="3282"/>
    </row>
    <row r="60" spans="1:46">
      <c r="A60" s="3282">
        <v>128</v>
      </c>
      <c r="B60" s="3282" t="s">
        <v>3107</v>
      </c>
      <c r="C60" s="3282" t="s">
        <v>3234</v>
      </c>
      <c r="D60" s="3282" t="s">
        <v>3164</v>
      </c>
      <c r="E60" s="3282" t="s">
        <v>3165</v>
      </c>
      <c r="F60" s="3282" t="s">
        <v>3235</v>
      </c>
      <c r="G60" s="3282"/>
      <c r="H60" s="3282"/>
      <c r="I60" s="3282" t="s">
        <v>3167</v>
      </c>
      <c r="J60" s="3282"/>
      <c r="K60" s="3282"/>
      <c r="L60" s="3282"/>
      <c r="M60" s="3282">
        <v>490.99</v>
      </c>
      <c r="N60" s="3282">
        <v>464.89</v>
      </c>
      <c r="O60" s="3283">
        <v>49900000</v>
      </c>
      <c r="P60" s="3282"/>
      <c r="Q60" s="3282"/>
      <c r="R60" s="3282"/>
      <c r="S60" s="3282"/>
      <c r="T60" s="3282"/>
      <c r="U60" s="3282"/>
      <c r="V60" s="3282"/>
      <c r="W60" s="3282"/>
      <c r="X60" s="3282"/>
      <c r="Y60" s="3282">
        <v>0</v>
      </c>
      <c r="Z60" s="3282">
        <v>0</v>
      </c>
      <c r="AA60" s="3282">
        <v>0</v>
      </c>
      <c r="AB60" s="3282">
        <v>0</v>
      </c>
      <c r="AC60" s="3282">
        <v>0</v>
      </c>
      <c r="AD60" s="3282">
        <v>0</v>
      </c>
      <c r="AE60" s="3282">
        <v>0</v>
      </c>
      <c r="AF60" s="3282">
        <v>0</v>
      </c>
      <c r="AG60" s="3282">
        <v>0</v>
      </c>
      <c r="AH60" s="3282">
        <v>0</v>
      </c>
      <c r="AI60" s="3282">
        <v>0</v>
      </c>
      <c r="AJ60" s="3282">
        <v>490.99</v>
      </c>
      <c r="AK60" s="3282"/>
      <c r="AL60" s="3282"/>
      <c r="AM60" s="3282"/>
      <c r="AN60" s="3282"/>
      <c r="AO60" s="3282"/>
      <c r="AP60" s="3282"/>
      <c r="AQ60" s="3282"/>
      <c r="AR60" s="3282"/>
      <c r="AS60" s="3282"/>
      <c r="AT60" s="3282"/>
    </row>
    <row r="61" spans="1:46">
      <c r="A61" s="3282">
        <v>229</v>
      </c>
      <c r="B61" s="3282" t="s">
        <v>3107</v>
      </c>
      <c r="C61" s="3282" t="s">
        <v>3236</v>
      </c>
      <c r="D61" s="3282" t="s">
        <v>3164</v>
      </c>
      <c r="E61" s="3282" t="s">
        <v>3165</v>
      </c>
      <c r="F61" s="3282" t="s">
        <v>3237</v>
      </c>
      <c r="G61" s="3282" t="s">
        <v>3115</v>
      </c>
      <c r="H61" s="3282" t="s">
        <v>3116</v>
      </c>
      <c r="I61" s="3282" t="s">
        <v>3167</v>
      </c>
      <c r="J61" s="3282"/>
      <c r="K61" s="3282"/>
      <c r="L61" s="3284">
        <v>43370</v>
      </c>
      <c r="M61" s="3282">
        <v>413.62</v>
      </c>
      <c r="N61" s="3282">
        <v>394.67</v>
      </c>
      <c r="O61" s="3283">
        <v>28730000</v>
      </c>
      <c r="P61" s="3283">
        <v>65374.96</v>
      </c>
      <c r="Q61" s="3283">
        <v>68513.919999999998</v>
      </c>
      <c r="R61" s="3283">
        <v>27040390</v>
      </c>
      <c r="S61" s="3283">
        <v>27040390</v>
      </c>
      <c r="T61" s="3282" t="s">
        <v>3194</v>
      </c>
      <c r="U61" s="3283">
        <v>16220000</v>
      </c>
      <c r="V61" s="3282" t="s">
        <v>3203</v>
      </c>
      <c r="W61" s="3282">
        <v>0</v>
      </c>
      <c r="X61" s="3282"/>
      <c r="Y61" s="3283">
        <v>1000000</v>
      </c>
      <c r="Z61" s="3283">
        <v>9820390</v>
      </c>
      <c r="AA61" s="3282">
        <v>0</v>
      </c>
      <c r="AB61" s="3282">
        <v>0</v>
      </c>
      <c r="AC61" s="3282">
        <v>0</v>
      </c>
      <c r="AD61" s="3283">
        <v>16220000</v>
      </c>
      <c r="AE61" s="3282">
        <v>0</v>
      </c>
      <c r="AF61" s="3282">
        <v>0</v>
      </c>
      <c r="AG61" s="3282">
        <v>0</v>
      </c>
      <c r="AH61" s="3282">
        <v>0</v>
      </c>
      <c r="AI61" s="3282">
        <v>0</v>
      </c>
      <c r="AJ61" s="3282">
        <v>413.62</v>
      </c>
      <c r="AK61" s="3282">
        <v>0</v>
      </c>
      <c r="AL61" s="3282">
        <v>0</v>
      </c>
      <c r="AM61" s="3282"/>
      <c r="AN61" s="3285">
        <v>43830</v>
      </c>
      <c r="AO61" s="3285">
        <v>43370</v>
      </c>
      <c r="AP61" s="3282"/>
      <c r="AQ61" s="3282" t="s">
        <v>3204</v>
      </c>
      <c r="AR61" s="3282">
        <v>94.12</v>
      </c>
      <c r="AS61" s="3282" t="s">
        <v>3120</v>
      </c>
      <c r="AT61" s="3285">
        <v>43360</v>
      </c>
    </row>
    <row r="62" spans="1:46">
      <c r="A62" s="3282">
        <v>232</v>
      </c>
      <c r="B62" s="3282" t="s">
        <v>3107</v>
      </c>
      <c r="C62" s="3282" t="s">
        <v>3238</v>
      </c>
      <c r="D62" s="3282" t="s">
        <v>3164</v>
      </c>
      <c r="E62" s="3282" t="s">
        <v>3165</v>
      </c>
      <c r="F62" s="3282" t="s">
        <v>3235</v>
      </c>
      <c r="G62" s="3282" t="s">
        <v>3130</v>
      </c>
      <c r="H62" s="3282" t="s">
        <v>3131</v>
      </c>
      <c r="I62" s="3282" t="s">
        <v>3167</v>
      </c>
      <c r="J62" s="3282"/>
      <c r="K62" s="3282"/>
      <c r="L62" s="3284">
        <v>43373</v>
      </c>
      <c r="M62" s="3282">
        <v>490.99</v>
      </c>
      <c r="N62" s="3282">
        <v>464.89</v>
      </c>
      <c r="O62" s="3283">
        <v>46940000</v>
      </c>
      <c r="P62" s="3283">
        <v>88180.76</v>
      </c>
      <c r="Q62" s="3283">
        <v>93131.43</v>
      </c>
      <c r="R62" s="3283">
        <v>43295871</v>
      </c>
      <c r="S62" s="3283">
        <v>43295871</v>
      </c>
      <c r="T62" s="3282" t="s">
        <v>3222</v>
      </c>
      <c r="U62" s="3283">
        <v>8650000</v>
      </c>
      <c r="V62" s="3282" t="s">
        <v>3239</v>
      </c>
      <c r="W62" s="3282">
        <v>0</v>
      </c>
      <c r="X62" s="3282"/>
      <c r="Y62" s="3283">
        <v>500000</v>
      </c>
      <c r="Z62" s="3283">
        <v>4100000</v>
      </c>
      <c r="AA62" s="3282">
        <v>0</v>
      </c>
      <c r="AB62" s="3282">
        <v>0</v>
      </c>
      <c r="AC62" s="3283">
        <v>30045871</v>
      </c>
      <c r="AD62" s="3283">
        <v>8650000</v>
      </c>
      <c r="AE62" s="3282">
        <v>0</v>
      </c>
      <c r="AF62" s="3282">
        <v>0</v>
      </c>
      <c r="AG62" s="3282">
        <v>0</v>
      </c>
      <c r="AH62" s="3282">
        <v>0</v>
      </c>
      <c r="AI62" s="3282">
        <v>0</v>
      </c>
      <c r="AJ62" s="3282">
        <v>490.99</v>
      </c>
      <c r="AK62" s="3282">
        <v>0</v>
      </c>
      <c r="AL62" s="3282">
        <v>0</v>
      </c>
      <c r="AM62" s="3282"/>
      <c r="AN62" s="3285">
        <v>43830</v>
      </c>
      <c r="AO62" s="3285">
        <v>43373</v>
      </c>
      <c r="AP62" s="3282"/>
      <c r="AQ62" s="3282" t="s">
        <v>3240</v>
      </c>
      <c r="AR62" s="3282">
        <v>92.24</v>
      </c>
      <c r="AS62" s="3282" t="s">
        <v>3132</v>
      </c>
      <c r="AT62" s="3285">
        <v>43373</v>
      </c>
    </row>
    <row r="63" spans="1:46">
      <c r="A63" s="3282">
        <v>240</v>
      </c>
      <c r="B63" s="3282" t="s">
        <v>3107</v>
      </c>
      <c r="C63" s="3282" t="s">
        <v>3241</v>
      </c>
      <c r="D63" s="3282" t="s">
        <v>3164</v>
      </c>
      <c r="E63" s="3282" t="s">
        <v>3165</v>
      </c>
      <c r="F63" s="3282" t="s">
        <v>3224</v>
      </c>
      <c r="G63" s="3282" t="s">
        <v>3242</v>
      </c>
      <c r="H63" s="3282" t="s">
        <v>3116</v>
      </c>
      <c r="I63" s="3282" t="s">
        <v>3167</v>
      </c>
      <c r="J63" s="3282"/>
      <c r="K63" s="3282"/>
      <c r="L63" s="3284">
        <v>43434</v>
      </c>
      <c r="M63" s="3282">
        <v>414.22</v>
      </c>
      <c r="N63" s="3282">
        <v>394.68</v>
      </c>
      <c r="O63" s="3283">
        <v>29600000</v>
      </c>
      <c r="P63" s="3283">
        <v>64593.69</v>
      </c>
      <c r="Q63" s="3283">
        <v>67791.63</v>
      </c>
      <c r="R63" s="3283">
        <v>26756000</v>
      </c>
      <c r="S63" s="3283">
        <v>26756000</v>
      </c>
      <c r="T63" s="3282" t="s">
        <v>3230</v>
      </c>
      <c r="U63" s="3282">
        <v>0</v>
      </c>
      <c r="V63" s="3282"/>
      <c r="W63" s="3282">
        <v>0</v>
      </c>
      <c r="X63" s="3282"/>
      <c r="Y63" s="3283">
        <v>500000</v>
      </c>
      <c r="Z63" s="3283">
        <v>7526800</v>
      </c>
      <c r="AA63" s="3282">
        <v>0</v>
      </c>
      <c r="AB63" s="3282">
        <v>0</v>
      </c>
      <c r="AC63" s="3283">
        <v>18729200</v>
      </c>
      <c r="AD63" s="3282">
        <v>0</v>
      </c>
      <c r="AE63" s="3282">
        <v>0</v>
      </c>
      <c r="AF63" s="3282">
        <v>0</v>
      </c>
      <c r="AG63" s="3282">
        <v>0</v>
      </c>
      <c r="AH63" s="3282">
        <v>0</v>
      </c>
      <c r="AI63" s="3282">
        <v>0</v>
      </c>
      <c r="AJ63" s="3282">
        <v>414.22</v>
      </c>
      <c r="AK63" s="3282">
        <v>0</v>
      </c>
      <c r="AL63" s="3282">
        <v>0</v>
      </c>
      <c r="AM63" s="3282"/>
      <c r="AN63" s="3285">
        <v>43830</v>
      </c>
      <c r="AO63" s="3285">
        <v>43434</v>
      </c>
      <c r="AP63" s="3282"/>
      <c r="AQ63" s="3282" t="s">
        <v>3243</v>
      </c>
      <c r="AR63" s="3282">
        <v>90.39</v>
      </c>
      <c r="AS63" s="3282" t="s">
        <v>3244</v>
      </c>
      <c r="AT63" s="3285">
        <v>43434</v>
      </c>
    </row>
    <row r="64" spans="1:46">
      <c r="A64" s="3282">
        <v>241</v>
      </c>
      <c r="B64" s="3282" t="s">
        <v>3107</v>
      </c>
      <c r="C64" s="3282" t="s">
        <v>3245</v>
      </c>
      <c r="D64" s="3282" t="s">
        <v>3164</v>
      </c>
      <c r="E64" s="3282" t="s">
        <v>3165</v>
      </c>
      <c r="F64" s="3282" t="s">
        <v>3237</v>
      </c>
      <c r="G64" s="3282" t="s">
        <v>3246</v>
      </c>
      <c r="H64" s="3282" t="s">
        <v>3131</v>
      </c>
      <c r="I64" s="3282" t="s">
        <v>3167</v>
      </c>
      <c r="J64" s="3282"/>
      <c r="K64" s="3282"/>
      <c r="L64" s="3284">
        <v>43434</v>
      </c>
      <c r="M64" s="3282">
        <v>413.63</v>
      </c>
      <c r="N64" s="3282">
        <v>394.68</v>
      </c>
      <c r="O64" s="3283">
        <v>29060000</v>
      </c>
      <c r="P64" s="3283">
        <v>63505.75</v>
      </c>
      <c r="Q64" s="3283">
        <v>66554.89</v>
      </c>
      <c r="R64" s="3283">
        <v>26267883</v>
      </c>
      <c r="S64" s="3283">
        <v>26267883</v>
      </c>
      <c r="T64" s="3282" t="s">
        <v>3222</v>
      </c>
      <c r="U64" s="3283">
        <v>5250000</v>
      </c>
      <c r="V64" s="3282" t="s">
        <v>3239</v>
      </c>
      <c r="W64" s="3282">
        <v>0</v>
      </c>
      <c r="X64" s="3282"/>
      <c r="Y64" s="3283">
        <v>100000</v>
      </c>
      <c r="Z64" s="3283">
        <v>10420000</v>
      </c>
      <c r="AA64" s="3282">
        <v>0</v>
      </c>
      <c r="AB64" s="3282">
        <v>0</v>
      </c>
      <c r="AC64" s="3283">
        <v>10497883</v>
      </c>
      <c r="AD64" s="3283">
        <v>5250000</v>
      </c>
      <c r="AE64" s="3282">
        <v>0</v>
      </c>
      <c r="AF64" s="3282">
        <v>0</v>
      </c>
      <c r="AG64" s="3282">
        <v>0</v>
      </c>
      <c r="AH64" s="3282">
        <v>0</v>
      </c>
      <c r="AI64" s="3282">
        <v>0</v>
      </c>
      <c r="AJ64" s="3282">
        <v>413.63</v>
      </c>
      <c r="AK64" s="3282">
        <v>0</v>
      </c>
      <c r="AL64" s="3282">
        <v>0</v>
      </c>
      <c r="AM64" s="3282"/>
      <c r="AN64" s="3285">
        <v>43830</v>
      </c>
      <c r="AO64" s="3285">
        <v>43434</v>
      </c>
      <c r="AP64" s="3282"/>
      <c r="AQ64" s="3282" t="s">
        <v>3247</v>
      </c>
      <c r="AR64" s="3282">
        <v>90.39</v>
      </c>
      <c r="AS64" s="3282" t="s">
        <v>3120</v>
      </c>
      <c r="AT64" s="3285">
        <v>43434</v>
      </c>
    </row>
    <row r="65" spans="1:46">
      <c r="A65" s="3282">
        <v>243</v>
      </c>
      <c r="B65" s="3282" t="s">
        <v>3107</v>
      </c>
      <c r="C65" s="3282" t="s">
        <v>3248</v>
      </c>
      <c r="D65" s="3282" t="s">
        <v>3164</v>
      </c>
      <c r="E65" s="3282" t="s">
        <v>3165</v>
      </c>
      <c r="F65" s="3282" t="s">
        <v>3237</v>
      </c>
      <c r="G65" s="3282" t="s">
        <v>3249</v>
      </c>
      <c r="H65" s="3282" t="s">
        <v>3131</v>
      </c>
      <c r="I65" s="3282" t="s">
        <v>3167</v>
      </c>
      <c r="J65" s="3282"/>
      <c r="K65" s="3282"/>
      <c r="L65" s="3284">
        <v>43453</v>
      </c>
      <c r="M65" s="3282">
        <v>369.25</v>
      </c>
      <c r="N65" s="3282">
        <v>352.33</v>
      </c>
      <c r="O65" s="3283">
        <v>28510000</v>
      </c>
      <c r="P65" s="3283">
        <v>71935.77</v>
      </c>
      <c r="Q65" s="3283">
        <v>75390.36</v>
      </c>
      <c r="R65" s="3283">
        <v>26562284</v>
      </c>
      <c r="S65" s="3283">
        <v>26562284</v>
      </c>
      <c r="T65" s="3282" t="s">
        <v>3222</v>
      </c>
      <c r="U65" s="3283">
        <v>5310000</v>
      </c>
      <c r="V65" s="3282" t="s">
        <v>3239</v>
      </c>
      <c r="W65" s="3282">
        <v>0</v>
      </c>
      <c r="X65" s="3282"/>
      <c r="Y65" s="3283">
        <v>100000</v>
      </c>
      <c r="Z65" s="3283">
        <v>2556228</v>
      </c>
      <c r="AA65" s="3282">
        <v>0</v>
      </c>
      <c r="AB65" s="3282">
        <v>0</v>
      </c>
      <c r="AC65" s="3283">
        <v>18596056</v>
      </c>
      <c r="AD65" s="3283">
        <v>5310000</v>
      </c>
      <c r="AE65" s="3282">
        <v>0</v>
      </c>
      <c r="AF65" s="3282">
        <v>0</v>
      </c>
      <c r="AG65" s="3282">
        <v>0</v>
      </c>
      <c r="AH65" s="3282">
        <v>0</v>
      </c>
      <c r="AI65" s="3282">
        <v>0</v>
      </c>
      <c r="AJ65" s="3282">
        <v>369.25</v>
      </c>
      <c r="AK65" s="3282">
        <v>0</v>
      </c>
      <c r="AL65" s="3282">
        <v>0</v>
      </c>
      <c r="AM65" s="3282"/>
      <c r="AN65" s="3285">
        <v>43830</v>
      </c>
      <c r="AO65" s="3285">
        <v>43453</v>
      </c>
      <c r="AP65" s="3282"/>
      <c r="AQ65" s="3282" t="s">
        <v>3250</v>
      </c>
      <c r="AR65" s="3282">
        <v>93.17</v>
      </c>
      <c r="AS65" s="3282" t="s">
        <v>3208</v>
      </c>
      <c r="AT65" s="3285">
        <v>43442</v>
      </c>
    </row>
    <row r="66" spans="1:46">
      <c r="A66" s="3282">
        <v>246</v>
      </c>
      <c r="B66" s="3282" t="s">
        <v>3107</v>
      </c>
      <c r="C66" s="3282" t="s">
        <v>3251</v>
      </c>
      <c r="D66" s="3282" t="s">
        <v>3164</v>
      </c>
      <c r="E66" s="3282" t="s">
        <v>3165</v>
      </c>
      <c r="F66" s="3282" t="s">
        <v>3237</v>
      </c>
      <c r="G66" s="3282" t="s">
        <v>3225</v>
      </c>
      <c r="H66" s="3282" t="s">
        <v>3131</v>
      </c>
      <c r="I66" s="3282" t="s">
        <v>3167</v>
      </c>
      <c r="J66" s="3282"/>
      <c r="K66" s="3282"/>
      <c r="L66" s="3284">
        <v>43461</v>
      </c>
      <c r="M66" s="3282">
        <v>416.58</v>
      </c>
      <c r="N66" s="3282">
        <v>397.49</v>
      </c>
      <c r="O66" s="3283">
        <v>33930000</v>
      </c>
      <c r="P66" s="3283">
        <v>75125.75</v>
      </c>
      <c r="Q66" s="3283">
        <v>78733.77</v>
      </c>
      <c r="R66" s="3283">
        <v>31295886</v>
      </c>
      <c r="S66" s="3283">
        <v>31295886</v>
      </c>
      <c r="T66" s="3282" t="s">
        <v>3226</v>
      </c>
      <c r="U66" s="3283">
        <v>18770000</v>
      </c>
      <c r="V66" s="3282" t="s">
        <v>3195</v>
      </c>
      <c r="W66" s="3282">
        <v>0</v>
      </c>
      <c r="X66" s="3282"/>
      <c r="Y66" s="3283">
        <v>500000</v>
      </c>
      <c r="Z66" s="3283">
        <v>2629589</v>
      </c>
      <c r="AA66" s="3282">
        <v>0</v>
      </c>
      <c r="AB66" s="3282">
        <v>0</v>
      </c>
      <c r="AC66" s="3283">
        <v>9396297</v>
      </c>
      <c r="AD66" s="3283">
        <v>18770000</v>
      </c>
      <c r="AE66" s="3282">
        <v>0</v>
      </c>
      <c r="AF66" s="3282">
        <v>0</v>
      </c>
      <c r="AG66" s="3282">
        <v>0</v>
      </c>
      <c r="AH66" s="3282">
        <v>0</v>
      </c>
      <c r="AI66" s="3282">
        <v>0</v>
      </c>
      <c r="AJ66" s="3282">
        <v>416.58</v>
      </c>
      <c r="AK66" s="3282">
        <v>0</v>
      </c>
      <c r="AL66" s="3282">
        <v>0</v>
      </c>
      <c r="AM66" s="3282"/>
      <c r="AN66" s="3285">
        <v>43830</v>
      </c>
      <c r="AO66" s="3285">
        <v>43461</v>
      </c>
      <c r="AP66" s="3282"/>
      <c r="AQ66" s="3282" t="s">
        <v>3252</v>
      </c>
      <c r="AR66" s="3282">
        <v>92.24</v>
      </c>
      <c r="AS66" s="3282" t="s">
        <v>3197</v>
      </c>
      <c r="AT66" s="3285">
        <v>43455</v>
      </c>
    </row>
    <row r="67" spans="1:46">
      <c r="A67" s="3282">
        <v>249</v>
      </c>
      <c r="B67" s="3282" t="s">
        <v>3107</v>
      </c>
      <c r="C67" s="3282" t="s">
        <v>3253</v>
      </c>
      <c r="D67" s="3282" t="s">
        <v>3164</v>
      </c>
      <c r="E67" s="3282" t="s">
        <v>3165</v>
      </c>
      <c r="F67" s="3282" t="s">
        <v>3237</v>
      </c>
      <c r="G67" s="3282" t="s">
        <v>3254</v>
      </c>
      <c r="H67" s="3282" t="s">
        <v>3131</v>
      </c>
      <c r="I67" s="3282" t="s">
        <v>3167</v>
      </c>
      <c r="J67" s="3282"/>
      <c r="K67" s="3282"/>
      <c r="L67" s="3284">
        <v>43537</v>
      </c>
      <c r="M67" s="3282">
        <v>369.61</v>
      </c>
      <c r="N67" s="3282">
        <v>352.68</v>
      </c>
      <c r="O67" s="3283">
        <v>28600000</v>
      </c>
      <c r="P67" s="3283">
        <v>67735.47</v>
      </c>
      <c r="Q67" s="3283">
        <v>70987.03</v>
      </c>
      <c r="R67" s="3283">
        <v>25035707</v>
      </c>
      <c r="S67" s="3283">
        <v>25035707</v>
      </c>
      <c r="T67" s="3282" t="s">
        <v>3222</v>
      </c>
      <c r="U67" s="3283">
        <v>15000000</v>
      </c>
      <c r="V67" s="3282" t="s">
        <v>3239</v>
      </c>
      <c r="W67" s="3282">
        <v>0</v>
      </c>
      <c r="X67" s="3282"/>
      <c r="Y67" s="3283">
        <v>500000</v>
      </c>
      <c r="Z67" s="3283">
        <v>4517854</v>
      </c>
      <c r="AA67" s="3282">
        <v>0</v>
      </c>
      <c r="AB67" s="3282">
        <v>0</v>
      </c>
      <c r="AC67" s="3283">
        <v>5017853</v>
      </c>
      <c r="AD67" s="3283">
        <v>15000000</v>
      </c>
      <c r="AE67" s="3282">
        <v>0</v>
      </c>
      <c r="AF67" s="3282">
        <v>0</v>
      </c>
      <c r="AG67" s="3282">
        <v>0</v>
      </c>
      <c r="AH67" s="3282">
        <v>0</v>
      </c>
      <c r="AI67" s="3282">
        <v>0</v>
      </c>
      <c r="AJ67" s="3282">
        <v>369.61</v>
      </c>
      <c r="AK67" s="3282">
        <v>0</v>
      </c>
      <c r="AL67" s="3282">
        <v>0</v>
      </c>
      <c r="AM67" s="3282"/>
      <c r="AN67" s="3285">
        <v>43830</v>
      </c>
      <c r="AO67" s="3285">
        <v>43537</v>
      </c>
      <c r="AP67" s="3282"/>
      <c r="AQ67" s="3282" t="s">
        <v>3255</v>
      </c>
      <c r="AR67" s="3282">
        <v>87.54</v>
      </c>
      <c r="AS67" s="3282" t="s">
        <v>3197</v>
      </c>
      <c r="AT67" s="3285">
        <v>43525</v>
      </c>
    </row>
    <row r="68" spans="1:46">
      <c r="A68" s="3282">
        <v>250</v>
      </c>
      <c r="B68" s="3282" t="s">
        <v>3107</v>
      </c>
      <c r="C68" s="3282" t="s">
        <v>3256</v>
      </c>
      <c r="D68" s="3282" t="s">
        <v>3164</v>
      </c>
      <c r="E68" s="3282" t="s">
        <v>3165</v>
      </c>
      <c r="F68" s="3282" t="s">
        <v>3237</v>
      </c>
      <c r="G68" s="3282" t="s">
        <v>3257</v>
      </c>
      <c r="H68" s="3282" t="s">
        <v>3116</v>
      </c>
      <c r="I68" s="3282" t="s">
        <v>3167</v>
      </c>
      <c r="J68" s="3282"/>
      <c r="K68" s="3282" t="s">
        <v>3258</v>
      </c>
      <c r="L68" s="3284">
        <v>43549</v>
      </c>
      <c r="M68" s="3282">
        <v>413.73</v>
      </c>
      <c r="N68" s="3282">
        <v>394.77</v>
      </c>
      <c r="O68" s="3283">
        <v>29700000</v>
      </c>
      <c r="P68" s="3283">
        <v>62384.42</v>
      </c>
      <c r="Q68" s="3283">
        <v>65380.62</v>
      </c>
      <c r="R68" s="3283">
        <v>25810308</v>
      </c>
      <c r="S68" s="3283">
        <v>25810308</v>
      </c>
      <c r="T68" s="3282" t="s">
        <v>3259</v>
      </c>
      <c r="U68" s="3283">
        <v>5160000</v>
      </c>
      <c r="V68" s="3282" t="s">
        <v>3260</v>
      </c>
      <c r="W68" s="3282">
        <v>0</v>
      </c>
      <c r="X68" s="3282"/>
      <c r="Y68" s="3283">
        <v>1000000</v>
      </c>
      <c r="Z68" s="3283">
        <v>4162062</v>
      </c>
      <c r="AA68" s="3282">
        <v>0</v>
      </c>
      <c r="AB68" s="3282">
        <v>0</v>
      </c>
      <c r="AC68" s="3283">
        <v>15488246</v>
      </c>
      <c r="AD68" s="3283">
        <v>5160000</v>
      </c>
      <c r="AE68" s="3282">
        <v>0</v>
      </c>
      <c r="AF68" s="3282">
        <v>0</v>
      </c>
      <c r="AG68" s="3282">
        <v>0</v>
      </c>
      <c r="AH68" s="3282">
        <v>0</v>
      </c>
      <c r="AI68" s="3282">
        <v>0</v>
      </c>
      <c r="AJ68" s="3282">
        <v>413.73</v>
      </c>
      <c r="AK68" s="3282">
        <v>0</v>
      </c>
      <c r="AL68" s="3282">
        <v>0</v>
      </c>
      <c r="AM68" s="3282"/>
      <c r="AN68" s="3285">
        <v>43830</v>
      </c>
      <c r="AO68" s="3285">
        <v>43549</v>
      </c>
      <c r="AP68" s="3282"/>
      <c r="AQ68" s="3282" t="s">
        <v>3261</v>
      </c>
      <c r="AR68" s="3282">
        <v>86.9</v>
      </c>
      <c r="AS68" s="3282" t="s">
        <v>3183</v>
      </c>
      <c r="AT68" s="3285">
        <v>43528</v>
      </c>
    </row>
    <row r="69" spans="1:46">
      <c r="A69" s="3282">
        <v>252</v>
      </c>
      <c r="B69" s="3282" t="s">
        <v>3107</v>
      </c>
      <c r="C69" s="3282" t="s">
        <v>3262</v>
      </c>
      <c r="D69" s="3282" t="s">
        <v>3164</v>
      </c>
      <c r="E69" s="3282" t="s">
        <v>3165</v>
      </c>
      <c r="F69" s="3282" t="s">
        <v>3235</v>
      </c>
      <c r="G69" s="3282" t="s">
        <v>3263</v>
      </c>
      <c r="H69" s="3282" t="s">
        <v>3116</v>
      </c>
      <c r="I69" s="3282" t="s">
        <v>3167</v>
      </c>
      <c r="J69" s="3282"/>
      <c r="K69" s="3282"/>
      <c r="L69" s="3284">
        <v>43544</v>
      </c>
      <c r="M69" s="3282">
        <v>490.99</v>
      </c>
      <c r="N69" s="3282">
        <v>464.89</v>
      </c>
      <c r="O69" s="3283">
        <v>48300000</v>
      </c>
      <c r="P69" s="3283">
        <v>86108.86</v>
      </c>
      <c r="Q69" s="3283">
        <v>90943.21</v>
      </c>
      <c r="R69" s="3283">
        <v>42278589</v>
      </c>
      <c r="S69" s="3283">
        <v>42278589</v>
      </c>
      <c r="T69" s="3282" t="s">
        <v>3222</v>
      </c>
      <c r="U69" s="3283">
        <v>8450000</v>
      </c>
      <c r="V69" s="3282" t="s">
        <v>3239</v>
      </c>
      <c r="W69" s="3282">
        <v>0</v>
      </c>
      <c r="X69" s="3282"/>
      <c r="Y69" s="3283">
        <v>500000</v>
      </c>
      <c r="Z69" s="3283">
        <v>7532932</v>
      </c>
      <c r="AA69" s="3282">
        <v>0</v>
      </c>
      <c r="AB69" s="3282">
        <v>0</v>
      </c>
      <c r="AC69" s="3283">
        <v>25795657</v>
      </c>
      <c r="AD69" s="3283">
        <v>8450000</v>
      </c>
      <c r="AE69" s="3282">
        <v>0</v>
      </c>
      <c r="AF69" s="3282">
        <v>0</v>
      </c>
      <c r="AG69" s="3282">
        <v>0</v>
      </c>
      <c r="AH69" s="3282">
        <v>0</v>
      </c>
      <c r="AI69" s="3282">
        <v>0</v>
      </c>
      <c r="AJ69" s="3282">
        <v>490.99</v>
      </c>
      <c r="AK69" s="3282">
        <v>0</v>
      </c>
      <c r="AL69" s="3282">
        <v>0</v>
      </c>
      <c r="AM69" s="3282"/>
      <c r="AN69" s="3285">
        <v>43830</v>
      </c>
      <c r="AO69" s="3285">
        <v>43544</v>
      </c>
      <c r="AP69" s="3282"/>
      <c r="AQ69" s="3282" t="s">
        <v>3264</v>
      </c>
      <c r="AR69" s="3282">
        <v>87.53</v>
      </c>
      <c r="AS69" s="3282" t="s">
        <v>3265</v>
      </c>
      <c r="AT69" s="3285">
        <v>43544</v>
      </c>
    </row>
    <row r="70" spans="1:46">
      <c r="A70" s="3282">
        <v>254</v>
      </c>
      <c r="B70" s="3282" t="s">
        <v>3107</v>
      </c>
      <c r="C70" s="3282" t="s">
        <v>3266</v>
      </c>
      <c r="D70" s="3282" t="s">
        <v>3164</v>
      </c>
      <c r="E70" s="3282" t="s">
        <v>3165</v>
      </c>
      <c r="F70" s="3282" t="s">
        <v>3235</v>
      </c>
      <c r="G70" s="3282" t="s">
        <v>3267</v>
      </c>
      <c r="H70" s="3282" t="s">
        <v>3116</v>
      </c>
      <c r="I70" s="3282" t="s">
        <v>3167</v>
      </c>
      <c r="J70" s="3282"/>
      <c r="K70" s="3282"/>
      <c r="L70" s="3284">
        <v>43570</v>
      </c>
      <c r="M70" s="3282">
        <v>526.51</v>
      </c>
      <c r="N70" s="3282">
        <v>498.52</v>
      </c>
      <c r="O70" s="3283">
        <v>52300000</v>
      </c>
      <c r="P70" s="3283">
        <v>89916.54</v>
      </c>
      <c r="Q70" s="3283">
        <v>94965.01</v>
      </c>
      <c r="R70" s="3283">
        <v>47341958</v>
      </c>
      <c r="S70" s="3283">
        <v>47341958</v>
      </c>
      <c r="T70" s="3282" t="s">
        <v>3268</v>
      </c>
      <c r="U70" s="3283">
        <v>28400000</v>
      </c>
      <c r="V70" s="3282" t="s">
        <v>3269</v>
      </c>
      <c r="W70" s="3282">
        <v>0</v>
      </c>
      <c r="X70" s="3282"/>
      <c r="Y70" s="3283">
        <v>1000000</v>
      </c>
      <c r="Z70" s="3283">
        <v>3734196</v>
      </c>
      <c r="AA70" s="3282">
        <v>0</v>
      </c>
      <c r="AB70" s="3282">
        <v>0</v>
      </c>
      <c r="AC70" s="3283">
        <v>14207762</v>
      </c>
      <c r="AD70" s="3283">
        <v>28400000</v>
      </c>
      <c r="AE70" s="3282">
        <v>0</v>
      </c>
      <c r="AF70" s="3282">
        <v>0</v>
      </c>
      <c r="AG70" s="3282">
        <v>0</v>
      </c>
      <c r="AH70" s="3282">
        <v>0</v>
      </c>
      <c r="AI70" s="3282">
        <v>0</v>
      </c>
      <c r="AJ70" s="3282">
        <v>526.51</v>
      </c>
      <c r="AK70" s="3282">
        <v>0</v>
      </c>
      <c r="AL70" s="3282">
        <v>0</v>
      </c>
      <c r="AM70" s="3282"/>
      <c r="AN70" s="3285">
        <v>43830</v>
      </c>
      <c r="AO70" s="3285">
        <v>43570</v>
      </c>
      <c r="AP70" s="3282"/>
      <c r="AQ70" s="3282" t="s">
        <v>3270</v>
      </c>
      <c r="AR70" s="3282">
        <v>90.52</v>
      </c>
      <c r="AS70" s="3282" t="s">
        <v>3208</v>
      </c>
      <c r="AT70" s="3285">
        <v>43570</v>
      </c>
    </row>
    <row r="71" spans="1:46">
      <c r="A71" s="3282"/>
      <c r="B71" s="3282"/>
      <c r="C71" s="3282"/>
      <c r="D71" s="3282"/>
      <c r="E71" s="3282"/>
      <c r="F71" s="3282"/>
      <c r="G71" s="3282"/>
      <c r="H71" s="3282"/>
      <c r="I71" s="3282"/>
      <c r="J71" s="3282"/>
      <c r="K71" s="3282"/>
      <c r="L71" s="3284"/>
      <c r="M71" s="3282">
        <f>SUM(M4:M70)</f>
        <v>14581.819999999996</v>
      </c>
      <c r="N71" s="3282"/>
      <c r="O71" s="3283">
        <f>SUM(O4:O70)</f>
        <v>952097622.96160007</v>
      </c>
      <c r="P71" s="3283"/>
      <c r="Q71" s="3283"/>
      <c r="R71" s="3283"/>
      <c r="S71" s="3283"/>
      <c r="T71" s="3282"/>
      <c r="U71" s="3283"/>
      <c r="V71" s="3282"/>
      <c r="W71" s="3282"/>
      <c r="X71" s="3282"/>
      <c r="Y71" s="3283"/>
      <c r="Z71" s="3283"/>
      <c r="AA71" s="3282"/>
      <c r="AB71" s="3282"/>
      <c r="AC71" s="3283"/>
      <c r="AD71" s="3283"/>
      <c r="AE71" s="3282"/>
      <c r="AF71" s="3282"/>
      <c r="AG71" s="3282"/>
      <c r="AH71" s="3282"/>
      <c r="AI71" s="3282"/>
      <c r="AJ71" s="3282"/>
      <c r="AK71" s="3282"/>
      <c r="AL71" s="3282"/>
      <c r="AM71" s="3282"/>
      <c r="AN71" s="3285"/>
      <c r="AO71" s="3285"/>
      <c r="AP71" s="3282"/>
      <c r="AQ71" s="3282"/>
      <c r="AR71" s="3282"/>
      <c r="AS71" s="3282"/>
      <c r="AT71" s="3285"/>
    </row>
    <row r="72" spans="1:46">
      <c r="L72" s="1635" t="s">
        <v>3271</v>
      </c>
      <c r="M72" s="3286">
        <f>SUM(M48:M70)-M52-M58</f>
        <v>8378.98</v>
      </c>
      <c r="N72" s="3286"/>
      <c r="O72" s="3286">
        <f>SUM(O48:O70)-O52-O58</f>
        <v>681270000</v>
      </c>
      <c r="P72" s="1635">
        <f>O72/M72</f>
        <v>81307.032598239879</v>
      </c>
    </row>
    <row r="73" spans="1:46">
      <c r="L73" s="1635" t="s">
        <v>3272</v>
      </c>
      <c r="M73" s="1635">
        <f>SUM(M4:M41)+M44</f>
        <v>2256.6899999999991</v>
      </c>
      <c r="O73" s="3287">
        <f>SUM(O4:O41)+O44</f>
        <v>18788465</v>
      </c>
      <c r="P73" s="1635">
        <f>O73/M73</f>
        <v>8325.6738852035542</v>
      </c>
      <c r="Q73" s="1635">
        <f>P73*57</f>
        <v>474563.41145660257</v>
      </c>
      <c r="R73" s="1635">
        <f>M73/39</f>
        <v>57.863846153846133</v>
      </c>
    </row>
    <row r="74" spans="1:46">
      <c r="L74" s="1635" t="s">
        <v>3273</v>
      </c>
      <c r="M74" s="1635">
        <f>M43+M52+M58</f>
        <v>2025.8600000000001</v>
      </c>
      <c r="O74" s="3287">
        <f>O43+O52+O58</f>
        <v>87102036</v>
      </c>
      <c r="P74" s="1635">
        <f>O74/M74</f>
        <v>42995.091467327453</v>
      </c>
    </row>
    <row r="76" spans="1:46">
      <c r="M76" s="1635">
        <f>M73/40</f>
        <v>56.417249999999981</v>
      </c>
    </row>
    <row r="77" spans="1:46">
      <c r="J77" s="3288" t="s">
        <v>3274</v>
      </c>
      <c r="K77" s="3288">
        <f>M71-K78-K79</f>
        <v>10299.269999999997</v>
      </c>
    </row>
    <row r="78" spans="1:46">
      <c r="J78" s="3288" t="s">
        <v>3275</v>
      </c>
      <c r="K78" s="3288">
        <f>SUM(M4:M41)+M44</f>
        <v>2256.6899999999991</v>
      </c>
    </row>
    <row r="79" spans="1:46">
      <c r="J79" s="3288" t="s">
        <v>3276</v>
      </c>
      <c r="K79" s="3288">
        <f>M43+M52+M58</f>
        <v>2025.8600000000001</v>
      </c>
    </row>
  </sheetData>
  <autoFilter ref="A1:AT74"/>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43609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5" t="s">
        <v>1971</v>
      </c>
      <c r="AA4" s="2245"/>
      <c r="AB4" s="2245"/>
      <c r="AC4" s="2245"/>
      <c r="AD4" s="2245"/>
      <c r="AE4" s="2243" t="s">
        <v>1972</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1986</v>
      </c>
      <c r="O5" s="2296" t="s">
        <v>1987</v>
      </c>
      <c r="P5" s="2299" t="s">
        <v>1988</v>
      </c>
      <c r="Q5" s="69" t="s">
        <v>1989</v>
      </c>
      <c r="R5" s="2300" t="s">
        <v>1990</v>
      </c>
      <c r="S5" s="2301" t="s">
        <v>1991</v>
      </c>
      <c r="T5" s="2302" t="s">
        <v>1992</v>
      </c>
      <c r="U5" s="1267" t="s">
        <v>1993</v>
      </c>
      <c r="V5" s="1268" t="s">
        <v>1994</v>
      </c>
      <c r="W5" s="1268" t="s">
        <v>1995</v>
      </c>
      <c r="X5" s="71"/>
      <c r="Y5" s="70" t="s">
        <v>1996</v>
      </c>
      <c r="Z5" s="2303" t="s">
        <v>1993</v>
      </c>
      <c r="AA5" s="1268" t="s">
        <v>1994</v>
      </c>
      <c r="AB5" s="1268" t="s">
        <v>1995</v>
      </c>
      <c r="AC5" s="71"/>
      <c r="AD5" s="71" t="s">
        <v>1996</v>
      </c>
      <c r="AE5" s="1267" t="s">
        <v>1997</v>
      </c>
      <c r="AF5" s="1268" t="s">
        <v>1998</v>
      </c>
      <c r="AG5" s="70" t="s">
        <v>1999</v>
      </c>
      <c r="AH5" s="1267" t="s">
        <v>2000</v>
      </c>
      <c r="AI5" s="2303" t="s">
        <v>2001</v>
      </c>
      <c r="AJ5" s="2303" t="s">
        <v>2002</v>
      </c>
      <c r="AK5" s="1268" t="s">
        <v>2003</v>
      </c>
      <c r="AL5" s="1268" t="s">
        <v>2004</v>
      </c>
      <c r="AM5" s="70" t="s">
        <v>2005</v>
      </c>
      <c r="AN5" s="2304" t="s">
        <v>2006</v>
      </c>
      <c r="AO5" s="2075" t="s">
        <v>2007</v>
      </c>
      <c r="AP5" s="1249"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别墅</v>
      </c>
      <c r="B6" s="2307" t="str">
        <f>IF(A6=0,"","经营性")</f>
        <v>经营性</v>
      </c>
      <c r="C6" s="2308" t="s">
        <v>3279</v>
      </c>
      <c r="D6" s="1051">
        <f>SUMIF(项目基本情况!D$12:I$12,C6,项目基本情况!D$14:I$14)</f>
        <v>70</v>
      </c>
      <c r="E6" s="1048">
        <f>IF(B6="","",SUMIF(项目基本情况!D$12:I$12,C6,项目基本情况!D$13:I$13))</f>
        <v>67870</v>
      </c>
      <c r="F6" s="72">
        <f>SUMIF(项目基本情况!D$12:I$12,C6,项目基本情况!D$15:I$15)</f>
        <v>66.459999999999994</v>
      </c>
      <c r="G6" s="73">
        <f>IF(ISERROR(ROUND(POWER(1+H6,D6-F6)*(POWER(1+H6,F6)-1)/(POWER(1+H6,D6)-1),3)),0,ROUND(POWER(1+H6,D6-F6)*(POWER(1+H6,F6)-1)/(POWER(1+H6,D6)-1),3))</f>
        <v>0.99199999999999999</v>
      </c>
      <c r="H6" s="802">
        <v>4.4999999999999998E-2</v>
      </c>
      <c r="I6" s="802">
        <v>0.05</v>
      </c>
      <c r="J6" s="74">
        <v>8.5000000000000006E-2</v>
      </c>
      <c r="K6" s="1251">
        <f>SUMIF('数据-汇总表'!C$19:C$33,A6,'数据-汇总表'!E$19:E$33)</f>
        <v>10299.269999999997</v>
      </c>
      <c r="L6" s="803">
        <v>3500</v>
      </c>
      <c r="M6" s="75">
        <f t="shared" ref="M6:M14" si="0">ROUND(K6*L6/10000,0)</f>
        <v>3605</v>
      </c>
      <c r="N6" s="801">
        <v>0.95</v>
      </c>
      <c r="O6" s="75">
        <f>IF($N$5="成新度","——",ROUND(M6*N6,0))</f>
        <v>3425</v>
      </c>
      <c r="P6" s="76">
        <f>IF($N$5="成新度","——",M6-O6)</f>
        <v>180</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36047444.999999985</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1373</v>
      </c>
      <c r="D7" s="1051">
        <f>SUMIF(项目基本情况!D$12:I$12,C7,项目基本情况!D$14:I$14)</f>
        <v>40</v>
      </c>
      <c r="E7" s="1048">
        <f>IF(B7="","",SUMIF(项目基本情况!D$12:I$12,C7,项目基本情况!D$13:I$13))</f>
        <v>56912</v>
      </c>
      <c r="F7" s="72">
        <f>SUMIF(项目基本情况!D$12:I$12,C7,项目基本情况!D$15:I$15)</f>
        <v>36.44</v>
      </c>
      <c r="G7" s="73">
        <f t="shared" ref="G7:G11" si="2">IF(ISERROR(ROUND(POWER(1+H7,D7-F7)*(POWER(1+H7,F7)-1)/(POWER(1+H7,D7)-1),3)),0,ROUND(POWER(1+H7,D7-F7)*(POWER(1+H7,F7)-1)/(POWER(1+H7,D7)-1),3))</f>
        <v>0.96899999999999997</v>
      </c>
      <c r="H7" s="802">
        <v>0.05</v>
      </c>
      <c r="I7" s="802">
        <v>5.5E-2</v>
      </c>
      <c r="J7" s="74">
        <v>8.5000000000000006E-2</v>
      </c>
      <c r="K7" s="1251">
        <f>SUMIF('数据-汇总表'!C$19:C$33,A7,'数据-汇总表'!E$19:E$33)</f>
        <v>2025.8600000000001</v>
      </c>
      <c r="L7" s="803">
        <v>3000</v>
      </c>
      <c r="M7" s="75">
        <f t="shared" si="0"/>
        <v>608</v>
      </c>
      <c r="N7" s="801">
        <f>N6</f>
        <v>0.95</v>
      </c>
      <c r="O7" s="75">
        <f t="shared" ref="O7:O14" si="3">IF($N$5="成新度","——",ROUND(M7*N7,0))</f>
        <v>578</v>
      </c>
      <c r="P7" s="76">
        <f t="shared" ref="P7:P14" si="4">IF($N$5="成新度","——",M7-O7)</f>
        <v>30</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5</v>
      </c>
      <c r="V7" s="79">
        <v>0.03</v>
      </c>
      <c r="W7" s="79">
        <v>0.1</v>
      </c>
      <c r="X7" s="1261"/>
      <c r="Y7" s="80">
        <v>1</v>
      </c>
      <c r="Z7" s="81"/>
      <c r="AA7" s="74"/>
      <c r="AB7" s="74"/>
      <c r="AC7" s="1261"/>
      <c r="AD7" s="82"/>
      <c r="AE7" s="1262">
        <f t="shared" ref="AE7:AE13" ca="1" si="6">IF(AN7="",0,SUMIF(INDIRECT("'"&amp;AN7&amp;"'"&amp;"!E:E"),$AE$5,INDIRECT("'"&amp;AN7&amp;"'"&amp;"!F:F")))</f>
        <v>36.239999999999995</v>
      </c>
      <c r="AF7" s="1804"/>
      <c r="AG7" s="147">
        <f t="shared" ref="AG7:AG13" si="7">IF(AF7="",0,AE7-AF7)</f>
        <v>0</v>
      </c>
      <c r="AH7" s="83"/>
      <c r="AI7" s="85">
        <v>365</v>
      </c>
      <c r="AJ7" s="86"/>
      <c r="AK7" s="87">
        <v>1.4999999999999999E-2</v>
      </c>
      <c r="AL7" s="88">
        <v>1.5E-3</v>
      </c>
      <c r="AM7" s="89">
        <v>0.01</v>
      </c>
      <c r="AN7" s="2309" t="s">
        <v>3290</v>
      </c>
      <c r="AO7" s="55">
        <f t="shared" ref="AO7:AO13" ca="1" si="8">SUMIF(INDIRECT("'"&amp;AN7&amp;"'"&amp;"!A:A"),"总价",INDIRECT("'"&amp;AN7&amp;"'"&amp;"!B:B"))</f>
        <v>5946</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车库</v>
      </c>
      <c r="B8" s="2307" t="str">
        <f t="shared" si="1"/>
        <v>经营性</v>
      </c>
      <c r="C8" s="2308" t="s">
        <v>3285</v>
      </c>
      <c r="D8" s="1051">
        <f>SUMIF(项目基本情况!D$12:I$12,C8,项目基本情况!D$14:I$14)</f>
        <v>50</v>
      </c>
      <c r="E8" s="1048">
        <f>IF(B8="","",SUMIF(项目基本情况!D$12:I$12,C8,项目基本情况!D$13:I$13))</f>
        <v>60565</v>
      </c>
      <c r="F8" s="72">
        <f>SUMIF(项目基本情况!D$12:I$12,C8,项目基本情况!D$15:I$15)</f>
        <v>46.45</v>
      </c>
      <c r="G8" s="73">
        <f t="shared" si="2"/>
        <v>0.97599999999999998</v>
      </c>
      <c r="H8" s="802">
        <v>0.04</v>
      </c>
      <c r="I8" s="802">
        <v>4.4999999999999998E-2</v>
      </c>
      <c r="J8" s="74">
        <v>8.5000000000000006E-2</v>
      </c>
      <c r="K8" s="1251">
        <f>SUMIF('数据-汇总表'!C$19:C$33,A8,'数据-汇总表'!E$19:E$33)</f>
        <v>2256.6899999999991</v>
      </c>
      <c r="L8" s="803">
        <v>3000</v>
      </c>
      <c r="M8" s="75">
        <f>ROUND(K8*L8/10000,0)</f>
        <v>677</v>
      </c>
      <c r="N8" s="801">
        <f>N6</f>
        <v>0.95</v>
      </c>
      <c r="O8" s="75">
        <f t="shared" si="3"/>
        <v>643</v>
      </c>
      <c r="P8" s="76">
        <f t="shared" si="4"/>
        <v>34</v>
      </c>
      <c r="Q8" s="804">
        <v>0.05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2011</v>
      </c>
      <c r="B14" s="2307" t="s">
        <v>2012</v>
      </c>
      <c r="C14" s="2312"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2013</v>
      </c>
      <c r="B15" s="2307" t="s">
        <v>2012</v>
      </c>
      <c r="C15" s="2312"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2015</v>
      </c>
      <c r="B16" s="97"/>
      <c r="C16" s="1005"/>
      <c r="D16" s="2314"/>
      <c r="E16" s="97"/>
      <c r="F16" s="97"/>
      <c r="G16" s="98">
        <f>ROUND(SUMPRODUCT(G6:G13,K6:K13)/SUMPRODUCT((G6:G13&gt;0)*(K6:K13)),3)</f>
        <v>0.98599999999999999</v>
      </c>
      <c r="H16" s="99">
        <f>ROUND(SUMPRODUCT(H6:H13,K6:K13)/SUMPRODUCT((H6:H13&gt;0)*(K6:K13)),3)</f>
        <v>4.4999999999999998E-2</v>
      </c>
      <c r="I16" s="100"/>
      <c r="J16" s="100"/>
      <c r="K16" s="101">
        <f>SUM(K6:K15)</f>
        <v>14581.819999999996</v>
      </c>
      <c r="L16" s="102">
        <f>ROUND(M16*10000/SUM(K6:K14),0)</f>
        <v>3353</v>
      </c>
      <c r="M16" s="102">
        <f>SUM(M6:M14)</f>
        <v>4890</v>
      </c>
      <c r="N16" s="103">
        <f>ROUND(SUMPRODUCT(M6:M14,N6:N14)/M16,3)</f>
        <v>0.95</v>
      </c>
      <c r="O16" s="102">
        <f>SUM(O6:O14)</f>
        <v>4646</v>
      </c>
      <c r="P16" s="102">
        <f>SUM(P6:P14)</f>
        <v>244</v>
      </c>
      <c r="Q16" s="104">
        <f>ROUND(SUMPRODUCT(Q6:Q13,K6:K13)/SUMPRODUCT((Q6:Q13&gt;0)*(K6:K13)),2)</f>
        <v>0.21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2017</v>
      </c>
      <c r="B19" s="112">
        <v>0</v>
      </c>
      <c r="C19" s="2277" t="s">
        <v>2018</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2019</v>
      </c>
      <c r="B20" s="113">
        <v>3</v>
      </c>
      <c r="C20" s="2277" t="s">
        <v>2020</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2021</v>
      </c>
      <c r="B21" s="113">
        <v>2.8</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2022</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2023</v>
      </c>
      <c r="B23" s="114">
        <f>B19+B21</f>
        <v>2.8</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2024</v>
      </c>
      <c r="B24" s="115">
        <f>B20-B21</f>
        <v>0.20000000000000018</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2025</v>
      </c>
      <c r="B26" s="2320" t="s">
        <v>2026</v>
      </c>
      <c r="C26" s="2321" t="s">
        <v>2027</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2028</v>
      </c>
      <c r="B27" s="116"/>
      <c r="C27" s="1764" t="s">
        <v>2029</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1"/>
      <c r="C29" s="1764" t="s">
        <v>2032</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6">
        <v>0.03</v>
      </c>
      <c r="C33" s="1763" t="s">
        <v>2037</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2">
        <v>0.1</v>
      </c>
      <c r="C34" s="1763" t="s">
        <v>2039</v>
      </c>
      <c r="D34" s="2278" t="s">
        <v>2040</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9">
        <v>200</v>
      </c>
      <c r="C35" s="1763" t="s">
        <v>2042</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3">
        <v>1.4999999999999999E-2</v>
      </c>
      <c r="C36" s="1763" t="s">
        <v>2044</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2045</v>
      </c>
      <c r="B37" s="124">
        <v>0.03</v>
      </c>
      <c r="C37" s="1763" t="s">
        <v>2046</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2047</v>
      </c>
      <c r="B38" s="122">
        <v>0.02</v>
      </c>
      <c r="C38" s="1763" t="s">
        <v>2046</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2048</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2049</v>
      </c>
      <c r="B40" s="1300">
        <f ca="1">存贷款利率!G1</f>
        <v>4.7500000000000001E-2</v>
      </c>
      <c r="C40" s="1763" t="s">
        <v>2050</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2051</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2052</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2053</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2054</v>
      </c>
      <c r="B44" s="128">
        <v>0.05</v>
      </c>
      <c r="C44" s="1763" t="s">
        <v>2055</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2056</v>
      </c>
      <c r="B45" s="126">
        <v>0.03</v>
      </c>
      <c r="C45" s="1764" t="s">
        <v>2057</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2058</v>
      </c>
      <c r="B46" s="126">
        <v>0.02</v>
      </c>
      <c r="C46" s="1764" t="s">
        <v>2059</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2060</v>
      </c>
      <c r="B47" s="129"/>
      <c r="C47" s="1764" t="s">
        <v>2061</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2062</v>
      </c>
      <c r="B48" s="130">
        <v>0.03</v>
      </c>
      <c r="C48" s="1771" t="s">
        <v>2063</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2064</v>
      </c>
      <c r="B49" s="126">
        <v>5.0000000000000001E-4</v>
      </c>
      <c r="C49" s="1771" t="s">
        <v>2065</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2066</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2067</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2068</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2069</v>
      </c>
      <c r="B53" s="2336" t="s">
        <v>523</v>
      </c>
      <c r="C53" s="1427" t="s">
        <v>2070</v>
      </c>
      <c r="D53" s="2337" t="s">
        <v>2071</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2072</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2073</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2074</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2075</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2076</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2077</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2078</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2079</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2080</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2081</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4" t="s">
        <v>2082</v>
      </c>
      <c r="B1" s="3045"/>
      <c r="C1" s="3045"/>
      <c r="D1" s="3045"/>
      <c r="E1" s="3045"/>
      <c r="F1" s="3045"/>
      <c r="G1" s="304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5" t="s">
        <v>2085</v>
      </c>
      <c r="B3" s="1268" t="s">
        <v>2086</v>
      </c>
      <c r="C3" s="2370" t="s">
        <v>2087</v>
      </c>
      <c r="D3" s="2371"/>
      <c r="E3" s="431" t="s">
        <v>2085</v>
      </c>
      <c r="F3" s="2372" t="s">
        <v>2088</v>
      </c>
      <c r="G3" s="2373" t="s">
        <v>2089</v>
      </c>
      <c r="H3" s="2368"/>
      <c r="I3" s="2368"/>
      <c r="J3" s="2368"/>
      <c r="K3" s="2368"/>
      <c r="L3" s="2368"/>
      <c r="M3" s="2368"/>
      <c r="N3" s="2368"/>
      <c r="O3" s="2368"/>
      <c r="P3" s="2368"/>
      <c r="Q3" s="2368"/>
      <c r="R3" s="2368"/>
    </row>
    <row r="4" spans="1:29" ht="41.25">
      <c r="A4" s="431"/>
      <c r="B4" s="1795" t="s">
        <v>2090</v>
      </c>
      <c r="C4" s="2374" t="s">
        <v>2091</v>
      </c>
      <c r="D4" s="2371"/>
      <c r="E4" s="2375"/>
      <c r="F4" s="42" t="s">
        <v>2092</v>
      </c>
      <c r="G4" s="2376" t="s">
        <v>2093</v>
      </c>
      <c r="H4" s="2368"/>
      <c r="I4" s="2368"/>
      <c r="J4" s="2368"/>
      <c r="K4" s="2368"/>
      <c r="L4" s="2368"/>
      <c r="M4" s="2368"/>
      <c r="N4" s="2368"/>
      <c r="O4" s="2368"/>
      <c r="P4" s="2368"/>
      <c r="Q4" s="2368"/>
      <c r="R4" s="2368"/>
    </row>
    <row r="5" spans="1:29" ht="41.25">
      <c r="A5" s="431"/>
      <c r="B5" s="1795" t="s">
        <v>2094</v>
      </c>
      <c r="C5" s="2374" t="s">
        <v>2095</v>
      </c>
      <c r="D5" s="2371"/>
      <c r="E5" s="2375"/>
      <c r="F5" s="1795" t="s">
        <v>2096</v>
      </c>
      <c r="G5" s="2376" t="s">
        <v>2097</v>
      </c>
      <c r="H5" s="2368"/>
      <c r="I5" s="2368"/>
      <c r="J5" s="2368"/>
      <c r="K5" s="2368"/>
      <c r="L5" s="2368"/>
      <c r="M5" s="2368"/>
      <c r="N5" s="2368"/>
      <c r="O5" s="2368"/>
      <c r="P5" s="2368"/>
      <c r="Q5" s="2368"/>
      <c r="R5" s="2368"/>
    </row>
    <row r="6" spans="1:29" ht="54">
      <c r="A6" s="431"/>
      <c r="B6" s="1795" t="s">
        <v>2098</v>
      </c>
      <c r="C6" s="2376" t="s">
        <v>2093</v>
      </c>
      <c r="D6" s="2371"/>
      <c r="E6" s="2375"/>
      <c r="F6" s="1795" t="s">
        <v>2099</v>
      </c>
      <c r="G6" s="2376" t="s">
        <v>2100</v>
      </c>
      <c r="H6" s="2368"/>
      <c r="I6" s="2368"/>
      <c r="J6" s="2368"/>
      <c r="K6" s="2368"/>
      <c r="L6" s="2368"/>
      <c r="M6" s="2368"/>
      <c r="N6" s="2368"/>
      <c r="O6" s="2368"/>
      <c r="P6" s="2368"/>
      <c r="Q6" s="2368"/>
      <c r="R6" s="2368"/>
    </row>
    <row r="7" spans="1:29" ht="41.25" thickBot="1">
      <c r="A7" s="431"/>
      <c r="B7" s="1795" t="s">
        <v>2096</v>
      </c>
      <c r="C7" s="2376" t="s">
        <v>2097</v>
      </c>
      <c r="D7" s="2377"/>
      <c r="E7" s="2378"/>
      <c r="F7" s="2379" t="s">
        <v>2101</v>
      </c>
      <c r="G7" s="2380" t="s">
        <v>2102</v>
      </c>
      <c r="H7" s="2368"/>
      <c r="I7" s="2368"/>
      <c r="J7" s="2368"/>
      <c r="K7" s="2368"/>
      <c r="L7" s="2368"/>
      <c r="M7" s="2368"/>
      <c r="N7" s="2368"/>
      <c r="O7" s="2368"/>
      <c r="P7" s="2368"/>
      <c r="Q7" s="2368"/>
      <c r="R7" s="2368"/>
    </row>
    <row r="8" spans="1:29" ht="27">
      <c r="A8" s="431"/>
      <c r="B8" s="1795" t="s">
        <v>2099</v>
      </c>
      <c r="C8" s="2376" t="s">
        <v>2100</v>
      </c>
      <c r="D8" s="2377"/>
      <c r="E8" s="2377"/>
      <c r="F8" s="1133"/>
      <c r="G8" s="1133"/>
      <c r="H8" s="2368"/>
      <c r="I8" s="2368"/>
      <c r="J8" s="2368"/>
      <c r="K8" s="2368"/>
      <c r="L8" s="2368"/>
      <c r="M8" s="2368"/>
      <c r="N8" s="2368"/>
      <c r="O8" s="2368"/>
      <c r="P8" s="2368"/>
      <c r="Q8" s="2368"/>
      <c r="R8" s="2368"/>
    </row>
    <row r="9" spans="1:29" ht="27">
      <c r="A9" s="431"/>
      <c r="B9" s="1795" t="s">
        <v>2103</v>
      </c>
      <c r="C9" s="2374" t="s">
        <v>2104</v>
      </c>
      <c r="D9" s="2371"/>
      <c r="E9" s="2377"/>
      <c r="F9" s="1133"/>
      <c r="G9" s="1133"/>
      <c r="H9" s="2368"/>
      <c r="I9" s="2368"/>
      <c r="J9" s="2368"/>
      <c r="K9" s="2368"/>
      <c r="L9" s="2368"/>
      <c r="M9" s="2368"/>
      <c r="N9" s="2368"/>
      <c r="O9" s="2368"/>
      <c r="P9" s="2368"/>
      <c r="Q9" s="2368"/>
      <c r="R9" s="2368"/>
    </row>
    <row r="10" spans="1:29" s="117" customFormat="1" ht="15.75" thickBot="1">
      <c r="A10" s="2381"/>
      <c r="B10" s="2382" t="s">
        <v>2105</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67" t="s">
        <v>2086</v>
      </c>
      <c r="C15" s="2403" t="str">
        <f>C3</f>
        <v>估价对象周边居住用地比例、居住小区规模和社区发展完善程度，综合评价居住社区成熟度一般</v>
      </c>
      <c r="D15" s="2371"/>
      <c r="E15" s="2404" t="s">
        <v>2110</v>
      </c>
      <c r="F15" s="1267" t="s">
        <v>2111</v>
      </c>
      <c r="G15" s="135" t="str">
        <f>G3</f>
        <v>估价对象位于XX开发区，园区建设成熟度XX，产业集聚程度XX</v>
      </c>
    </row>
    <row r="16" spans="1:29" ht="42.75">
      <c r="A16" s="645"/>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5"/>
      <c r="B17" s="2405" t="s">
        <v>2094</v>
      </c>
      <c r="C17" s="2406" t="str">
        <f>C5</f>
        <v>估价对象位于XX商圈，周边办公楼项目较多，入驻率高，办公集聚程度较好</v>
      </c>
      <c r="D17" s="2377"/>
      <c r="E17" s="2407"/>
      <c r="F17" s="2408" t="s">
        <v>2112</v>
      </c>
      <c r="G17" s="1569"/>
    </row>
    <row r="18" spans="1:18" ht="57">
      <c r="A18" s="645"/>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5"/>
      <c r="B19" s="2408" t="s">
        <v>2113</v>
      </c>
      <c r="C19" s="1569"/>
      <c r="D19" s="2371"/>
      <c r="E19" s="2407"/>
      <c r="F19" s="1795" t="s">
        <v>2096</v>
      </c>
      <c r="G19" s="136" t="str">
        <f>G5</f>
        <v>估价对象所在区域公共配套设施齐备情况</v>
      </c>
    </row>
    <row r="20" spans="1:18" ht="28.5">
      <c r="A20" s="645"/>
      <c r="B20" s="2408" t="s">
        <v>2114</v>
      </c>
      <c r="C20" s="2406" t="str">
        <f>C9</f>
        <v>区域自然环境：；人文环境；综合评价环境状况一般</v>
      </c>
      <c r="D20" s="2377"/>
      <c r="E20" s="2407"/>
      <c r="F20" s="1795" t="s">
        <v>2115</v>
      </c>
      <c r="G20" s="136" t="str">
        <f>G6</f>
        <v>估价对象所在区域基础设施水平</v>
      </c>
    </row>
    <row r="21" spans="1:18" ht="28.5">
      <c r="A21" s="645"/>
      <c r="B21" s="1795" t="s">
        <v>2096</v>
      </c>
      <c r="C21" s="136" t="str">
        <f>C7</f>
        <v>估价对象所在区域公共配套设施齐备情况</v>
      </c>
      <c r="D21" s="2371"/>
      <c r="E21" s="2407"/>
      <c r="F21" s="2408" t="s">
        <v>2116</v>
      </c>
      <c r="G21" s="2409"/>
    </row>
    <row r="22" spans="1:18" ht="13.5" customHeight="1">
      <c r="A22" s="645"/>
      <c r="B22" s="1795" t="s">
        <v>2099</v>
      </c>
      <c r="C22" s="136" t="str">
        <f>C8</f>
        <v>估价对象所在区域基础设施水平</v>
      </c>
      <c r="D22" s="2371"/>
      <c r="E22" s="2407"/>
      <c r="F22" s="2408" t="s">
        <v>2105</v>
      </c>
      <c r="G22" s="1569"/>
    </row>
    <row r="23" spans="1:18" s="2368" customFormat="1" ht="15.75" thickBot="1">
      <c r="A23" s="645"/>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14581.819999999996</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43609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84677</v>
      </c>
      <c r="C5" s="1743">
        <f ca="1">ROUND(B5*10000/$B$1,0)</f>
        <v>58070</v>
      </c>
      <c r="D5" s="1743" t="e">
        <f ca="1">ROUND(B5*10000/$B$2,0)</f>
        <v>#DIV/0!</v>
      </c>
      <c r="E5" s="1742"/>
      <c r="F5" s="1740"/>
      <c r="G5" s="1740"/>
    </row>
    <row r="6" spans="1:10" ht="16.5">
      <c r="A6" s="1743" t="s">
        <v>1352</v>
      </c>
      <c r="B6" s="1743">
        <f ca="1">SUM(G14:G23)</f>
        <v>84677</v>
      </c>
      <c r="C6" s="1743">
        <f ca="1">ROUND(B6*10000/$B$1,0)</f>
        <v>58070</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14581.819999999996</v>
      </c>
      <c r="C14" s="1741">
        <f>结果表!C118</f>
        <v>0</v>
      </c>
      <c r="D14" s="1741">
        <f ca="1">结果表!H118</f>
        <v>84677</v>
      </c>
      <c r="E14" s="1741">
        <f ca="1">ROUND(D14*10000/B14,0)</f>
        <v>58070</v>
      </c>
      <c r="F14" s="1741" t="e">
        <f ca="1">ROUND(D14*10000/C14,0)</f>
        <v>#DIV/0!</v>
      </c>
      <c r="G14" s="1741">
        <f ca="1">结果表!D122</f>
        <v>84677</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8" sqref="J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c r="D1" s="2419"/>
      <c r="E1" s="2419"/>
      <c r="F1" s="2421" t="s">
        <v>2120</v>
      </c>
      <c r="G1" s="2071" t="s">
        <v>2121</v>
      </c>
      <c r="H1" s="2422" t="str">
        <f>IF(G1="现房","——","估价对象范围")</f>
        <v>估价对象范围</v>
      </c>
      <c r="I1" s="2423"/>
    </row>
    <row r="2" spans="1:12" ht="21.75" customHeight="1" thickBot="1">
      <c r="A2" s="3079" t="str">
        <f>项目基本情况!S2</f>
        <v>北京市出让国有建设用地使用权及在建建筑物房地产</v>
      </c>
      <c r="B2" s="3080"/>
      <c r="C2" s="3080"/>
      <c r="D2" s="3080"/>
      <c r="E2" s="3080"/>
      <c r="F2" s="3080"/>
      <c r="G2" s="3080"/>
      <c r="H2" s="3080"/>
      <c r="I2" s="3081"/>
    </row>
    <row r="3" spans="1:12" ht="12.75">
      <c r="A3" s="3083" t="s">
        <v>2122</v>
      </c>
      <c r="B3" s="3084"/>
      <c r="C3" s="3084"/>
      <c r="D3" s="3084"/>
      <c r="E3" s="3084"/>
      <c r="F3" s="3084"/>
      <c r="G3" s="3084"/>
      <c r="H3" s="3084"/>
      <c r="I3" s="3084"/>
    </row>
    <row r="4" spans="1:12" ht="14.25">
      <c r="A4" s="2426" t="s">
        <v>2123</v>
      </c>
      <c r="B4" s="2427" t="s">
        <v>2124</v>
      </c>
      <c r="C4" s="2428" t="s">
        <v>3281</v>
      </c>
      <c r="D4" s="2428" t="s">
        <v>3282</v>
      </c>
      <c r="E4" s="3076" t="s">
        <v>2125</v>
      </c>
      <c r="F4" s="3077"/>
      <c r="G4" s="3077"/>
      <c r="H4" s="3077"/>
      <c r="I4" s="308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059" t="s">
        <v>2126</v>
      </c>
      <c r="B5" s="2997">
        <v>25</v>
      </c>
      <c r="C5" s="3062"/>
      <c r="D5" s="3082"/>
      <c r="E5" s="140" t="s">
        <v>2127</v>
      </c>
      <c r="F5" s="2430"/>
      <c r="G5" s="2430"/>
      <c r="H5" s="2430"/>
      <c r="I5" s="1831"/>
    </row>
    <row r="6" spans="1:12" ht="12.75">
      <c r="A6" s="3059"/>
      <c r="B6" s="2997"/>
      <c r="C6" s="3063"/>
      <c r="D6" s="3082"/>
      <c r="E6" s="140" t="s">
        <v>2128</v>
      </c>
      <c r="F6" s="2430"/>
      <c r="G6" s="2430"/>
      <c r="H6" s="2430"/>
      <c r="I6" s="1831"/>
    </row>
    <row r="7" spans="1:12" ht="12.75">
      <c r="A7" s="3059"/>
      <c r="B7" s="2997"/>
      <c r="C7" s="3064"/>
      <c r="D7" s="3082"/>
      <c r="E7" s="140" t="s">
        <v>2129</v>
      </c>
      <c r="F7" s="2430"/>
      <c r="G7" s="2430"/>
      <c r="H7" s="2430"/>
      <c r="I7" s="1831"/>
    </row>
    <row r="8" spans="1:12" ht="12.75">
      <c r="A8" s="3059" t="s">
        <v>2130</v>
      </c>
      <c r="B8" s="2997">
        <v>15</v>
      </c>
      <c r="C8" s="3062"/>
      <c r="D8" s="3082"/>
      <c r="E8" s="140" t="s">
        <v>2131</v>
      </c>
      <c r="F8" s="2430"/>
      <c r="G8" s="2430"/>
      <c r="H8" s="2430"/>
      <c r="I8" s="1831"/>
    </row>
    <row r="9" spans="1:12" ht="12.75">
      <c r="A9" s="3059"/>
      <c r="B9" s="2997"/>
      <c r="C9" s="3064"/>
      <c r="D9" s="3082"/>
      <c r="E9" s="140" t="s">
        <v>2132</v>
      </c>
      <c r="F9" s="2430"/>
      <c r="G9" s="2430"/>
      <c r="H9" s="2430"/>
      <c r="I9" s="1831"/>
    </row>
    <row r="10" spans="1:12" ht="12.75">
      <c r="A10" s="3059" t="s">
        <v>2133</v>
      </c>
      <c r="B10" s="2997">
        <v>15</v>
      </c>
      <c r="C10" s="3062"/>
      <c r="D10" s="3082"/>
      <c r="E10" s="140" t="s">
        <v>2134</v>
      </c>
      <c r="F10" s="2430"/>
      <c r="G10" s="2430"/>
      <c r="H10" s="2430"/>
      <c r="I10" s="1831"/>
    </row>
    <row r="11" spans="1:12" ht="12.75">
      <c r="A11" s="3059"/>
      <c r="B11" s="2997"/>
      <c r="C11" s="3064"/>
      <c r="D11" s="3082"/>
      <c r="E11" s="140" t="s">
        <v>2135</v>
      </c>
      <c r="F11" s="2430"/>
      <c r="G11" s="2430"/>
      <c r="H11" s="2430"/>
      <c r="I11" s="1831"/>
    </row>
    <row r="12" spans="1:12" ht="12.75">
      <c r="A12" s="3059" t="s">
        <v>2136</v>
      </c>
      <c r="B12" s="2997">
        <v>15</v>
      </c>
      <c r="C12" s="3062"/>
      <c r="D12" s="3082"/>
      <c r="E12" s="140" t="s">
        <v>2137</v>
      </c>
      <c r="F12" s="2430"/>
      <c r="G12" s="2430"/>
      <c r="H12" s="2430"/>
      <c r="I12" s="1831"/>
    </row>
    <row r="13" spans="1:12" ht="12.75">
      <c r="A13" s="3059"/>
      <c r="B13" s="2997"/>
      <c r="C13" s="3064"/>
      <c r="D13" s="3082"/>
      <c r="E13" s="140" t="s">
        <v>2138</v>
      </c>
      <c r="F13" s="2430"/>
      <c r="G13" s="2430"/>
      <c r="H13" s="2430"/>
      <c r="I13" s="1831"/>
    </row>
    <row r="14" spans="1:12" ht="12.75">
      <c r="A14" s="3059" t="s">
        <v>2139</v>
      </c>
      <c r="B14" s="2997">
        <v>30</v>
      </c>
      <c r="C14" s="3062">
        <v>5</v>
      </c>
      <c r="D14" s="3082">
        <v>5</v>
      </c>
      <c r="E14" s="140" t="s">
        <v>2140</v>
      </c>
      <c r="F14" s="2430"/>
      <c r="G14" s="2430"/>
      <c r="H14" s="2430"/>
      <c r="I14" s="1831"/>
    </row>
    <row r="15" spans="1:12" ht="12.75">
      <c r="A15" s="3059"/>
      <c r="B15" s="2997"/>
      <c r="C15" s="3063"/>
      <c r="D15" s="3082"/>
      <c r="E15" s="140" t="s">
        <v>2141</v>
      </c>
      <c r="F15" s="2430"/>
      <c r="G15" s="2430"/>
      <c r="H15" s="2430"/>
      <c r="I15" s="1831"/>
    </row>
    <row r="16" spans="1:12" ht="12.75">
      <c r="A16" s="3059"/>
      <c r="B16" s="2997"/>
      <c r="C16" s="3064"/>
      <c r="D16" s="3082"/>
      <c r="E16" s="140" t="s">
        <v>2142</v>
      </c>
      <c r="F16" s="2430"/>
      <c r="G16" s="2430"/>
      <c r="H16" s="2430"/>
      <c r="I16" s="1831"/>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14581.819999999996</v>
      </c>
      <c r="M18" s="2429">
        <f>IF(C1="",'数据-汇总表'!E3,SUMIF(项目类型,C1,'数据-汇总表'!E17:E26))</f>
        <v>14581.819999999996</v>
      </c>
    </row>
    <row r="19" spans="1:35" ht="15">
      <c r="A19" s="2435" t="s">
        <v>2148</v>
      </c>
      <c r="B19" s="2436" t="s">
        <v>2149</v>
      </c>
      <c r="C19" s="143">
        <f ca="1">SUMIF(INDIRECT("'"&amp;C4&amp;"'"&amp;"!A:A"),结果表!B19,INDIRECT("'"&amp;C4&amp;"'"&amp;"!B:B"))</f>
        <v>89082</v>
      </c>
      <c r="D19" s="144">
        <f ca="1">SUMIF(INDIRECT("'"&amp;D4&amp;"'"&amp;"!A:A"),结果表!B19,INDIRECT("'"&amp;D4&amp;"'"&amp;"!B:B"))</f>
        <v>80272</v>
      </c>
      <c r="E19" s="2435" t="s">
        <v>2150</v>
      </c>
      <c r="F19" s="2436" t="s">
        <v>2149</v>
      </c>
      <c r="G19" s="145">
        <f ca="1">ROUND(C19*$C$18+D19*$D$18,0)</f>
        <v>84677</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47" t="s">
        <v>2153</v>
      </c>
      <c r="C20" s="146">
        <f ca="1">SUMIF(INDIRECT("'"&amp;C4&amp;"'"&amp;"!A:A"),结果表!B20,INDIRECT("'"&amp;C4&amp;"'"&amp;"!B:B"))</f>
        <v>61091</v>
      </c>
      <c r="D20" s="147">
        <f ca="1">SUMIF(INDIRECT("'"&amp;D4&amp;"'"&amp;"!A:A"),结果表!B20,INDIRECT("'"&amp;D4&amp;"'"&amp;"!B:B"))</f>
        <v>55049</v>
      </c>
      <c r="E20" s="2438"/>
      <c r="F20" s="1247" t="s">
        <v>2153</v>
      </c>
      <c r="G20" s="148">
        <f ca="1">ROUND(C20*$C$18+D20*$D$18,0)</f>
        <v>58070</v>
      </c>
      <c r="H20" s="980" t="s">
        <v>2154</v>
      </c>
      <c r="I20" s="138"/>
    </row>
    <row r="21" spans="1:35" ht="15" customHeight="1" thickBot="1">
      <c r="A21" s="1000"/>
      <c r="B21" s="2439" t="s">
        <v>2155</v>
      </c>
      <c r="C21" s="789" t="e">
        <f ca="1">ROUND(C19*10000/L19,0)</f>
        <v>#DIV/0!</v>
      </c>
      <c r="D21" s="790" t="e">
        <f ca="1">ROUND(D19*10000/L19,0)</f>
        <v>#DIV/0!</v>
      </c>
      <c r="E21" s="1000"/>
      <c r="F21" s="2439" t="s">
        <v>2155</v>
      </c>
      <c r="G21" s="149" t="e">
        <f ca="1">ROUND(G19*10000/L19,0)</f>
        <v>#DIV/0!</v>
      </c>
      <c r="H21" s="2440" t="s">
        <v>2154</v>
      </c>
      <c r="I21" s="138"/>
    </row>
    <row r="22" spans="1:35" ht="15" thickBot="1">
      <c r="A22" s="2281" t="s">
        <v>2156</v>
      </c>
      <c r="B22" s="2441"/>
      <c r="C22" s="2442"/>
      <c r="D22" s="791">
        <f ca="1">IF(C19&lt;D19,D19/C19-1,C19/D19-1)</f>
        <v>0.10975184373131364</v>
      </c>
      <c r="E22" s="138"/>
      <c r="F22" s="138"/>
      <c r="G22" s="138"/>
      <c r="H22" s="138"/>
      <c r="I22" s="138"/>
    </row>
    <row r="23" spans="1:35" ht="13.5" thickBot="1">
      <c r="A23" s="2419"/>
      <c r="B23" s="2419"/>
      <c r="C23" s="2419"/>
      <c r="D23" s="2419"/>
      <c r="E23" s="138"/>
      <c r="F23" s="138"/>
      <c r="G23" s="138"/>
      <c r="H23" s="138"/>
      <c r="I23" s="138"/>
    </row>
    <row r="24" spans="1:35" ht="14.25">
      <c r="A24" s="3053" t="s">
        <v>2157</v>
      </c>
      <c r="B24" s="2436" t="s">
        <v>2149</v>
      </c>
      <c r="C24" s="145">
        <f>IF(B30=0,0,D30)</f>
        <v>0</v>
      </c>
      <c r="D24" s="2443"/>
      <c r="E24" s="138"/>
      <c r="F24" s="138"/>
      <c r="G24" s="138"/>
      <c r="H24" s="138"/>
      <c r="I24" s="138"/>
    </row>
    <row r="25" spans="1:35" ht="14.25">
      <c r="A25" s="3054"/>
      <c r="B25" s="1247"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18" t="s">
        <v>3037</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2163</v>
      </c>
      <c r="B32" s="2449"/>
      <c r="C32" s="153">
        <f ca="1">IF(D32="总价",G19-C24,G20-C25)</f>
        <v>84677</v>
      </c>
      <c r="D32" s="2450" t="s">
        <v>2164</v>
      </c>
      <c r="E32" s="138"/>
      <c r="F32" s="138"/>
      <c r="G32" s="138"/>
      <c r="H32" s="138"/>
      <c r="I32" s="138"/>
    </row>
    <row r="33" spans="1:15" ht="15">
      <c r="A33" s="957"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2168</v>
      </c>
      <c r="F34" s="1736"/>
      <c r="G34" s="138"/>
      <c r="H34" s="138"/>
      <c r="I34" s="138"/>
    </row>
    <row r="35" spans="1:15" ht="15.75" thickBot="1">
      <c r="A35" s="2459"/>
      <c r="B35" s="2460"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071" t="s">
        <v>2171</v>
      </c>
      <c r="B36" s="2462" t="s">
        <v>2172</v>
      </c>
      <c r="C36" s="154"/>
      <c r="D36" s="2463"/>
      <c r="E36" s="2464"/>
      <c r="F36" s="2465"/>
      <c r="G36" s="138"/>
      <c r="H36" s="138"/>
      <c r="I36" s="138"/>
    </row>
    <row r="37" spans="1:15" ht="15.75" thickBot="1">
      <c r="A37" s="3072"/>
      <c r="B37" s="2267" t="s">
        <v>2173</v>
      </c>
      <c r="C37" s="156"/>
      <c r="D37" s="1392"/>
      <c r="E37" s="1392"/>
      <c r="F37" s="2465"/>
      <c r="G37" s="138"/>
      <c r="H37" s="138"/>
      <c r="I37" s="138"/>
    </row>
    <row r="38" spans="1:15" ht="15.75" thickBot="1">
      <c r="A38" s="3073"/>
      <c r="B38" s="2466" t="s">
        <v>2174</v>
      </c>
      <c r="C38" s="727"/>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50" t="s">
        <v>2185</v>
      </c>
      <c r="B45" s="3051"/>
      <c r="C45" s="3052"/>
      <c r="D45" s="164">
        <f ca="1">ROUND(H101*F45,0)</f>
        <v>84677</v>
      </c>
      <c r="E45" s="165" t="s">
        <v>2186</v>
      </c>
      <c r="F45" s="166">
        <v>1</v>
      </c>
      <c r="G45" s="167" t="s">
        <v>2187</v>
      </c>
      <c r="H45" s="138"/>
      <c r="I45" s="138"/>
      <c r="J45" s="3110" t="s">
        <v>2188</v>
      </c>
      <c r="K45" s="3110"/>
      <c r="L45" s="3110"/>
      <c r="M45" s="3110"/>
      <c r="N45" s="3110"/>
      <c r="O45" s="3110"/>
    </row>
    <row r="46" spans="1:15" ht="14.25" customHeight="1">
      <c r="A46" s="3047" t="s">
        <v>2189</v>
      </c>
      <c r="B46" s="3048"/>
      <c r="C46" s="3048"/>
      <c r="D46" s="3048"/>
      <c r="E46" s="3048"/>
      <c r="F46" s="3048"/>
      <c r="G46" s="3049"/>
      <c r="H46" s="2481"/>
      <c r="I46" s="168"/>
      <c r="J46" s="1809">
        <v>1</v>
      </c>
      <c r="K46" s="3110" t="s">
        <v>2190</v>
      </c>
      <c r="L46" s="3110"/>
      <c r="M46" s="3130"/>
      <c r="N46" s="3130"/>
      <c r="O46" s="3130"/>
    </row>
    <row r="47" spans="1:15" ht="12" customHeight="1">
      <c r="A47" s="169" t="s">
        <v>2191</v>
      </c>
      <c r="B47" s="170"/>
      <c r="C47" s="171"/>
      <c r="D47" s="172" t="s">
        <v>2192</v>
      </c>
      <c r="E47" s="24" t="s">
        <v>2193</v>
      </c>
      <c r="F47" s="173" t="s">
        <v>2194</v>
      </c>
      <c r="G47" s="174" t="s">
        <v>2195</v>
      </c>
      <c r="H47" s="2481"/>
      <c r="I47" s="168"/>
      <c r="J47" s="1809">
        <v>2</v>
      </c>
      <c r="K47" s="3110" t="s">
        <v>2196</v>
      </c>
      <c r="L47" s="3110"/>
      <c r="M47" s="3131">
        <f>'数据-取费表'!B2</f>
        <v>43609</v>
      </c>
      <c r="N47" s="3131"/>
      <c r="O47" s="3131"/>
    </row>
    <row r="48" spans="1:15" ht="25.5">
      <c r="A48" s="3078" t="s">
        <v>2197</v>
      </c>
      <c r="B48" s="3061"/>
      <c r="C48" s="3061"/>
      <c r="D48" s="140">
        <f>IF(H48="情况1",0,IF(H48="情况2",D52,IF(H48="情况3",D53,IF(H48="情况4",D54))))</f>
        <v>0</v>
      </c>
      <c r="E48" s="1798" t="str">
        <f>IF(H48="情况4","(销售额-原购置价)×税（费）率","销售额×税（费）率")</f>
        <v>销售额×税（费）率</v>
      </c>
      <c r="F48" s="175" t="str">
        <f>IF(H48="情况1","免征",'数据-取费表'!B41)</f>
        <v>免征</v>
      </c>
      <c r="G48" s="2482" t="s">
        <v>2198</v>
      </c>
      <c r="H48" s="2483" t="s">
        <v>2199</v>
      </c>
      <c r="I48" s="2481"/>
      <c r="J48" s="1809">
        <v>3</v>
      </c>
      <c r="K48" s="3110" t="s">
        <v>2200</v>
      </c>
      <c r="L48" s="3110"/>
      <c r="M48" s="3132">
        <f ca="1">H101</f>
        <v>84677</v>
      </c>
      <c r="N48" s="3132"/>
      <c r="O48" s="3132"/>
    </row>
    <row r="49" spans="1:35" ht="25.5" customHeight="1">
      <c r="A49" s="176" t="s">
        <v>2201</v>
      </c>
      <c r="B49" s="3046" t="s">
        <v>2202</v>
      </c>
      <c r="C49" s="3046"/>
      <c r="D49" s="177">
        <v>0</v>
      </c>
      <c r="E49" s="23" t="s">
        <v>2203</v>
      </c>
      <c r="F49" s="28" t="s">
        <v>34</v>
      </c>
      <c r="G49" s="3116"/>
      <c r="H49" s="138"/>
      <c r="I49" s="2484"/>
      <c r="J49" s="1809">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8"/>
      <c r="B50" s="3046" t="s">
        <v>2204</v>
      </c>
      <c r="C50" s="3046"/>
      <c r="D50" s="179"/>
      <c r="E50" s="31"/>
      <c r="F50" s="180"/>
      <c r="G50" s="3117"/>
      <c r="H50" s="138"/>
      <c r="I50" s="2484"/>
      <c r="J50" s="3110" t="s">
        <v>2205</v>
      </c>
      <c r="K50" s="3110"/>
      <c r="L50" s="3110"/>
      <c r="M50" s="3110"/>
      <c r="N50" s="3110"/>
      <c r="O50" s="3110"/>
    </row>
    <row r="51" spans="1:35" ht="12" customHeight="1">
      <c r="A51" s="181"/>
      <c r="B51" s="3046" t="s">
        <v>2206</v>
      </c>
      <c r="C51" s="3046"/>
      <c r="D51" s="182"/>
      <c r="E51" s="30"/>
      <c r="F51" s="180"/>
      <c r="G51" s="3118"/>
      <c r="H51" s="138"/>
      <c r="I51" s="2484"/>
      <c r="J51" s="2485" t="s">
        <v>2207</v>
      </c>
      <c r="K51" s="3110" t="s">
        <v>2208</v>
      </c>
      <c r="L51" s="3110"/>
      <c r="M51" s="2485" t="s">
        <v>2209</v>
      </c>
      <c r="N51" s="2485" t="s">
        <v>2210</v>
      </c>
      <c r="O51" s="2485" t="s">
        <v>2211</v>
      </c>
    </row>
    <row r="52" spans="1:35" ht="24" customHeight="1">
      <c r="A52" s="183" t="s">
        <v>2212</v>
      </c>
      <c r="B52" s="3046" t="s">
        <v>2213</v>
      </c>
      <c r="C52" s="3046"/>
      <c r="D52" s="182">
        <f ca="1">ROUND(D45*'数据-取费表'!B41/(1+'数据-取费表'!C42),0)</f>
        <v>4435</v>
      </c>
      <c r="E52" s="11" t="s">
        <v>2214</v>
      </c>
      <c r="F52" s="184">
        <f>'数据-取费表'!B41</f>
        <v>5.5000000000000007E-2</v>
      </c>
      <c r="G52" s="2486"/>
      <c r="H52" s="138"/>
      <c r="I52" s="2484"/>
      <c r="J52" s="1809">
        <v>1</v>
      </c>
      <c r="K52" s="3111" t="s">
        <v>2215</v>
      </c>
      <c r="L52" s="3111"/>
      <c r="M52" s="1751">
        <f>D48</f>
        <v>0</v>
      </c>
      <c r="N52" s="1809" t="str">
        <f>E48</f>
        <v>销售额×税（费）率</v>
      </c>
      <c r="O52" s="1752" t="str">
        <f>F48</f>
        <v>免征</v>
      </c>
    </row>
    <row r="53" spans="1:35" ht="12" customHeight="1">
      <c r="A53" s="183" t="s">
        <v>2216</v>
      </c>
      <c r="B53" s="3069" t="s">
        <v>2217</v>
      </c>
      <c r="C53" s="3070"/>
      <c r="D53" s="182">
        <f ca="1">ROUND(D45*'数据-取费表'!B41/(1+'数据-取费表'!C42),0)</f>
        <v>4435</v>
      </c>
      <c r="E53" s="11" t="s">
        <v>2214</v>
      </c>
      <c r="F53" s="184">
        <f>'数据-取费表'!B41</f>
        <v>5.5000000000000007E-2</v>
      </c>
      <c r="G53" s="2486"/>
      <c r="H53" s="138"/>
      <c r="I53" s="2484"/>
      <c r="J53" s="1809">
        <v>2</v>
      </c>
      <c r="K53" s="3111" t="s">
        <v>2218</v>
      </c>
      <c r="L53" s="3111"/>
      <c r="M53" s="1751">
        <f t="shared" ref="M53:O54" ca="1" si="0">D55</f>
        <v>42</v>
      </c>
      <c r="N53" s="1809" t="str">
        <f t="shared" si="0"/>
        <v>销售额×税（费）率</v>
      </c>
      <c r="O53" s="1752">
        <f t="shared" si="0"/>
        <v>5.0000000000000001E-4</v>
      </c>
    </row>
    <row r="54" spans="1:35" ht="12" customHeight="1">
      <c r="A54" s="183" t="s">
        <v>2219</v>
      </c>
      <c r="B54" s="3069" t="s">
        <v>2220</v>
      </c>
      <c r="C54" s="3070"/>
      <c r="D54" s="182">
        <f ca="1">C68</f>
        <v>4435</v>
      </c>
      <c r="E54" s="30" t="s">
        <v>2221</v>
      </c>
      <c r="F54" s="184">
        <f>'数据-取费表'!B41</f>
        <v>5.5000000000000007E-2</v>
      </c>
      <c r="G54" s="2486"/>
      <c r="H54" s="2487"/>
      <c r="I54" s="2484"/>
      <c r="J54" s="1809">
        <v>3</v>
      </c>
      <c r="K54" s="3111" t="s">
        <v>2222</v>
      </c>
      <c r="L54" s="3111"/>
      <c r="M54" s="1751">
        <f t="shared" ca="1" si="0"/>
        <v>48004</v>
      </c>
      <c r="N54" s="1809" t="str">
        <f t="shared" si="0"/>
        <v>增值额×税（费）率</v>
      </c>
      <c r="O54" s="1753" t="str">
        <f t="shared" si="0"/>
        <v>——</v>
      </c>
    </row>
    <row r="55" spans="1:35" ht="24" customHeight="1">
      <c r="A55" s="3060" t="s">
        <v>2223</v>
      </c>
      <c r="B55" s="3061"/>
      <c r="C55" s="3061"/>
      <c r="D55" s="185">
        <f ca="1">IF(H55="个人住宅",0,ROUND(D45*I55,0))</f>
        <v>42</v>
      </c>
      <c r="E55" s="11" t="s">
        <v>2224</v>
      </c>
      <c r="F55" s="184">
        <f>IF(H55="正常",I55,"免征")</f>
        <v>5.0000000000000001E-4</v>
      </c>
      <c r="G55" s="2486"/>
      <c r="H55" s="2483" t="s">
        <v>2225</v>
      </c>
      <c r="I55" s="186">
        <f>'数据-取费表'!B49</f>
        <v>5.0000000000000001E-4</v>
      </c>
      <c r="J55" s="1809" t="str">
        <f>IF(H59="非个人房产","",4)</f>
        <v/>
      </c>
      <c r="K55" s="3111" t="str">
        <f>IF(H59="非个人房产","——","个人所得税")</f>
        <v>——</v>
      </c>
      <c r="L55" s="3111"/>
      <c r="M55" s="1754" t="str">
        <f>D59</f>
        <v>——</v>
      </c>
      <c r="N55" s="1807" t="str">
        <f>E59</f>
        <v>——</v>
      </c>
      <c r="O55" s="1755" t="str">
        <f>F59</f>
        <v>——</v>
      </c>
    </row>
    <row r="56" spans="1:35" ht="24.75">
      <c r="A56" s="3060" t="s">
        <v>2226</v>
      </c>
      <c r="B56" s="3061"/>
      <c r="C56" s="3061"/>
      <c r="D56" s="185">
        <f ca="1">IF(H56="个人住宅",D57,D58)</f>
        <v>48004</v>
      </c>
      <c r="E56" s="11" t="s">
        <v>2227</v>
      </c>
      <c r="F56" s="184" t="str">
        <f>IF(H56="正常",F58,"免征")</f>
        <v>——</v>
      </c>
      <c r="G56" s="2488" t="s">
        <v>2228</v>
      </c>
      <c r="H56" s="2489" t="s">
        <v>2225</v>
      </c>
      <c r="I56" s="2490"/>
      <c r="J56" s="1809" t="str">
        <f>IF(项目基本情况!K6="上海银行",IF(J55="",4,J55+1),"")</f>
        <v/>
      </c>
      <c r="K56" s="3134" t="str">
        <f>IF(项目基本情况!K6="上海银行","其他处置费用","")</f>
        <v/>
      </c>
      <c r="L56" s="3135"/>
      <c r="M56" s="1751" t="str">
        <f>IF(项目基本情况!K6="上海银行",M69,"")</f>
        <v/>
      </c>
      <c r="N56" s="3137" t="str">
        <f>IF(项目基本情况!K6="上海银行","包含处置中涉及的律师、诉讼、拍卖、评估等费用","")</f>
        <v/>
      </c>
      <c r="O56" s="3138"/>
    </row>
    <row r="57" spans="1:35" ht="12.75">
      <c r="A57" s="183" t="s">
        <v>2201</v>
      </c>
      <c r="B57" s="3076" t="s">
        <v>2229</v>
      </c>
      <c r="C57" s="3085"/>
      <c r="D57" s="187">
        <v>0</v>
      </c>
      <c r="E57" s="23" t="s">
        <v>2203</v>
      </c>
      <c r="F57" s="155"/>
      <c r="G57" s="2486"/>
      <c r="H57" s="2490"/>
      <c r="I57" s="2490"/>
      <c r="J57" s="3111">
        <f>IF(AND(J55="",J56=""),4,IF(项目基本情况!K6="上海银行",结果表!J56+1,结果表!J55+1))</f>
        <v>4</v>
      </c>
      <c r="K57" s="3111" t="s">
        <v>2230</v>
      </c>
      <c r="L57" s="2491" t="s">
        <v>2231</v>
      </c>
      <c r="M57" s="1756"/>
      <c r="N57" s="1757">
        <f ca="1">SUMIF(M52:M56,"&lt;9e307")</f>
        <v>48046</v>
      </c>
      <c r="O57" s="2492"/>
      <c r="P57" s="1750" t="e">
        <f ca="1">N57/M49</f>
        <v>#VALUE!</v>
      </c>
    </row>
    <row r="58" spans="1:35" ht="24.75">
      <c r="A58" s="183" t="s">
        <v>2212</v>
      </c>
      <c r="B58" s="3076" t="s">
        <v>2232</v>
      </c>
      <c r="C58" s="3077"/>
      <c r="D58" s="185">
        <f ca="1">IF(H58="转让取得",C81,C97)</f>
        <v>48004</v>
      </c>
      <c r="E58" s="11" t="s">
        <v>2227</v>
      </c>
      <c r="F58" s="24" t="s">
        <v>34</v>
      </c>
      <c r="G58" s="2486"/>
      <c r="H58" s="2489" t="s">
        <v>2233</v>
      </c>
      <c r="I58" s="2490"/>
      <c r="J58" s="3111"/>
      <c r="K58" s="3111"/>
      <c r="L58" s="2491" t="s">
        <v>2234</v>
      </c>
      <c r="M58" s="1758"/>
      <c r="N58" s="2493" t="str">
        <f ca="1">NUMBERSTRING(INT(N57*10000),2)&amp;"元整"</f>
        <v>肆亿捌仟零肆拾陆万元整</v>
      </c>
      <c r="O58" s="2494"/>
    </row>
    <row r="59" spans="1:35" ht="24.75" thickBot="1">
      <c r="A59" s="3114" t="s">
        <v>2235</v>
      </c>
      <c r="B59" s="3115"/>
      <c r="C59" s="3115"/>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12">
        <f>J57+1</f>
        <v>5</v>
      </c>
      <c r="K59" s="3111" t="s">
        <v>2237</v>
      </c>
      <c r="L59" s="1809" t="s">
        <v>2231</v>
      </c>
      <c r="M59" s="1759"/>
      <c r="N59" s="1760" t="e">
        <f ca="1">M49-N57</f>
        <v>#VALUE!</v>
      </c>
      <c r="O59" s="2496"/>
    </row>
    <row r="60" spans="1:35" ht="12" customHeight="1">
      <c r="A60" s="2497"/>
      <c r="B60" s="2419"/>
      <c r="C60" s="2419"/>
      <c r="D60" s="2419"/>
      <c r="E60" s="2167"/>
      <c r="F60" s="2490"/>
      <c r="G60" s="2490"/>
      <c r="H60" s="2498"/>
      <c r="I60" s="138"/>
      <c r="J60" s="3113"/>
      <c r="K60" s="3111"/>
      <c r="L60" s="2491" t="s">
        <v>2234</v>
      </c>
      <c r="M60" s="1758"/>
      <c r="N60" s="2493" t="e">
        <f ca="1">NUMBERSTRING(INT(N59*10000),2)&amp;"元整"</f>
        <v>#VALUE!</v>
      </c>
      <c r="O60" s="2494"/>
    </row>
    <row r="61" spans="1:35" ht="13.5" thickBot="1">
      <c r="A61" s="3058" t="s">
        <v>2238</v>
      </c>
      <c r="B61" s="3058"/>
      <c r="C61" s="3058"/>
      <c r="D61" s="3058"/>
      <c r="E61" s="3058"/>
      <c r="F61" s="2490"/>
      <c r="G61" s="2490"/>
      <c r="H61" s="2498"/>
      <c r="I61" s="138"/>
      <c r="J61" s="1809">
        <f>J59+1</f>
        <v>6</v>
      </c>
      <c r="K61" s="3111" t="s">
        <v>2239</v>
      </c>
      <c r="L61" s="3111"/>
      <c r="M61" s="1761"/>
      <c r="N61" s="1762" t="e">
        <f ca="1">ROUND(N59*10000/'数据-汇总表'!E3,0)</f>
        <v>#VALUE!</v>
      </c>
      <c r="O61" s="2499"/>
    </row>
    <row r="62" spans="1:35" ht="12.75">
      <c r="A62" s="3074" t="s">
        <v>2240</v>
      </c>
      <c r="B62" s="3075"/>
      <c r="C62" s="1801"/>
      <c r="D62" s="1801" t="s">
        <v>2241</v>
      </c>
      <c r="E62" s="192" t="s">
        <v>2242</v>
      </c>
      <c r="F62" s="2490"/>
      <c r="G62" s="2490"/>
      <c r="H62" s="2498"/>
      <c r="I62" s="138"/>
    </row>
    <row r="63" spans="1:35" ht="12.75">
      <c r="A63" s="203" t="s">
        <v>775</v>
      </c>
      <c r="B63" s="193" t="s">
        <v>2243</v>
      </c>
      <c r="C63" s="194">
        <f ca="1">ROUND((C64+C65)/(1+'数据-取费表'!C42),0)</f>
        <v>80645</v>
      </c>
      <c r="D63" s="195"/>
      <c r="E63" s="196"/>
      <c r="F63" s="2490"/>
      <c r="G63" s="2490"/>
      <c r="H63" s="2498"/>
      <c r="I63" s="138"/>
      <c r="J63" s="3136" t="s">
        <v>2244</v>
      </c>
      <c r="K63" s="2500" t="s">
        <v>2245</v>
      </c>
      <c r="L63" s="1749" t="e">
        <f>IF(M49&gt;10000,M49*0.5%,IF(AND(M49&gt;1000,M49&lt;=10000),M49*1%,IF(AND(M49&gt;100,M49&lt;=1000),M49*3%,IF(AND(M49&gt;10,M49&lt;=100),M49*5%,M49*8%))))</f>
        <v>#VALUE!</v>
      </c>
      <c r="M63" s="24" t="e">
        <f>ROUND(L63,1)</f>
        <v>#VALUE!</v>
      </c>
      <c r="Z63" s="2424"/>
      <c r="AI63" s="2425"/>
    </row>
    <row r="64" spans="1:35" ht="14.25" customHeight="1">
      <c r="A64" s="197" t="s">
        <v>770</v>
      </c>
      <c r="B64" s="198" t="s">
        <v>2246</v>
      </c>
      <c r="C64" s="199">
        <f ca="1">D45</f>
        <v>84677</v>
      </c>
      <c r="D64" s="200" t="s">
        <v>32</v>
      </c>
      <c r="E64" s="201"/>
      <c r="F64" s="2490"/>
      <c r="G64" s="2490"/>
      <c r="H64" s="2498"/>
      <c r="I64" s="138"/>
      <c r="J64" s="3136"/>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customHeight="1">
      <c r="A65" s="197" t="s">
        <v>771</v>
      </c>
      <c r="B65" s="198" t="s">
        <v>2249</v>
      </c>
      <c r="C65" s="202"/>
      <c r="D65" s="200"/>
      <c r="E65" s="201"/>
      <c r="F65" s="2490"/>
      <c r="G65" s="2490"/>
      <c r="H65" s="2498"/>
      <c r="I65" s="138"/>
      <c r="J65" s="3136"/>
      <c r="K65" s="2500" t="s">
        <v>2250</v>
      </c>
      <c r="L65" s="1749" t="e">
        <f>IF(M49&gt;1000,M49*0.1%,IF(AND(M49&gt;500,M49&lt;=1000),M49*0.5%,IF(AND(M49&gt;50,M49&lt;=500),M49*1%,IF(AND(M49&gt;1,M49&lt;=50),M49*1.5%))))</f>
        <v>#VALUE!</v>
      </c>
      <c r="M65" s="24" t="e">
        <f t="shared" si="1"/>
        <v>#VALUE!</v>
      </c>
      <c r="N65" s="138" t="s">
        <v>2248</v>
      </c>
      <c r="Z65" s="2424"/>
      <c r="AI65" s="2425"/>
    </row>
    <row r="66" spans="1:35" ht="14.25" customHeight="1">
      <c r="A66" s="203" t="s">
        <v>772</v>
      </c>
      <c r="B66" s="204" t="s">
        <v>2251</v>
      </c>
      <c r="C66" s="205"/>
      <c r="D66" s="206" t="s">
        <v>32</v>
      </c>
      <c r="E66" s="1773" t="s">
        <v>1367</v>
      </c>
      <c r="F66" s="2490"/>
      <c r="G66" s="2490"/>
      <c r="H66" s="2498"/>
      <c r="I66" s="138"/>
      <c r="J66" s="3136"/>
      <c r="K66" s="2500" t="s">
        <v>2252</v>
      </c>
      <c r="L66" s="1749" t="e">
        <f>M49*0.5%</f>
        <v>#VALUE!</v>
      </c>
      <c r="M66" s="24" t="e">
        <f>IF(L66&gt;0.5,0.5,ROUND(L66,0))</f>
        <v>#VALUE!</v>
      </c>
      <c r="N66" s="138" t="s">
        <v>2253</v>
      </c>
      <c r="Z66" s="2424"/>
      <c r="AI66" s="2425"/>
    </row>
    <row r="67" spans="1:35" ht="14.25" customHeight="1">
      <c r="A67" s="203" t="s">
        <v>773</v>
      </c>
      <c r="B67" s="204" t="s">
        <v>2254</v>
      </c>
      <c r="C67" s="207">
        <f ca="1">C63-C66</f>
        <v>80645</v>
      </c>
      <c r="D67" s="200" t="s">
        <v>32</v>
      </c>
      <c r="E67" s="201"/>
      <c r="F67" s="2490"/>
      <c r="G67" s="2490"/>
      <c r="H67" s="2498"/>
      <c r="I67" s="138"/>
      <c r="J67" s="3136"/>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2256</v>
      </c>
      <c r="C68" s="210">
        <f ca="1">IF(C67&lt;=0,0,ROUND(C67*D68,0))</f>
        <v>4435</v>
      </c>
      <c r="D68" s="211">
        <f>'数据-取费表'!B41</f>
        <v>5.5000000000000007E-2</v>
      </c>
      <c r="E68" s="212"/>
      <c r="F68" s="2490"/>
      <c r="G68" s="2490"/>
      <c r="H68" s="2498"/>
      <c r="I68" s="138"/>
      <c r="J68" s="3136"/>
      <c r="K68" s="2500" t="s">
        <v>2257</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36"/>
      <c r="K69" s="2500" t="s">
        <v>2258</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5" t="s">
        <v>2259</v>
      </c>
      <c r="B70" s="3096"/>
      <c r="C70" s="3096"/>
      <c r="D70" s="3096"/>
      <c r="E70" s="3096"/>
      <c r="F70" s="3096"/>
      <c r="G70" s="3096"/>
      <c r="H70" s="309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4" t="s">
        <v>2240</v>
      </c>
      <c r="B71" s="3075"/>
      <c r="C71" s="1801"/>
      <c r="D71" s="1801"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f ca="1">ROUND(D45/(1+'数据-取费表'!C42),0)</f>
        <v>80645</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f ca="1">C74+C78</f>
        <v>403</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069" t="s">
        <v>2268</v>
      </c>
      <c r="F76" s="3046"/>
      <c r="G76" s="3046"/>
      <c r="H76" s="309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f ca="1">ROUND(D45*D78/(1+'数据-取费表'!C42),0)</f>
        <v>403</v>
      </c>
      <c r="D78" s="226">
        <f>'数据-取费表'!B43</f>
        <v>5.000000000000001E-3</v>
      </c>
      <c r="E78" s="3055" t="s">
        <v>2273</v>
      </c>
      <c r="F78" s="3056"/>
      <c r="G78" s="3056"/>
      <c r="H78" s="306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f ca="1">C72-C73</f>
        <v>80242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f ca="1">IF(C79&lt;=0,0,C79/C73)</f>
        <v>199.11166253101737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f ca="1">ROUND(IF(C79&lt;=0,0,IF(C80&gt;=200%,C79*60%-C73*35%,IF(C80&gt;=100%,C79*50%-C73*15%,IF(C80&gt;=50%,C79*40%-C73*5%,IF(C80&lt;50%,C79*30%,0))))),0)</f>
        <v>48004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5" t="s">
        <v>2277</v>
      </c>
      <c r="B83" s="3096"/>
      <c r="C83" s="3096"/>
      <c r="D83" s="3096"/>
      <c r="E83" s="3096"/>
      <c r="F83" s="3096"/>
      <c r="G83" s="3096"/>
      <c r="H83" s="309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4" t="s">
        <v>2240</v>
      </c>
      <c r="B84" s="3075"/>
      <c r="C84" s="1801"/>
      <c r="D84" s="1801"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f ca="1">ROUND(D45/(1+'数据-取费表'!C42),0)</f>
        <v>80645</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f ca="1">IF(H88="仅含出让金",C87+C90+C91+C92+C93+C94,C87+C91+C92+C93+C94)</f>
        <v>403</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7"/>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055" t="s">
        <v>2286</v>
      </c>
      <c r="F91" s="3056"/>
      <c r="G91" s="3056"/>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055" t="s">
        <v>2290</v>
      </c>
      <c r="F92" s="3056"/>
      <c r="G92" s="3056"/>
      <c r="H92" s="306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f ca="1">ROUND(D45*D93/(1+'数据-取费表'!C42),0)</f>
        <v>403</v>
      </c>
      <c r="D93" s="226">
        <f>'数据-取费表'!B43</f>
        <v>5.000000000000001E-3</v>
      </c>
      <c r="E93" s="3055" t="s">
        <v>2273</v>
      </c>
      <c r="F93" s="3056"/>
      <c r="G93" s="3056"/>
      <c r="H93" s="306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066" t="s">
        <v>2294</v>
      </c>
      <c r="F94" s="3067"/>
      <c r="G94" s="3067"/>
      <c r="H94" s="306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f ca="1">ROUND(C85-C86,0)</f>
        <v>80242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f ca="1">IF(C95&lt;=0,0,C95/C86)</f>
        <v>199.11166253101737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f ca="1">ROUND(IF(C95&lt;=0,0,IF(C96&gt;=200%,C95*60%-C86*35%,IF(C96&gt;=100%,C95*50%-C86*15%,IF(C96&gt;=50%,C95*40%-C86*5%,IF(C96&lt;50%,C95*30%,0))))),0)</f>
        <v>48004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040" t="s">
        <v>2296</v>
      </c>
      <c r="B100" s="3041"/>
      <c r="C100" s="3041"/>
      <c r="D100" s="3057"/>
      <c r="E100" s="3041" t="s">
        <v>2297</v>
      </c>
      <c r="F100" s="3041"/>
      <c r="G100" s="3041"/>
      <c r="H100" s="3057"/>
      <c r="I100" s="138"/>
    </row>
    <row r="101" spans="1:35" ht="18.75" customHeight="1">
      <c r="A101" s="3119" t="s">
        <v>2298</v>
      </c>
      <c r="B101" s="3120"/>
      <c r="C101" s="736" t="str">
        <f>C4</f>
        <v>成本法</v>
      </c>
      <c r="D101" s="737" t="str">
        <f>D4</f>
        <v>假设开发法</v>
      </c>
      <c r="E101" s="3133" t="s">
        <v>2299</v>
      </c>
      <c r="F101" s="3087"/>
      <c r="G101" s="2521" t="s">
        <v>2300</v>
      </c>
      <c r="H101" s="1045">
        <f ca="1">H118</f>
        <v>84677</v>
      </c>
      <c r="I101" s="138"/>
    </row>
    <row r="102" spans="1:35" ht="18.75" customHeight="1">
      <c r="A102" s="3089" t="s">
        <v>2301</v>
      </c>
      <c r="B102" s="2521" t="s">
        <v>2300</v>
      </c>
      <c r="C102" s="736">
        <f ca="1">C19</f>
        <v>89082</v>
      </c>
      <c r="D102" s="737">
        <f ca="1">D19</f>
        <v>80272</v>
      </c>
      <c r="E102" s="3133"/>
      <c r="F102" s="3087"/>
      <c r="G102" s="2521" t="s">
        <v>2302</v>
      </c>
      <c r="H102" s="371">
        <f ca="1">I118</f>
        <v>58070</v>
      </c>
      <c r="I102" s="138"/>
    </row>
    <row r="103" spans="1:35" ht="42.75" customHeight="1">
      <c r="A103" s="3089"/>
      <c r="B103" s="2521" t="s">
        <v>2302</v>
      </c>
      <c r="C103" s="738">
        <f ca="1">C20</f>
        <v>61091</v>
      </c>
      <c r="D103" s="739">
        <f ca="1">D20</f>
        <v>55049</v>
      </c>
      <c r="E103" s="3128" t="s">
        <v>2303</v>
      </c>
      <c r="F103" s="3129"/>
      <c r="G103" s="2522" t="s">
        <v>2304</v>
      </c>
      <c r="H103" s="1045">
        <f>IF(D36="正常操作",H104+H105+H106,H105+H106)</f>
        <v>0</v>
      </c>
      <c r="I103" s="138"/>
    </row>
    <row r="104" spans="1:35" ht="18.75" customHeight="1">
      <c r="A104" s="3089" t="s">
        <v>2305</v>
      </c>
      <c r="B104" s="2523" t="s">
        <v>2300</v>
      </c>
      <c r="C104" s="740">
        <f ca="1">H118</f>
        <v>84677</v>
      </c>
      <c r="D104" s="741"/>
      <c r="E104" s="2267" t="s">
        <v>2306</v>
      </c>
      <c r="F104" s="2259"/>
      <c r="G104" s="2522" t="s">
        <v>2304</v>
      </c>
      <c r="H104" s="1046">
        <f>IF(D36="同一抵押权人同一抵押物续贷",C36&amp;"（未扣减，详见特别提示）",C36)</f>
        <v>0</v>
      </c>
      <c r="I104" s="138"/>
    </row>
    <row r="105" spans="1:35" ht="18.75" customHeight="1" thickBot="1">
      <c r="A105" s="3090"/>
      <c r="B105" s="2524" t="s">
        <v>2302</v>
      </c>
      <c r="C105" s="742">
        <f ca="1">I118</f>
        <v>58070</v>
      </c>
      <c r="D105" s="743"/>
      <c r="E105" s="2267" t="s">
        <v>2307</v>
      </c>
      <c r="F105" s="2259"/>
      <c r="G105" s="2522" t="s">
        <v>2304</v>
      </c>
      <c r="H105" s="1046">
        <f>C37</f>
        <v>0</v>
      </c>
      <c r="I105" s="138"/>
    </row>
    <row r="106" spans="1:35" ht="18.75" customHeight="1">
      <c r="A106" s="2419" t="s">
        <v>2308</v>
      </c>
      <c r="B106" s="2419"/>
      <c r="C106" s="2419"/>
      <c r="D106" s="2419"/>
      <c r="E106" s="2525" t="s">
        <v>2309</v>
      </c>
      <c r="F106" s="2259"/>
      <c r="G106" s="2522" t="s">
        <v>2304</v>
      </c>
      <c r="H106" s="1046">
        <f>C38</f>
        <v>0</v>
      </c>
      <c r="I106" s="138"/>
    </row>
    <row r="107" spans="1:35" ht="18.75" customHeight="1">
      <c r="A107" s="138"/>
      <c r="B107" s="138"/>
      <c r="C107" s="138"/>
      <c r="D107" s="138"/>
      <c r="E107" s="3086" t="str">
        <f>IF(项目基本情况!E8="已注销","——","3.房地产抵押价值")</f>
        <v>3.房地产抵押价值</v>
      </c>
      <c r="F107" s="3087"/>
      <c r="G107" s="2521" t="s">
        <v>2300</v>
      </c>
      <c r="H107" s="1045">
        <f ca="1">IF(E107="——","——",H101-H103)</f>
        <v>84677</v>
      </c>
      <c r="I107" s="138"/>
    </row>
    <row r="108" spans="1:35" ht="18.75" customHeight="1">
      <c r="A108" s="138"/>
      <c r="B108" s="138"/>
      <c r="C108" s="138"/>
      <c r="D108" s="138"/>
      <c r="E108" s="3086"/>
      <c r="F108" s="3087"/>
      <c r="G108" s="2521" t="s">
        <v>2302</v>
      </c>
      <c r="H108" s="371">
        <f ca="1">ROUND(H107*10000/'数据-汇总表'!E3,0)</f>
        <v>58070</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21" t="s">
        <v>2300</v>
      </c>
      <c r="H109" s="348" t="str">
        <f>IF(E109="——","——",H101-H105-H106)</f>
        <v>——</v>
      </c>
      <c r="I109" s="138"/>
    </row>
    <row r="110" spans="1:35" ht="18.75" customHeight="1">
      <c r="A110" s="138"/>
      <c r="B110" s="138"/>
      <c r="C110" s="138"/>
      <c r="D110" s="138"/>
      <c r="E110" s="3086"/>
      <c r="F110" s="3087"/>
      <c r="G110" s="2521" t="s">
        <v>2302</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1" t="s">
        <v>2300</v>
      </c>
      <c r="H111" s="1045" t="str">
        <f>IF(E111="——","——",N59)</f>
        <v>——</v>
      </c>
      <c r="I111" s="138"/>
    </row>
    <row r="112" spans="1:35" ht="18.75" customHeight="1" thickBot="1">
      <c r="A112" s="138"/>
      <c r="B112" s="138"/>
      <c r="C112" s="138"/>
      <c r="D112" s="138"/>
      <c r="E112" s="3123"/>
      <c r="F112" s="3124"/>
      <c r="G112" s="2526" t="s">
        <v>2302</v>
      </c>
      <c r="H112" s="790" t="str">
        <f>IF(E111="——","——",N61)</f>
        <v>——</v>
      </c>
      <c r="I112" s="138"/>
    </row>
    <row r="113" spans="1:11" ht="18.75" customHeight="1">
      <c r="A113" s="138"/>
      <c r="B113" s="138"/>
      <c r="C113" s="138"/>
      <c r="D113" s="138"/>
      <c r="E113" s="3091" t="s">
        <v>2308</v>
      </c>
      <c r="F113" s="3091"/>
      <c r="G113" s="3091"/>
      <c r="H113" s="3091"/>
      <c r="I113" s="138"/>
    </row>
    <row r="114" spans="1:11" ht="3.75" customHeight="1">
      <c r="A114" s="2419"/>
      <c r="B114" s="2419"/>
      <c r="C114" s="2419"/>
      <c r="D114" s="2419"/>
      <c r="E114" s="2497"/>
      <c r="F114" s="2497"/>
      <c r="G114" s="2497"/>
      <c r="H114" s="2497"/>
      <c r="I114" s="2419"/>
    </row>
    <row r="115" spans="1:11" ht="18.75" customHeight="1">
      <c r="A115" s="3104" t="s">
        <v>2310</v>
      </c>
      <c r="B115" s="3105"/>
      <c r="C115" s="3105"/>
      <c r="D115" s="3105"/>
      <c r="E115" s="3105"/>
      <c r="F115" s="3105"/>
      <c r="G115" s="3105"/>
      <c r="H115" s="3105"/>
      <c r="I115" s="3106"/>
    </row>
    <row r="116" spans="1:11" ht="27" customHeight="1">
      <c r="A116" s="2997" t="s">
        <v>2311</v>
      </c>
      <c r="B116" s="3092" t="s">
        <v>2312</v>
      </c>
      <c r="C116" s="3092" t="s">
        <v>2313</v>
      </c>
      <c r="D116" s="3108" t="s">
        <v>2314</v>
      </c>
      <c r="E116" s="3109"/>
      <c r="F116" s="3100" t="s">
        <v>2315</v>
      </c>
      <c r="G116" s="3100"/>
      <c r="H116" s="2997" t="s">
        <v>2316</v>
      </c>
      <c r="I116" s="2997"/>
    </row>
    <row r="117" spans="1:11" ht="18.75" customHeight="1">
      <c r="A117" s="2997"/>
      <c r="B117" s="3093"/>
      <c r="C117" s="3093"/>
      <c r="D117" s="1795" t="s">
        <v>2317</v>
      </c>
      <c r="E117" s="1795" t="s">
        <v>2318</v>
      </c>
      <c r="F117" s="1795" t="s">
        <v>2317</v>
      </c>
      <c r="G117" s="1795" t="s">
        <v>2319</v>
      </c>
      <c r="H117" s="1795" t="s">
        <v>2317</v>
      </c>
      <c r="I117" s="1795" t="s">
        <v>2319</v>
      </c>
    </row>
    <row r="118" spans="1:11" ht="24.75" customHeight="1">
      <c r="A118" s="2527" t="str">
        <f>项目基本情况!S2</f>
        <v>北京市出让国有建设用地使用权及在建建筑物房地产</v>
      </c>
      <c r="B118" s="1795">
        <f>M18</f>
        <v>14581.819999999996</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84677</v>
      </c>
      <c r="I118" s="1795">
        <f ca="1">ROUND(IF(D32="楼面单价",C32,H118*10000/B118),0)</f>
        <v>58070</v>
      </c>
    </row>
    <row r="119" spans="1:11" ht="18.75" customHeight="1">
      <c r="A119" s="2997" t="s">
        <v>2320</v>
      </c>
      <c r="B119" s="2997"/>
      <c r="C119" s="2997"/>
      <c r="D119" s="3097" t="e">
        <f ca="1">NUMBERSTRING(INT(D118*10000),2)&amp;"元整"</f>
        <v>#REF!</v>
      </c>
      <c r="E119" s="3099"/>
      <c r="F119" s="3097" t="e">
        <f ca="1">NUMBERSTRING(INT(F118*10000),2)&amp;"元整"</f>
        <v>#REF!</v>
      </c>
      <c r="G119" s="3099"/>
      <c r="H119" s="3097" t="str">
        <f ca="1">NUMBERSTRING(INT(H118*10000),2)&amp;"元整"</f>
        <v>捌亿肆仟陆佰柒拾柒万元整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4" t="str">
        <f>IF(D120=0,"故，本次评估不存在"&amp;A120,"故，本次评估"&amp;A120&amp;"为人民币"&amp;D120&amp;"万元整。")</f>
        <v>故，本次评估不存在估价师知悉的法定优先受偿款</v>
      </c>
    </row>
    <row r="121" spans="1:11" ht="18.75" customHeight="1">
      <c r="A121" s="3101" t="s">
        <v>2320</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84677</v>
      </c>
      <c r="E122" s="3126"/>
      <c r="F122" s="3126"/>
      <c r="G122" s="3126"/>
      <c r="H122" s="3126"/>
      <c r="I122" s="3127"/>
    </row>
    <row r="123" spans="1:11" ht="18.75" customHeight="1">
      <c r="A123" s="2997" t="s">
        <v>2320</v>
      </c>
      <c r="B123" s="2997"/>
      <c r="C123" s="2997"/>
      <c r="D123" s="3097" t="str">
        <f ca="1">NUMBERSTRING(INT(D122*10000),2)&amp;"元整"</f>
        <v>捌亿肆仟陆佰柒拾柒万元整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2320</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2320</v>
      </c>
      <c r="B127" s="2997"/>
      <c r="C127" s="2997"/>
      <c r="D127" s="3097" t="e">
        <f>NUMBERSTRING(INT(D126*10000),2)&amp;"元整"</f>
        <v>#VALUE!</v>
      </c>
      <c r="E127" s="3098"/>
      <c r="F127" s="3098"/>
      <c r="G127" s="3098"/>
      <c r="H127" s="3098"/>
      <c r="I127" s="3099"/>
    </row>
    <row r="128" spans="1:11" ht="21.75" customHeight="1">
      <c r="A128" s="3107" t="s">
        <v>2321</v>
      </c>
      <c r="B128" s="3107"/>
      <c r="C128" s="3107"/>
      <c r="D128" s="3107"/>
      <c r="E128" s="3107"/>
      <c r="F128" s="3107"/>
      <c r="G128" s="3107"/>
      <c r="H128" s="3107"/>
      <c r="I128" s="3107"/>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2324</v>
      </c>
      <c r="G135" s="2545"/>
      <c r="H135" s="2545"/>
      <c r="I135" s="2546" t="s">
        <v>2325</v>
      </c>
    </row>
    <row r="136" spans="1:35" ht="21.75" customHeight="1">
      <c r="A136" s="795"/>
      <c r="B136" s="2547"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2327</v>
      </c>
    </row>
    <row r="139" spans="1:35" ht="21.75" customHeight="1">
      <c r="A139" s="795"/>
      <c r="B139" s="2547" t="s">
        <v>2328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北京市出让国有建设用地使用权及在建建筑物房地产抵押价值预评估</v>
      </c>
      <c r="C37" s="2953"/>
      <c r="D37" s="2953"/>
      <c r="E37" s="2953"/>
      <c r="F37" s="2953"/>
      <c r="G37" s="2953"/>
      <c r="H37" s="2953"/>
      <c r="I37" s="295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9" sqref="D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79">
        <f>MATCH(B1,'数据-取费表'!A6:A16,0)+5</f>
        <v>9</v>
      </c>
    </row>
    <row r="2" spans="1:9" s="244" customFormat="1" ht="18" customHeight="1">
      <c r="A2" s="245" t="s">
        <v>2330</v>
      </c>
      <c r="B2" s="246">
        <f ca="1">IF(D2="——",C52,C52-E2)</f>
        <v>89082</v>
      </c>
      <c r="C2" s="243" t="s">
        <v>2331</v>
      </c>
      <c r="D2" s="2550" t="s">
        <v>70</v>
      </c>
      <c r="E2" s="1440"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61091</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54614</v>
      </c>
      <c r="D5" s="255" t="s">
        <v>2337</v>
      </c>
      <c r="E5" s="256" t="s">
        <v>2338</v>
      </c>
      <c r="F5" s="256" t="s">
        <v>2339</v>
      </c>
      <c r="G5" s="257"/>
    </row>
    <row r="6" spans="1:9" s="258" customFormat="1" ht="13.5" customHeight="1">
      <c r="A6" s="949" t="s">
        <v>2340</v>
      </c>
      <c r="B6" s="259" t="s">
        <v>2341</v>
      </c>
      <c r="C6" s="260">
        <f>ROUND(43000*'数据-汇总表'!F27/10000,0)</f>
        <v>52998</v>
      </c>
      <c r="D6" s="261"/>
      <c r="E6" s="262"/>
      <c r="F6" s="262"/>
      <c r="G6" s="263"/>
    </row>
    <row r="7" spans="1:9" s="258" customFormat="1" ht="13.5" customHeight="1">
      <c r="A7" s="949" t="s">
        <v>2342</v>
      </c>
      <c r="B7" s="259" t="s">
        <v>2343</v>
      </c>
      <c r="C7" s="264">
        <f>ROUND(C6*F7,0)</f>
        <v>1616</v>
      </c>
      <c r="D7" s="264"/>
      <c r="E7" s="262"/>
      <c r="F7" s="265">
        <f>'数据-取费表'!B48+'数据-取费表'!B49</f>
        <v>3.0499999999999999E-2</v>
      </c>
      <c r="G7" s="263"/>
    </row>
    <row r="8" spans="1:9" s="267" customFormat="1">
      <c r="A8" s="949" t="s">
        <v>2344</v>
      </c>
      <c r="B8" s="259" t="s">
        <v>2345</v>
      </c>
      <c r="C8" s="264">
        <f>IF(G8="已包含在土地购买价格中","0",IF(B1="",'数据-取费表'!B29,IF(G9="全部缴纳",C9+C10,H9)))</f>
        <v>0</v>
      </c>
      <c r="D8" s="266"/>
      <c r="E8" s="264"/>
      <c r="F8" s="265"/>
      <c r="G8" s="2553" t="s">
        <v>3296</v>
      </c>
    </row>
    <row r="9" spans="1:9" s="258" customFormat="1" ht="13.5" customHeight="1">
      <c r="A9" s="950" t="s">
        <v>800</v>
      </c>
      <c r="B9" s="268" t="s">
        <v>2346</v>
      </c>
      <c r="C9" s="269">
        <f ca="1">ROUND(D9*E9/10000,0)</f>
        <v>0</v>
      </c>
      <c r="D9" s="1032">
        <f ca="1">IF(B1="",'数据-汇总表'!E5,IF(INDIRECT("'数据-取费表'!c"&amp;$G$1)="住宅",INDIRECT("'数据-取费表'!k"&amp;$G$1),0))</f>
        <v>10299.269999999997</v>
      </c>
      <c r="E9" s="269">
        <f>'数据-取费表'!B27</f>
        <v>0</v>
      </c>
      <c r="F9" s="265"/>
      <c r="G9" s="2554"/>
      <c r="H9" s="1390"/>
      <c r="I9" s="2555" t="s">
        <v>2347</v>
      </c>
    </row>
    <row r="10" spans="1:9" s="258" customFormat="1" ht="13.5" customHeight="1">
      <c r="A10" s="950" t="s">
        <v>801</v>
      </c>
      <c r="B10" s="268" t="s">
        <v>2348</v>
      </c>
      <c r="C10" s="269">
        <f ca="1">ROUND(D10*E10/10000,0)</f>
        <v>0</v>
      </c>
      <c r="D10" s="1032">
        <f ca="1">IF(B1="",'数据-汇总表'!E6,IF(INDIRECT("'数据-取费表'!c"&amp;$G$1)="住宅",INDIRECT("'数据-取费表'!s"&amp;$G$1),INDIRECT("'数据-取费表'!k"&amp;$G$1)+INDIRECT("'数据-取费表'!s"&amp;$G$1)))</f>
        <v>4282.5499999999993</v>
      </c>
      <c r="E10" s="269">
        <f>'数据-取费表'!B28</f>
        <v>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14581.819999999996</v>
      </c>
      <c r="E19" s="255">
        <f>'数据-取费表'!B31</f>
        <v>200</v>
      </c>
      <c r="F19" s="275"/>
      <c r="G19" s="2553" t="s">
        <v>3297</v>
      </c>
    </row>
    <row r="20" spans="1:7" s="258" customFormat="1" ht="13.5" customHeight="1">
      <c r="A20" s="299" t="s">
        <v>2361</v>
      </c>
      <c r="B20" s="254" t="s">
        <v>2362</v>
      </c>
      <c r="C20" s="276">
        <f>ROUND((C5+C19)*F20,0)</f>
        <v>1638</v>
      </c>
      <c r="D20" s="276"/>
      <c r="E20" s="276"/>
      <c r="F20" s="277">
        <f>'数据-取费表'!B37</f>
        <v>0.03</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4">
        <f ca="1">ROUND(SUM(C23:C25),0)</f>
        <v>7688</v>
      </c>
      <c r="D22" s="279">
        <f ca="1">C26</f>
        <v>1.2999999999999999E-3</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7578</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110</v>
      </c>
      <c r="D25" s="282"/>
      <c r="E25" s="285"/>
      <c r="F25" s="283"/>
      <c r="G25" s="286" t="s">
        <v>2378</v>
      </c>
    </row>
    <row r="26" spans="1:7" s="258" customFormat="1">
      <c r="A26" s="951" t="s">
        <v>795</v>
      </c>
      <c r="B26" s="259" t="s">
        <v>2379</v>
      </c>
      <c r="C26" s="282">
        <f ca="1">ROUND(IF('数据-取费表'!B22&lt;=1,F21*F22*'数据-取费表'!B23/2,F21*(POWER((1+F22),'数据-取费表'!B23/2)-1)),4)</f>
        <v>1.2999999999999999E-3</v>
      </c>
      <c r="D26" s="282"/>
      <c r="E26" s="285"/>
      <c r="F26" s="283"/>
      <c r="G26" s="287"/>
    </row>
    <row r="27" spans="1:7" s="258" customFormat="1" ht="24.75">
      <c r="A27" s="299" t="s">
        <v>2380</v>
      </c>
      <c r="B27" s="288" t="s">
        <v>2381</v>
      </c>
      <c r="C27" s="289">
        <f ca="1">C28</f>
        <v>11025</v>
      </c>
      <c r="D27" s="279">
        <f ca="1">C29</f>
        <v>3.8999999999999998E-3</v>
      </c>
      <c r="E27" s="280" t="s">
        <v>2382</v>
      </c>
      <c r="F27" s="290">
        <f ca="1">IF(B1="",'数据-取费表'!Q16,INDIRECT("'数据-取费表'!q"&amp;$G$1))</f>
        <v>0.21</v>
      </c>
      <c r="G27" s="291" t="s">
        <v>2383</v>
      </c>
    </row>
    <row r="28" spans="1:7" s="258" customFormat="1" ht="13.5" customHeight="1">
      <c r="A28" s="951" t="s">
        <v>791</v>
      </c>
      <c r="B28" s="292" t="s">
        <v>2384</v>
      </c>
      <c r="C28" s="293">
        <f ca="1">ROUND((C5+C19+C20)*F27*'数据-取费表'!B21/'数据-取费表'!B20,0)</f>
        <v>11025</v>
      </c>
      <c r="D28" s="279"/>
      <c r="E28" s="280"/>
      <c r="F28" s="290"/>
      <c r="G28" s="291"/>
    </row>
    <row r="29" spans="1:7" s="258" customFormat="1" ht="13.5" customHeight="1">
      <c r="A29" s="951" t="s">
        <v>792</v>
      </c>
      <c r="B29" s="292" t="s">
        <v>2385</v>
      </c>
      <c r="C29" s="282">
        <f ca="1">ROUND(C21*F27*'数据-取费表'!B21/'数据-取费表'!B20,4)</f>
        <v>3.8999999999999998E-3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81272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5475</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4646</v>
      </c>
      <c r="D34" s="261"/>
      <c r="E34" s="264"/>
      <c r="F34" s="301">
        <f ca="1">IF('数据-取费表'!B24=0,1,IF(B1="",'数据-取费表'!N16,INDIRECT("'数据-取费表'!n"&amp;$G$1)))</f>
        <v>0.95</v>
      </c>
      <c r="G34" s="263" t="s">
        <v>2394</v>
      </c>
    </row>
    <row r="35" spans="1:7" ht="13.5" customHeight="1">
      <c r="A35" s="951" t="s">
        <v>796</v>
      </c>
      <c r="B35" s="259" t="s">
        <v>2395</v>
      </c>
      <c r="C35" s="264">
        <f ca="1">ROUND(C34*F35,0)</f>
        <v>139</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343</v>
      </c>
      <c r="D36" s="264"/>
      <c r="E36" s="264"/>
      <c r="F36" s="303">
        <f>'数据-取费表'!B34</f>
        <v>0.1</v>
      </c>
      <c r="G36" s="304" t="s">
        <v>2398</v>
      </c>
    </row>
    <row r="37" spans="1:7" s="302" customFormat="1" ht="13.5" customHeight="1">
      <c r="A37" s="951" t="s">
        <v>798</v>
      </c>
      <c r="B37" s="259" t="s">
        <v>2399</v>
      </c>
      <c r="C37" s="293">
        <f ca="1">ROUND(E37*D37*F34/10000,0)</f>
        <v>277</v>
      </c>
      <c r="D37" s="261">
        <f ca="1">D19</f>
        <v>14581.819999999996</v>
      </c>
      <c r="E37" s="293">
        <f>'数据-取费表'!B35</f>
        <v>200</v>
      </c>
      <c r="F37" s="303"/>
      <c r="G37" s="305" t="s">
        <v>2400</v>
      </c>
    </row>
    <row r="38" spans="1:7" ht="13.5" customHeight="1">
      <c r="A38" s="951" t="s">
        <v>799</v>
      </c>
      <c r="B38" s="259" t="s">
        <v>2401</v>
      </c>
      <c r="C38" s="264">
        <f ca="1">ROUND(C34*F38,0)</f>
        <v>70</v>
      </c>
      <c r="D38" s="264"/>
      <c r="E38" s="264"/>
      <c r="F38" s="303">
        <f>'数据-取费表'!B36</f>
        <v>1.4999999999999999E-2</v>
      </c>
      <c r="G38" s="263" t="s">
        <v>2396</v>
      </c>
    </row>
    <row r="39" spans="1:7" s="258" customFormat="1" ht="13.5" customHeight="1">
      <c r="A39" s="299" t="s">
        <v>2402</v>
      </c>
      <c r="B39" s="254" t="s">
        <v>2403</v>
      </c>
      <c r="C39" s="276">
        <f ca="1">ROUND(C33*F20,0)</f>
        <v>164</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379</v>
      </c>
      <c r="D41" s="279">
        <f ca="1">C44</f>
        <v>1.2999999999999999E-3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368</v>
      </c>
      <c r="D42" s="282"/>
      <c r="E42" s="282"/>
      <c r="F42" s="283"/>
      <c r="G42" s="3139" t="s">
        <v>2412</v>
      </c>
    </row>
    <row r="43" spans="1:7" ht="13.5" customHeight="1">
      <c r="A43" s="951" t="s">
        <v>792</v>
      </c>
      <c r="B43" s="259" t="s">
        <v>2413</v>
      </c>
      <c r="C43" s="282">
        <f ca="1">ROUND(IF('数据-取费表'!B22&lt;=1,C39*F22*'数据-取费表'!B21/2,C39*(POWER((1+F22),'数据-取费表'!B21/2)-1)),0)</f>
        <v>11</v>
      </c>
      <c r="D43" s="282"/>
      <c r="E43" s="282"/>
      <c r="F43" s="283"/>
      <c r="G43" s="3140"/>
    </row>
    <row r="44" spans="1:7" ht="13.5" customHeight="1">
      <c r="A44" s="951" t="s">
        <v>793</v>
      </c>
      <c r="B44" s="259" t="s">
        <v>2414</v>
      </c>
      <c r="C44" s="282">
        <f ca="1">ROUND(IF('数据-取费表'!B22&lt;=1,C40*F22*'数据-取费表'!B21/2,C40*(POWER((1+F22),'数据-取费表'!B21/2)-1)),4)</f>
        <v>1.2999999999999999E-3</v>
      </c>
      <c r="D44" s="282"/>
      <c r="E44" s="282"/>
      <c r="F44" s="283"/>
      <c r="G44" s="3141"/>
    </row>
    <row r="45" spans="1:7" s="258" customFormat="1" ht="13.5" customHeight="1">
      <c r="A45" s="299" t="s">
        <v>2415</v>
      </c>
      <c r="B45" s="288" t="s">
        <v>2381</v>
      </c>
      <c r="C45" s="289">
        <f ca="1">C46</f>
        <v>1184</v>
      </c>
      <c r="D45" s="279">
        <f ca="1">C47</f>
        <v>4.1999999999999997E-3</v>
      </c>
      <c r="E45" s="280" t="s">
        <v>2407</v>
      </c>
      <c r="F45" s="290"/>
      <c r="G45" s="291" t="s">
        <v>2416</v>
      </c>
    </row>
    <row r="46" spans="1:7" s="258" customFormat="1" ht="13.5" customHeight="1">
      <c r="A46" s="951" t="s">
        <v>791</v>
      </c>
      <c r="B46" s="292" t="s">
        <v>2417</v>
      </c>
      <c r="C46" s="293">
        <f ca="1">ROUND((C33+C39)*F27,0)</f>
        <v>1184</v>
      </c>
      <c r="D46" s="307"/>
      <c r="E46" s="280"/>
      <c r="F46" s="290"/>
      <c r="G46" s="291"/>
    </row>
    <row r="47" spans="1:7" s="258" customFormat="1" ht="13.5" customHeight="1">
      <c r="A47" s="951" t="s">
        <v>792</v>
      </c>
      <c r="B47" s="292" t="s">
        <v>2418</v>
      </c>
      <c r="C47" s="282">
        <f ca="1">ROUND(C40*F27,4)</f>
        <v>4.1999999999999997E-3</v>
      </c>
      <c r="D47" s="307"/>
      <c r="E47" s="280"/>
      <c r="F47" s="290"/>
      <c r="G47" s="291"/>
    </row>
    <row r="48" spans="1:7" s="258" customFormat="1" ht="13.5" customHeight="1">
      <c r="A48" s="299" t="s">
        <v>2380</v>
      </c>
      <c r="B48" s="254" t="s">
        <v>2419</v>
      </c>
      <c r="C48" s="1728">
        <f>ROUND(F30/(1+'数据-取费表'!C42),4)</f>
        <v>5.2400000000000002E-2</v>
      </c>
      <c r="D48" s="280" t="s">
        <v>2407</v>
      </c>
      <c r="E48" s="276"/>
      <c r="F48" s="281"/>
      <c r="G48" s="278" t="s">
        <v>2420</v>
      </c>
    </row>
    <row r="49" spans="1:7" ht="16.5" customHeight="1">
      <c r="A49" s="299" t="s">
        <v>2386</v>
      </c>
      <c r="B49" s="254" t="s">
        <v>2421</v>
      </c>
      <c r="C49" s="276">
        <f ca="1">ROUND((C33+C39+C41+C45)/(1-C40-D41-D45-C48),0)</f>
        <v>7810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7810</v>
      </c>
      <c r="D51" s="276"/>
      <c r="E51" s="276"/>
      <c r="F51" s="308"/>
      <c r="G51" s="278" t="s">
        <v>2428</v>
      </c>
    </row>
    <row r="52" spans="1:7" s="252" customFormat="1" ht="16.5" thickBot="1">
      <c r="A52" s="309" t="s">
        <v>2429</v>
      </c>
      <c r="B52" s="310"/>
      <c r="C52" s="311">
        <f ca="1">C31+C51</f>
        <v>89082</v>
      </c>
      <c r="D52" s="310"/>
      <c r="E52" s="310"/>
      <c r="F52" s="310"/>
      <c r="G52" s="312"/>
    </row>
    <row r="55" spans="1:7" ht="15">
      <c r="B55" s="314" t="s">
        <v>2430</v>
      </c>
      <c r="C55" s="315"/>
    </row>
    <row r="56" spans="1:7">
      <c r="B56" s="317" t="s">
        <v>1509</v>
      </c>
      <c r="C56" s="319">
        <f ca="1">1-C57</f>
        <v>0.91200000000000003</v>
      </c>
    </row>
    <row r="57" spans="1:7">
      <c r="B57" s="317" t="s">
        <v>1510</v>
      </c>
      <c r="C57" s="318">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c r="C1" s="2556" t="s">
        <v>2431</v>
      </c>
      <c r="D1" s="242"/>
      <c r="E1" s="242"/>
      <c r="F1" s="242"/>
      <c r="G1" s="1379">
        <f>MATCH(B1,'数据-取费表'!A6:A16,0)+5</f>
        <v>9</v>
      </c>
      <c r="H1" s="1282" t="str">
        <f>IF(ISERROR(FIND("住宅",B1)),"非住宅","住宅")</f>
        <v>非住宅</v>
      </c>
    </row>
    <row r="2" spans="1:8" s="244" customFormat="1" ht="18" customHeight="1">
      <c r="A2" s="245" t="s">
        <v>2330</v>
      </c>
      <c r="B2" s="246">
        <f ca="1">ROUND(IF(D2="——",C52/10000,C52/10000-E2),0)</f>
        <v>8694</v>
      </c>
      <c r="C2" s="243" t="s">
        <v>2331</v>
      </c>
      <c r="D2" s="2550" t="s">
        <v>70</v>
      </c>
      <c r="E2" s="1440"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5962</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0</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0</v>
      </c>
      <c r="D8" s="266"/>
      <c r="E8" s="264"/>
      <c r="F8" s="265"/>
      <c r="G8" s="2553"/>
    </row>
    <row r="9" spans="1:8" s="258" customFormat="1" ht="13.5" customHeight="1">
      <c r="A9" s="950" t="s">
        <v>800</v>
      </c>
      <c r="B9" s="268" t="s">
        <v>2346</v>
      </c>
      <c r="C9" s="269">
        <f ca="1">ROUND(D9*E9,0)</f>
        <v>0</v>
      </c>
      <c r="D9" s="1032">
        <f ca="1">IF(B1="",'数据-汇总表'!E5,IF(INDIRECT("'数据-取费表'!c"&amp;$G$1)="住宅",INDIRECT("'数据-取费表'!k"&amp;$G$1),0))</f>
        <v>10299.269999999997</v>
      </c>
      <c r="E9" s="269">
        <f>'数据-取费表'!B27</f>
        <v>0</v>
      </c>
      <c r="F9" s="265"/>
      <c r="G9" s="270"/>
    </row>
    <row r="10" spans="1:8" s="258" customFormat="1" ht="13.5" customHeight="1">
      <c r="A10" s="950" t="s">
        <v>801</v>
      </c>
      <c r="B10" s="268" t="s">
        <v>2348</v>
      </c>
      <c r="C10" s="269">
        <f ca="1">ROUND(D10*E10,0)</f>
        <v>0</v>
      </c>
      <c r="D10" s="1032">
        <f ca="1">IF(B1="",'数据-汇总表'!E6,IF(INDIRECT("'数据-取费表'!c"&amp;$G$1)="住宅",INDIRECT("'数据-取费表'!s"&amp;$G$1),INDIRECT("'数据-取费表'!k"&amp;$G$1)+INDIRECT("'数据-取费表'!s"&amp;$G$1)))</f>
        <v>4282.5499999999993</v>
      </c>
      <c r="E10" s="269">
        <f>'数据-取费表'!B28</f>
        <v>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2916364</v>
      </c>
      <c r="D19" s="1036">
        <f ca="1">D9+D10</f>
        <v>14581.819999999996</v>
      </c>
      <c r="E19" s="255">
        <f>'数据-取费表'!B31</f>
        <v>200</v>
      </c>
      <c r="F19" s="275"/>
      <c r="G19" s="2553"/>
    </row>
    <row r="20" spans="1:7" s="258" customFormat="1" ht="13.5" customHeight="1">
      <c r="A20" s="299" t="s">
        <v>2442</v>
      </c>
      <c r="B20" s="254" t="s">
        <v>2443</v>
      </c>
      <c r="C20" s="276">
        <f ca="1">ROUND((C5+C19)*F20,0)</f>
        <v>87491</v>
      </c>
      <c r="D20" s="276"/>
      <c r="E20" s="276"/>
      <c r="F20" s="277">
        <f>'数据-取费表'!B37</f>
        <v>0.03</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0">
        <f ca="1">ROUND(SUM(C23:C25),0)</f>
        <v>441942</v>
      </c>
      <c r="D22" s="279">
        <f ca="1">C26</f>
        <v>1.4E-3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0</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435635</v>
      </c>
      <c r="D24" s="282"/>
      <c r="E24" s="282"/>
      <c r="F24" s="283"/>
      <c r="G24" s="284" t="s">
        <v>2454</v>
      </c>
    </row>
    <row r="25" spans="1:7" s="258" customFormat="1" ht="24">
      <c r="A25" s="951" t="s">
        <v>2344</v>
      </c>
      <c r="B25" s="259" t="s">
        <v>2455</v>
      </c>
      <c r="C25" s="1381">
        <f ca="1">ROUND(IF('数据-取费表'!B22&lt;=1,C20*F22*'数据-取费表'!B22/2,C20*(POWER((1+F22),'数据-取费表'!B22/2)-1)),0)</f>
        <v>6307</v>
      </c>
      <c r="D25" s="282"/>
      <c r="E25" s="285"/>
      <c r="F25" s="283"/>
      <c r="G25" s="286" t="s">
        <v>2456</v>
      </c>
    </row>
    <row r="26" spans="1:7" s="258" customFormat="1">
      <c r="A26" s="951"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630810</v>
      </c>
      <c r="D27" s="279">
        <f ca="1">C29</f>
        <v>4.1999999999999997E-3</v>
      </c>
      <c r="E27" s="280" t="s">
        <v>2382</v>
      </c>
      <c r="F27" s="290">
        <f ca="1">IF(B1="",'数据-取费表'!Q16,INDIRECT("'数据-取费表'!q"&amp;$G$1))</f>
        <v>0.21</v>
      </c>
      <c r="G27" s="291" t="s">
        <v>2383</v>
      </c>
    </row>
    <row r="28" spans="1:7" s="258" customFormat="1" ht="13.5" customHeight="1">
      <c r="A28" s="951" t="s">
        <v>791</v>
      </c>
      <c r="B28" s="292" t="s">
        <v>2384</v>
      </c>
      <c r="C28" s="293">
        <f ca="1">ROUND((C5+C19+C20)*F27,0)</f>
        <v>630810</v>
      </c>
      <c r="D28" s="279"/>
      <c r="E28" s="280"/>
      <c r="F28" s="290"/>
      <c r="G28" s="291"/>
    </row>
    <row r="29" spans="1:7" s="258" customFormat="1" ht="13.5" customHeight="1">
      <c r="A29" s="951" t="s">
        <v>792</v>
      </c>
      <c r="B29" s="292" t="s">
        <v>2385</v>
      </c>
      <c r="C29" s="282">
        <f ca="1">ROUND(C21*F27,4)</f>
        <v>4.1999999999999997E-3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4421483</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57616483</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48895095</v>
      </c>
      <c r="D34" s="261"/>
      <c r="E34" s="264"/>
      <c r="F34" s="301"/>
      <c r="G34" s="263"/>
    </row>
    <row r="35" spans="1:7" ht="13.5" customHeight="1">
      <c r="A35" s="951" t="s">
        <v>796</v>
      </c>
      <c r="B35" s="259" t="s">
        <v>2395</v>
      </c>
      <c r="C35" s="264">
        <f ca="1">ROUND(C34*F35,0)</f>
        <v>1466853</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3604745</v>
      </c>
      <c r="D36" s="264"/>
      <c r="E36" s="264"/>
      <c r="F36" s="303">
        <f>'数据-取费表'!B34</f>
        <v>0.1</v>
      </c>
      <c r="G36" s="304" t="s">
        <v>2398</v>
      </c>
    </row>
    <row r="37" spans="1:7" s="302" customFormat="1" ht="13.5" customHeight="1">
      <c r="A37" s="951" t="s">
        <v>798</v>
      </c>
      <c r="B37" s="259" t="s">
        <v>2399</v>
      </c>
      <c r="C37" s="293">
        <f ca="1">ROUND(E37*D37,0)</f>
        <v>2916364</v>
      </c>
      <c r="D37" s="261">
        <f ca="1">D19</f>
        <v>14581.819999999996</v>
      </c>
      <c r="E37" s="293">
        <f>'数据-取费表'!B35</f>
        <v>200</v>
      </c>
      <c r="F37" s="303"/>
      <c r="G37" s="305"/>
    </row>
    <row r="38" spans="1:7" ht="13.5" customHeight="1">
      <c r="A38" s="951" t="s">
        <v>799</v>
      </c>
      <c r="B38" s="259" t="s">
        <v>2401</v>
      </c>
      <c r="C38" s="264">
        <f ca="1">ROUND(C34*F38,0)</f>
        <v>733426</v>
      </c>
      <c r="D38" s="264"/>
      <c r="E38" s="264"/>
      <c r="F38" s="303">
        <f>'数据-取费表'!B36</f>
        <v>1.4999999999999999E-2</v>
      </c>
      <c r="G38" s="263" t="s">
        <v>2396</v>
      </c>
    </row>
    <row r="39" spans="1:7" s="258" customFormat="1" ht="13.5" customHeight="1">
      <c r="A39" s="299" t="s">
        <v>2402</v>
      </c>
      <c r="B39" s="254" t="s">
        <v>2403</v>
      </c>
      <c r="C39" s="276">
        <f ca="1">ROUND(C33*F20,0)</f>
        <v>1728494</v>
      </c>
      <c r="D39" s="276"/>
      <c r="E39" s="276"/>
      <c r="F39" s="277"/>
      <c r="G39" s="278" t="s">
        <v>2404</v>
      </c>
    </row>
    <row r="40" spans="1:7" s="258" customFormat="1" ht="13.5" customHeight="1">
      <c r="A40" s="299" t="s">
        <v>2405</v>
      </c>
      <c r="B40" s="254" t="s">
        <v>2406</v>
      </c>
      <c r="C40" s="1728">
        <f>F21</f>
        <v>0.02</v>
      </c>
      <c r="D40" s="280" t="s">
        <v>2407</v>
      </c>
      <c r="E40" s="276"/>
      <c r="F40" s="277"/>
      <c r="G40" s="278" t="s">
        <v>2408</v>
      </c>
    </row>
    <row r="41" spans="1:7" s="258" customFormat="1" ht="13.5" customHeight="1">
      <c r="A41" s="299" t="s">
        <v>2409</v>
      </c>
      <c r="B41" s="254" t="s">
        <v>2410</v>
      </c>
      <c r="C41" s="276">
        <f ca="1">ROUND(SUM(C42:C43),0)</f>
        <v>4278150</v>
      </c>
      <c r="D41" s="279">
        <f ca="1">C44</f>
        <v>1.4E-3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4153544</v>
      </c>
      <c r="D42" s="282"/>
      <c r="E42" s="282"/>
      <c r="F42" s="283"/>
      <c r="G42" s="3139" t="s">
        <v>2459</v>
      </c>
    </row>
    <row r="43" spans="1:7" ht="13.5" customHeight="1">
      <c r="A43" s="951" t="s">
        <v>792</v>
      </c>
      <c r="B43" s="259" t="s">
        <v>2413</v>
      </c>
      <c r="C43" s="282">
        <f ca="1">ROUND(IF('数据-取费表'!B22&lt;=1,C39*F22*'数据-取费表'!B20/2,C39*(POWER((1+F22),'数据-取费表'!B20/2)-1)),0)</f>
        <v>124606</v>
      </c>
      <c r="D43" s="282"/>
      <c r="E43" s="282"/>
      <c r="F43" s="283"/>
      <c r="G43" s="3140"/>
    </row>
    <row r="44" spans="1:7" ht="13.5" customHeight="1">
      <c r="A44" s="951" t="s">
        <v>793</v>
      </c>
      <c r="B44" s="259" t="s">
        <v>2414</v>
      </c>
      <c r="C44" s="282">
        <f ca="1">ROUND(IF('数据-取费表'!B22&lt;=1,C40*F22*'数据-取费表'!B20/2,C40*(POWER((1+F22),'数据-取费表'!B20/2)-1)),4)</f>
        <v>1.4E-3</v>
      </c>
      <c r="D44" s="282"/>
      <c r="E44" s="282"/>
      <c r="F44" s="283"/>
      <c r="G44" s="3141"/>
    </row>
    <row r="45" spans="1:7" s="258" customFormat="1" ht="13.5" customHeight="1">
      <c r="A45" s="299" t="s">
        <v>2415</v>
      </c>
      <c r="B45" s="288" t="s">
        <v>2381</v>
      </c>
      <c r="C45" s="289">
        <f ca="1">C46</f>
        <v>12462445</v>
      </c>
      <c r="D45" s="279">
        <f ca="1">C47</f>
        <v>4.1999999999999997E-3</v>
      </c>
      <c r="E45" s="280" t="s">
        <v>2407</v>
      </c>
      <c r="F45" s="290"/>
      <c r="G45" s="291" t="s">
        <v>2416</v>
      </c>
    </row>
    <row r="46" spans="1:7" s="258" customFormat="1" ht="13.5" customHeight="1">
      <c r="A46" s="951" t="s">
        <v>791</v>
      </c>
      <c r="B46" s="292" t="s">
        <v>2417</v>
      </c>
      <c r="C46" s="293">
        <f ca="1">ROUND((C33+C39)*F27,0)</f>
        <v>12462445</v>
      </c>
      <c r="D46" s="307"/>
      <c r="E46" s="280"/>
      <c r="F46" s="290"/>
      <c r="G46" s="291"/>
    </row>
    <row r="47" spans="1:7" s="258" customFormat="1" ht="13.5" customHeight="1">
      <c r="A47" s="951" t="s">
        <v>792</v>
      </c>
      <c r="B47" s="292" t="s">
        <v>2418</v>
      </c>
      <c r="C47" s="282">
        <f ca="1">ROUND(C40*F27,4)</f>
        <v>4.1999999999999997E-3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82522312</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82522312</v>
      </c>
      <c r="D51" s="276"/>
      <c r="E51" s="276"/>
      <c r="F51" s="308"/>
      <c r="G51" s="278" t="s">
        <v>2428</v>
      </c>
    </row>
    <row r="52" spans="1:7" s="252" customFormat="1" ht="16.5" thickBot="1">
      <c r="A52" s="309" t="s">
        <v>2429</v>
      </c>
      <c r="B52" s="310"/>
      <c r="C52" s="311">
        <f ca="1">C31+C51</f>
        <v>86943795</v>
      </c>
      <c r="D52" s="310"/>
      <c r="E52" s="310"/>
      <c r="F52" s="310"/>
      <c r="G52" s="312"/>
    </row>
    <row r="55" spans="1:7" ht="15">
      <c r="B55" s="314" t="s">
        <v>2430</v>
      </c>
      <c r="C55" s="315"/>
    </row>
    <row r="56" spans="1:7">
      <c r="B56" s="317" t="s">
        <v>1509</v>
      </c>
      <c r="C56" s="319">
        <f ca="1">1-C57</f>
        <v>5.1000000000000045E-2</v>
      </c>
    </row>
    <row r="57" spans="1:7">
      <c r="B57" s="317" t="s">
        <v>1510</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3"/>
      <c r="Y4" s="3197" t="s">
        <v>2651</v>
      </c>
      <c r="Z4" s="3198"/>
      <c r="AA4" s="3184" t="s">
        <v>2647</v>
      </c>
      <c r="AB4" s="3185" t="s">
        <v>2648</v>
      </c>
      <c r="AC4" s="3184" t="s">
        <v>2649</v>
      </c>
    </row>
    <row r="5" spans="1:30" ht="15">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3"/>
      <c r="Y5" s="3199"/>
      <c r="Z5" s="3200"/>
      <c r="AA5" s="3185"/>
      <c r="AB5" s="3185"/>
      <c r="AC5" s="3185"/>
    </row>
    <row r="6" spans="1:30" ht="15.7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3"/>
      <c r="Y6" s="3201"/>
      <c r="Z6" s="3202"/>
      <c r="AA6" s="3186"/>
      <c r="AB6" s="3186"/>
      <c r="AC6" s="3186"/>
    </row>
    <row r="7" spans="1:30" s="117" customFormat="1" ht="15.75" thickBot="1">
      <c r="A7" s="408" t="s">
        <v>2548</v>
      </c>
      <c r="B7" s="409"/>
      <c r="C7" s="410">
        <f>'数据-取费表'!B2</f>
        <v>43609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5" si="3">D8/F8</f>
        <v>#DIV/0!</v>
      </c>
      <c r="AB8" s="773" t="e">
        <f t="shared" ref="AB8:AB45" si="4">D8/H8</f>
        <v>#DIV/0!</v>
      </c>
      <c r="AC8" s="773" t="e">
        <f t="shared" ref="AC8:AC45" si="5">D8/J8</f>
        <v>#DIV/0!</v>
      </c>
    </row>
    <row r="9" spans="1:30" s="117" customFormat="1">
      <c r="A9" s="415" t="s">
        <v>2553</v>
      </c>
      <c r="B9" s="71" t="s">
        <v>2554</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172" t="s">
        <v>2555</v>
      </c>
      <c r="Q9" s="1795"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172"/>
      <c r="Q10" s="1795" t="str">
        <f t="shared" si="6"/>
        <v>土地使用年限（年）</v>
      </c>
      <c r="R10" s="770" t="s">
        <v>17</v>
      </c>
      <c r="S10" s="771">
        <f t="shared" si="0"/>
        <v>101</v>
      </c>
      <c r="T10" s="770" t="s">
        <v>17</v>
      </c>
      <c r="U10" s="771">
        <f t="shared" si="1"/>
        <v>101</v>
      </c>
      <c r="V10" s="770" t="s">
        <v>17</v>
      </c>
      <c r="W10" s="771">
        <f t="shared" si="2"/>
        <v>101</v>
      </c>
      <c r="X10" s="772"/>
      <c r="Y10" s="2997"/>
      <c r="Z10" s="55" t="str">
        <f t="shared" si="7"/>
        <v>土地使用年限（年）</v>
      </c>
      <c r="AA10" s="773">
        <f t="shared" si="3"/>
        <v>0.99009900990099009</v>
      </c>
      <c r="AB10" s="773">
        <f t="shared" si="4"/>
        <v>0.99009900990099009</v>
      </c>
      <c r="AC10" s="773">
        <f t="shared" si="5"/>
        <v>0.99009900990099009</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5"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2559</v>
      </c>
      <c r="B15" s="69" t="s">
        <v>2086</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2560</v>
      </c>
      <c r="Q15" s="1810" t="str">
        <f t="shared" si="6"/>
        <v>居住社区成熟度</v>
      </c>
      <c r="R15" s="774" t="s">
        <v>17</v>
      </c>
      <c r="S15" s="775">
        <f t="shared" si="0"/>
        <v>100</v>
      </c>
      <c r="T15" s="774" t="s">
        <v>17</v>
      </c>
      <c r="U15" s="775">
        <f t="shared" si="1"/>
        <v>100</v>
      </c>
      <c r="V15" s="774" t="s">
        <v>17</v>
      </c>
      <c r="W15" s="775">
        <f t="shared" si="2"/>
        <v>100</v>
      </c>
      <c r="X15" s="1813"/>
      <c r="Y15" s="3174" t="s">
        <v>2560</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5"/>
      <c r="Q17" s="1810" t="str">
        <f>B17</f>
        <v>商业繁华度</v>
      </c>
      <c r="R17" s="774" t="s">
        <v>17</v>
      </c>
      <c r="S17" s="775">
        <f>F17</f>
        <v>100</v>
      </c>
      <c r="T17" s="774" t="s">
        <v>17</v>
      </c>
      <c r="U17" s="775">
        <f>H17</f>
        <v>100</v>
      </c>
      <c r="V17" s="774" t="s">
        <v>17</v>
      </c>
      <c r="W17" s="775">
        <f>J17</f>
        <v>100</v>
      </c>
      <c r="X17" s="1813"/>
      <c r="Y17" s="3175"/>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71.25">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5"/>
      <c r="Q19" s="1810" t="str">
        <f>B19</f>
        <v>办公集聚程度</v>
      </c>
      <c r="R19" s="774" t="s">
        <v>17</v>
      </c>
      <c r="S19" s="775">
        <f>F19</f>
        <v>100</v>
      </c>
      <c r="T19" s="774" t="s">
        <v>17</v>
      </c>
      <c r="U19" s="775">
        <f>H19</f>
        <v>100</v>
      </c>
      <c r="V19" s="774" t="s">
        <v>17</v>
      </c>
      <c r="W19" s="775">
        <f>J19</f>
        <v>100</v>
      </c>
      <c r="X19" s="1813"/>
      <c r="Y19" s="3175"/>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175"/>
      <c r="Q20" s="1810"/>
      <c r="R20" s="774"/>
      <c r="S20" s="775"/>
      <c r="T20" s="774"/>
      <c r="U20" s="775"/>
      <c r="V20" s="774"/>
      <c r="W20" s="775"/>
      <c r="X20" s="1813"/>
      <c r="Y20" s="3175"/>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10" t="str">
        <f>B21</f>
        <v>交通便捷度</v>
      </c>
      <c r="R21" s="774" t="s">
        <v>17</v>
      </c>
      <c r="S21" s="775">
        <f>F21</f>
        <v>100</v>
      </c>
      <c r="T21" s="774" t="s">
        <v>17</v>
      </c>
      <c r="U21" s="775">
        <f>H21</f>
        <v>100</v>
      </c>
      <c r="V21" s="774" t="s">
        <v>17</v>
      </c>
      <c r="W21" s="775">
        <f>J21</f>
        <v>100</v>
      </c>
      <c r="X21" s="1813"/>
      <c r="Y21" s="3175"/>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5"/>
      <c r="Q23" s="1810" t="str">
        <f t="shared" ref="Q23:Q37" si="8">B23</f>
        <v>区域土地利用方向</v>
      </c>
      <c r="R23" s="774" t="s">
        <v>17</v>
      </c>
      <c r="S23" s="775">
        <f>F23</f>
        <v>100</v>
      </c>
      <c r="T23" s="774" t="s">
        <v>17</v>
      </c>
      <c r="U23" s="775">
        <f>H23</f>
        <v>100</v>
      </c>
      <c r="V23" s="774" t="s">
        <v>17</v>
      </c>
      <c r="W23" s="775">
        <f>J23</f>
        <v>100</v>
      </c>
      <c r="X23" s="1813"/>
      <c r="Y23" s="3175"/>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75"/>
      <c r="Q24" s="1810"/>
      <c r="R24" s="774"/>
      <c r="S24" s="775"/>
      <c r="T24" s="774"/>
      <c r="U24" s="775"/>
      <c r="V24" s="774"/>
      <c r="W24" s="775"/>
      <c r="X24" s="1813"/>
      <c r="Y24" s="3175"/>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10" t="str">
        <f t="shared" si="8"/>
        <v>自然及人文环境状况</v>
      </c>
      <c r="R25" s="774" t="s">
        <v>17</v>
      </c>
      <c r="S25" s="775">
        <f>F25</f>
        <v>100</v>
      </c>
      <c r="T25" s="774" t="s">
        <v>17</v>
      </c>
      <c r="U25" s="775">
        <f>H25</f>
        <v>100</v>
      </c>
      <c r="V25" s="774" t="s">
        <v>17</v>
      </c>
      <c r="W25" s="775">
        <f>J25</f>
        <v>100</v>
      </c>
      <c r="X25" s="1813"/>
      <c r="Y25" s="3175"/>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75"/>
      <c r="Q26" s="1810"/>
      <c r="R26" s="774"/>
      <c r="S26" s="775"/>
      <c r="T26" s="774"/>
      <c r="U26" s="775"/>
      <c r="V26" s="774"/>
      <c r="W26" s="775"/>
      <c r="X26" s="1813"/>
      <c r="Y26" s="3175"/>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5" t="str">
        <f t="shared" si="8"/>
        <v>公共配套设施</v>
      </c>
      <c r="R27" s="770" t="s">
        <v>17</v>
      </c>
      <c r="S27" s="771">
        <f>F27</f>
        <v>100</v>
      </c>
      <c r="T27" s="770" t="s">
        <v>17</v>
      </c>
      <c r="U27" s="771">
        <f>H27</f>
        <v>100</v>
      </c>
      <c r="V27" s="770" t="s">
        <v>17</v>
      </c>
      <c r="W27" s="771">
        <f>J27</f>
        <v>100</v>
      </c>
      <c r="X27" s="772"/>
      <c r="Y27" s="3175"/>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75"/>
      <c r="Q28" s="1795"/>
      <c r="R28" s="770"/>
      <c r="S28" s="771"/>
      <c r="T28" s="770"/>
      <c r="U28" s="771"/>
      <c r="V28" s="770"/>
      <c r="W28" s="771"/>
      <c r="X28" s="772"/>
      <c r="Y28" s="3175"/>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5"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75"/>
      <c r="Q30" s="1795"/>
      <c r="R30" s="770"/>
      <c r="S30" s="771"/>
      <c r="T30" s="770"/>
      <c r="U30" s="771"/>
      <c r="V30" s="770"/>
      <c r="W30" s="771"/>
      <c r="X30" s="772"/>
      <c r="Y30" s="317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10" t="str">
        <f t="shared" si="8"/>
        <v>毗邻道路的类型与等级</v>
      </c>
      <c r="R32" s="774" t="s">
        <v>17</v>
      </c>
      <c r="S32" s="775">
        <f t="shared" si="10"/>
        <v>100</v>
      </c>
      <c r="T32" s="774" t="s">
        <v>17</v>
      </c>
      <c r="U32" s="775">
        <f t="shared" si="11"/>
        <v>100</v>
      </c>
      <c r="V32" s="774" t="s">
        <v>17</v>
      </c>
      <c r="W32" s="775">
        <f t="shared" si="12"/>
        <v>100</v>
      </c>
      <c r="X32" s="1813"/>
      <c r="Y32" s="3175"/>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75"/>
      <c r="Q33" s="1810"/>
      <c r="R33" s="774"/>
      <c r="S33" s="775"/>
      <c r="T33" s="774"/>
      <c r="U33" s="775"/>
      <c r="V33" s="774"/>
      <c r="W33" s="775"/>
      <c r="X33" s="1813"/>
      <c r="Y33" s="317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10" t="str">
        <f t="shared" si="8"/>
        <v>土地级别</v>
      </c>
      <c r="R34" s="774" t="s">
        <v>17</v>
      </c>
      <c r="S34" s="775">
        <f t="shared" si="10"/>
        <v>100</v>
      </c>
      <c r="T34" s="774" t="s">
        <v>17</v>
      </c>
      <c r="U34" s="775">
        <f t="shared" si="11"/>
        <v>100</v>
      </c>
      <c r="V34" s="774" t="s">
        <v>17</v>
      </c>
      <c r="W34" s="775">
        <f t="shared" si="12"/>
        <v>100</v>
      </c>
      <c r="X34" s="1813"/>
      <c r="Y34" s="317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10">
        <f t="shared" si="8"/>
        <v>111</v>
      </c>
      <c r="R35" s="774" t="s">
        <v>17</v>
      </c>
      <c r="S35" s="775">
        <f t="shared" si="10"/>
        <v>100</v>
      </c>
      <c r="T35" s="774" t="s">
        <v>17</v>
      </c>
      <c r="U35" s="775">
        <f t="shared" si="11"/>
        <v>100</v>
      </c>
      <c r="V35" s="774" t="s">
        <v>17</v>
      </c>
      <c r="W35" s="775">
        <f t="shared" si="12"/>
        <v>100</v>
      </c>
      <c r="X35" s="1813"/>
      <c r="Y35" s="317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0" t="s">
        <v>2565</v>
      </c>
      <c r="Q36" s="1810">
        <f t="shared" si="8"/>
        <v>111</v>
      </c>
      <c r="R36" s="774" t="s">
        <v>17</v>
      </c>
      <c r="S36" s="775">
        <f t="shared" si="10"/>
        <v>100</v>
      </c>
      <c r="T36" s="774" t="s">
        <v>17</v>
      </c>
      <c r="U36" s="775">
        <f t="shared" si="11"/>
        <v>100</v>
      </c>
      <c r="V36" s="774" t="s">
        <v>17</v>
      </c>
      <c r="W36" s="775">
        <f t="shared" si="12"/>
        <v>100</v>
      </c>
      <c r="X36" s="1813"/>
      <c r="Y36" s="317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10" t="str">
        <f>B38</f>
        <v>宗地面积</v>
      </c>
      <c r="R38" s="774" t="s">
        <v>17</v>
      </c>
      <c r="S38" s="775" t="e">
        <f t="shared" si="10"/>
        <v>#N/A</v>
      </c>
      <c r="T38" s="774" t="s">
        <v>17</v>
      </c>
      <c r="U38" s="775" t="e">
        <f t="shared" si="11"/>
        <v>#N/A</v>
      </c>
      <c r="V38" s="774" t="s">
        <v>17</v>
      </c>
      <c r="W38" s="775" t="e">
        <f t="shared" si="12"/>
        <v>#N/A</v>
      </c>
      <c r="X38" s="1813"/>
      <c r="Y38" s="3179"/>
      <c r="Z38" s="1814" t="str">
        <f t="shared" si="13"/>
        <v>宗地面积</v>
      </c>
      <c r="AA38" s="1811" t="e">
        <f t="shared" si="3"/>
        <v>#N/A</v>
      </c>
      <c r="AB38" s="1811" t="e">
        <f t="shared" si="4"/>
        <v>#N/A</v>
      </c>
      <c r="AC38" s="1811" t="e">
        <f t="shared" si="5"/>
        <v>#N/A</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79" t="s">
        <v>2565</v>
      </c>
      <c r="Q42" s="1810" t="str">
        <f t="shared" si="14"/>
        <v>工程地质条件</v>
      </c>
      <c r="R42" s="774" t="s">
        <v>17</v>
      </c>
      <c r="S42" s="775">
        <f t="shared" si="10"/>
        <v>100</v>
      </c>
      <c r="T42" s="774" t="s">
        <v>17</v>
      </c>
      <c r="U42" s="775">
        <f t="shared" si="11"/>
        <v>100</v>
      </c>
      <c r="V42" s="774" t="s">
        <v>17</v>
      </c>
      <c r="W42" s="775">
        <f t="shared" si="12"/>
        <v>100</v>
      </c>
      <c r="X42" s="1813"/>
      <c r="Y42" s="317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2720</v>
      </c>
      <c r="B46" s="2707" t="s">
        <v>2756</v>
      </c>
      <c r="C46" s="682" t="s">
        <v>1</v>
      </c>
      <c r="D46" s="481"/>
      <c r="E46" s="482"/>
      <c r="F46" s="483"/>
      <c r="G46" s="484"/>
      <c r="H46" s="485"/>
      <c r="I46" s="482"/>
      <c r="J46" s="485"/>
      <c r="K46" s="783"/>
      <c r="L46" s="1143"/>
      <c r="M46" s="1144"/>
      <c r="N46" s="1131"/>
      <c r="O46" s="1144"/>
      <c r="P46" s="3172" t="str">
        <f>A46</f>
        <v>成交单价</v>
      </c>
      <c r="Q46" s="3172"/>
      <c r="R46" s="3203">
        <f>E46</f>
        <v>0</v>
      </c>
      <c r="S46" s="3203"/>
      <c r="T46" s="3203">
        <f>G46</f>
        <v>0</v>
      </c>
      <c r="U46" s="3203"/>
      <c r="V46" s="3203">
        <f>I46</f>
        <v>0</v>
      </c>
      <c r="W46" s="3203"/>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172" t="str">
        <f>A47</f>
        <v>比较价值（元/平方米）</v>
      </c>
      <c r="Q47" s="3172"/>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169" t="str">
        <f>A48</f>
        <v>估价对象XX用房的比较价值（楼面单价，元/平方米）</v>
      </c>
      <c r="Q48" s="3170"/>
      <c r="R48" s="3232" t="e">
        <f>ROUND(AVERAGE(R47:V47),0)</f>
        <v>#DIV/0!</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187" t="s">
        <v>2764</v>
      </c>
      <c r="H55" s="3233"/>
      <c r="I55" s="144" t="s">
        <v>2765</v>
      </c>
      <c r="J55" s="2710">
        <f>项目基本情况!F35</f>
        <v>0</v>
      </c>
      <c r="K55" s="2711" t="s">
        <v>2766</v>
      </c>
      <c r="L55" s="1106"/>
      <c r="M55" s="1144"/>
      <c r="N55" s="1144"/>
      <c r="O55" s="1144"/>
    </row>
    <row r="56" spans="1:15" s="692" customFormat="1">
      <c r="A56" s="688" t="s">
        <v>2767</v>
      </c>
      <c r="B56" s="689" t="e">
        <f>C48</f>
        <v>#DIV/0!</v>
      </c>
      <c r="C56" s="690">
        <v>1</v>
      </c>
      <c r="D56" s="1163">
        <v>1</v>
      </c>
      <c r="E56" s="690">
        <f>'数据-汇总表'!E8+'数据-汇总表'!E9</f>
        <v>12325.129999999997</v>
      </c>
      <c r="F56" s="1103" t="e">
        <f t="shared" ref="F56:F65" si="15">ROUND(B56*E56/10000,0)</f>
        <v>#DIV/0!</v>
      </c>
      <c r="G56" s="3183"/>
      <c r="H56" s="317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34"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34"/>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34"/>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34"/>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2256.6899999999991</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14581.819999999996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G32" sqref="G32"/>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4" t="s">
        <v>2813</v>
      </c>
      <c r="D2" s="2725" t="s">
        <v>2814</v>
      </c>
      <c r="E2" s="2726"/>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4" t="s">
        <v>2819</v>
      </c>
      <c r="D3" s="2725" t="s">
        <v>2820</v>
      </c>
      <c r="E3" s="2730"/>
      <c r="F3" s="2731" t="s">
        <v>2821</v>
      </c>
      <c r="G3" s="916" t="e">
        <f>IF(F3="宗地容积率",'数据-汇总表'!I4,IF(F3="估价对象容积率",'数据-汇总表'!I6,'数据-汇总表'!I7))</f>
        <v>#DIV/0!</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2"/>
      <c r="B4" s="3243"/>
      <c r="C4" s="3243"/>
      <c r="D4" s="3244"/>
      <c r="E4" s="3244"/>
      <c r="F4" s="3244"/>
      <c r="G4" s="3244"/>
      <c r="H4" s="3244"/>
      <c r="I4" s="3244"/>
      <c r="J4" s="3245"/>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t="e">
        <f>ROUND(IF(E2="商业",C6*C7+C16,(IF(E2="住宅",C6*C12+C16,C6+C16))),0)</f>
        <v>#DIV/0!</v>
      </c>
      <c r="D5" s="1787" t="e">
        <f>ROUND(IF(F17="增加",C6+C16,C6-C16),0)</f>
        <v>#DIV/0!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46" t="str">
        <f>IF(E2="商业",IF(C8="不临58条商业街","",2),"")</f>
        <v/>
      </c>
      <c r="B7" s="2748" t="s">
        <v>2832</v>
      </c>
      <c r="C7" s="919" t="e">
        <f>IF(C8="不临58条商业街",1,ROUND(1+(1.6*E8+1.2*E9+0.8*E10+0.4*E11)*C9,4))</f>
        <v>#DIV/0!</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247"/>
      <c r="B8" s="198" t="s">
        <v>2837</v>
      </c>
      <c r="C8" s="2753"/>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39" t="s">
        <v>2840</v>
      </c>
      <c r="X8" s="3240"/>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47"/>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1"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7"/>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7"/>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1"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6"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1"/>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8"/>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t="e">
        <f t="shared" si="0"/>
        <v>#DIV/0!</v>
      </c>
      <c r="U13" s="1603"/>
      <c r="V13" s="1602" t="e">
        <f t="shared" si="1"/>
        <v>#DIV/0!</v>
      </c>
      <c r="W13" s="324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48"/>
      <c r="B14" s="2771"/>
      <c r="C14" s="2772"/>
      <c r="D14" s="2773"/>
      <c r="E14" s="2773"/>
      <c r="F14" s="2774"/>
      <c r="G14" s="2775" t="s">
        <v>2877</v>
      </c>
      <c r="H14" s="2776"/>
      <c r="I14" s="2777"/>
      <c r="J14" s="277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49"/>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6" t="s">
        <v>2883</v>
      </c>
      <c r="B16" s="2748" t="s">
        <v>2884</v>
      </c>
      <c r="C16" s="2938" t="e">
        <f>ROUND(IF(F17="与级别开发程度一致",0,(G17-E17)/C17),0)</f>
        <v>#DIV/0!</v>
      </c>
      <c r="D16" s="3260" t="s">
        <v>2888</v>
      </c>
      <c r="E16" s="3261"/>
      <c r="F16" s="3260" t="s">
        <v>2885</v>
      </c>
      <c r="G16" s="3261"/>
      <c r="H16" s="2782"/>
      <c r="I16" s="2782"/>
      <c r="J16" s="2942"/>
      <c r="K16" s="2782"/>
      <c r="L16" s="2782"/>
      <c r="M16" s="2782"/>
      <c r="N16" s="2782"/>
      <c r="O16" s="278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0"/>
      <c r="B17" s="2949" t="s">
        <v>2887</v>
      </c>
      <c r="C17" s="2950">
        <f>SUMPRODUCT((修正!A2:A5=E2)*(修正!B1:M1=G2)*(修正!B2:M5))</f>
        <v>0</v>
      </c>
      <c r="D17" s="229" t="str">
        <f>IF(OR(G2="八级",G2="九级",G2="十级",G2="十一级",G2="十二级"),"五通一平","七通一平")</f>
        <v>七通一平</v>
      </c>
      <c r="E17" s="2939">
        <f>SUMPRODUCT((修正!B1:M1=G2)*(修正!B15:M15))</f>
        <v>0</v>
      </c>
      <c r="F17" s="2940"/>
      <c r="G17" s="2941">
        <f>SUM(H17:O17)</f>
        <v>0</v>
      </c>
      <c r="H17" s="2950">
        <f>SUMPRODUCT((七通一平=H16)*(修正!B1:M1=G2)*(修正!B6:M14))</f>
        <v>0</v>
      </c>
      <c r="I17" s="2950">
        <f>SUMPRODUCT((七通一平=I16)*(修正!B1:M1=G2)*(修正!B6:M14))</f>
        <v>0</v>
      </c>
      <c r="J17" s="2951">
        <f>SUMPRODUCT((七通一平=J16)*(修正!B1:M1=G2)*(修正!B6:M14))</f>
        <v>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2890</v>
      </c>
      <c r="C18" s="2945">
        <f>SUMIF(修正!C18:C39,E3,修正!E18:E39)</f>
        <v>0</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t="e">
        <f>ROUND(IF(H19="按公示增长率计算",SUMPRODUCT((地价!A3:A26=YEAR(G19)&amp;"-"&amp;ROUNDUP(MONTH(G19)/3,0))*(地价!X2:AB2=E2)*(地价!X3:AB26)),IF(H19="地价指数",M20/M19,(1+I19)^O19)),4)</f>
        <v>#DIV/0!</v>
      </c>
      <c r="D19" s="2792" t="s">
        <v>2892</v>
      </c>
      <c r="E19" s="925">
        <v>41640</v>
      </c>
      <c r="F19" s="2792" t="s">
        <v>2893</v>
      </c>
      <c r="G19" s="926">
        <f>'数据-取费表'!B2</f>
        <v>43609</v>
      </c>
      <c r="H19" s="2793" t="s">
        <v>2894</v>
      </c>
      <c r="I19" s="927" t="str">
        <f>IF(H19="季度增幅（自定义）",SUMIF(N21:N24,E2,O21:O24),"")</f>
        <v/>
      </c>
      <c r="J19" s="2790"/>
      <c r="K19" s="1377"/>
      <c r="L19" s="2794" t="s">
        <v>2895</v>
      </c>
      <c r="M19" s="1734">
        <f>ROUND(SUMIF(地价!B2:F2,E2,地价!B26:F26),0)</f>
        <v>0</v>
      </c>
      <c r="N19" s="2795"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2897</v>
      </c>
      <c r="C20" s="929" t="e">
        <f>ROUND(POWER(1+G20,J20-I20)*(POWER(1+G20,I20)-1)/(POWER(1+G20,J20)-1),4)</f>
        <v>#DIV/0!</v>
      </c>
      <c r="D20" s="2801" t="s">
        <v>2898</v>
      </c>
      <c r="E20" s="1768">
        <f ca="1">存贷款利率!D4/100</f>
        <v>4.3499999999999997E-2</v>
      </c>
      <c r="F20" s="2801" t="s">
        <v>2889</v>
      </c>
      <c r="G20" s="934">
        <f>SUMIF(M26:P26,E2,M28:P28)</f>
        <v>0</v>
      </c>
      <c r="H20" s="2801" t="s">
        <v>2899</v>
      </c>
      <c r="I20" s="935" t="e">
        <f>SUMIF('数据-取费表'!C6:C15,E2,'数据-取费表'!F6:F15)/COUNTIF('数据-取费表'!C6:C15,E2)</f>
        <v>#DIV/0!</v>
      </c>
      <c r="J20" s="936">
        <f>IF(E2="住宅",70,IF(E2="商业",40,50))</f>
        <v>50</v>
      </c>
      <c r="K20" s="1377"/>
      <c r="L20" s="2802" t="s">
        <v>2900</v>
      </c>
      <c r="M20" s="1735">
        <f>ROUND(SUMPRODUCT((地价!A4:A26=YEAR(G19)&amp;"-"&amp;ROUNDUP(MONTH(G19)/3,0))*(地价!B2:F2=E2)*(地价!B4:F26)),0)</f>
        <v>0</v>
      </c>
      <c r="N20" s="2803" t="s">
        <v>2901</v>
      </c>
      <c r="O20" s="2804" t="s">
        <v>2902</v>
      </c>
      <c r="P20" s="2805" t="s">
        <v>2903</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2904</v>
      </c>
      <c r="C21" s="937" t="e">
        <f>IF(B21="容积率修正",IF(G3&lt;=10,D22,J22),C23)</f>
        <v>#DIV/0!</v>
      </c>
      <c r="D21" s="2808"/>
      <c r="E21" s="2808"/>
      <c r="F21" s="2808"/>
      <c r="G21" s="2808"/>
      <c r="H21" s="2808"/>
      <c r="I21" s="2808"/>
      <c r="J21" s="2809"/>
      <c r="K21" s="1377"/>
      <c r="N21" s="2810"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2906</v>
      </c>
      <c r="B22" s="2811" t="s">
        <v>2907</v>
      </c>
      <c r="C22" s="1810" t="s">
        <v>2908</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10"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2910</v>
      </c>
      <c r="B23" s="2812" t="s">
        <v>2911</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2913</v>
      </c>
      <c r="C24" s="924">
        <f>SUMIF(A45:A88,E2,B45:B88)</f>
        <v>0</v>
      </c>
      <c r="D24" s="2789"/>
      <c r="E24" s="2818"/>
      <c r="F24" s="2818"/>
      <c r="G24" s="2818"/>
      <c r="H24" s="2818"/>
      <c r="I24" s="2818"/>
      <c r="J24" s="2819"/>
      <c r="K24" s="1377"/>
      <c r="N24" s="2820"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2915</v>
      </c>
      <c r="C25" s="930"/>
      <c r="D25" s="2751"/>
      <c r="E25" s="2751"/>
      <c r="F25" s="2822"/>
      <c r="G25" s="2751"/>
      <c r="H25" s="2751"/>
      <c r="I25" s="2751"/>
      <c r="J25" s="2752"/>
      <c r="K25" s="1370"/>
      <c r="N25" s="2823"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2917</v>
      </c>
      <c r="C26" s="206" t="e">
        <f>E29+SUM(E33:E39)</f>
        <v>#DIV/0!</v>
      </c>
      <c r="D26" s="2825"/>
      <c r="E26" s="2776"/>
      <c r="F26" s="2826"/>
      <c r="G26" s="2776"/>
      <c r="H26" s="2776"/>
      <c r="I26" s="2776"/>
      <c r="J26" s="2827"/>
      <c r="K26" s="1370"/>
      <c r="L26" s="2780" t="s">
        <v>2814</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2918</v>
      </c>
      <c r="C27" s="931" t="e">
        <f>E30+SUM(I33:I39)</f>
        <v>#DIV/0!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2919</v>
      </c>
      <c r="C28" s="2835" t="s">
        <v>2920</v>
      </c>
      <c r="D28" s="2835" t="s">
        <v>2921</v>
      </c>
      <c r="E28" s="2836" t="s">
        <v>2922</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2923</v>
      </c>
      <c r="C29" s="206" t="e">
        <f>ROUND(C5*C18*C19*C20*C21*C24,0)</f>
        <v>#DIV/0!</v>
      </c>
      <c r="D29" s="2840"/>
      <c r="E29" s="942" t="e">
        <f>ROUND(C29*D29/10000,0)</f>
        <v>#DIV/0!</v>
      </c>
      <c r="F29" s="2841" t="s">
        <v>2924</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2925</v>
      </c>
      <c r="C30" s="229" t="e">
        <f>ROUND(IF(E2="工业",C29*M39,C29*M38),0)</f>
        <v>#DIV/0!</v>
      </c>
      <c r="D30" s="2846"/>
      <c r="E30" s="942" t="e">
        <f>ROUND(C30*D30/10000,0)</f>
        <v>#DIV/0!</v>
      </c>
      <c r="F30" s="2847" t="s">
        <v>2926</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2927</v>
      </c>
      <c r="C31" s="2852" t="s">
        <v>2928</v>
      </c>
      <c r="D31" s="2764"/>
      <c r="E31" s="2852"/>
      <c r="F31" s="2852"/>
      <c r="G31" s="2762" t="s">
        <v>2929</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2920</v>
      </c>
      <c r="D32" s="498" t="s">
        <v>2921</v>
      </c>
      <c r="E32" s="498" t="s">
        <v>2922</v>
      </c>
      <c r="F32" s="388" t="s">
        <v>2930</v>
      </c>
      <c r="G32" s="2855" t="s">
        <v>2920</v>
      </c>
      <c r="H32" s="2855" t="s">
        <v>2921</v>
      </c>
      <c r="I32" s="2855"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57" t="s">
        <v>2931</v>
      </c>
      <c r="B33" s="2856" t="s">
        <v>2932</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8" t="s">
        <v>2933</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8" t="s">
        <v>2934</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59"/>
      <c r="B36" s="2768" t="s">
        <v>2935</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2936</v>
      </c>
      <c r="C37" s="200" t="e">
        <f>ROUND(D5*C19*C20*C24*F37,0)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2937</v>
      </c>
      <c r="M37" s="2860"/>
      <c r="N37" s="1370"/>
      <c r="O37" s="1370"/>
      <c r="P37" s="1370"/>
      <c r="Q37" s="1370"/>
      <c r="R37" s="1370"/>
      <c r="S37" s="1370"/>
      <c r="T37" s="1370"/>
      <c r="U37" s="1370"/>
      <c r="V37" s="1370"/>
      <c r="W37" s="1370"/>
      <c r="X37" s="1370"/>
      <c r="Y37" s="1370"/>
      <c r="Z37" s="1371"/>
    </row>
    <row r="38" spans="1:37">
      <c r="A38" s="2858"/>
      <c r="B38" s="2768" t="s">
        <v>2938</v>
      </c>
      <c r="C38" s="200" t="e">
        <f>ROUND(D5*C19*C41*C24*F38,0)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7" t="s">
        <v>2939</v>
      </c>
      <c r="M38" s="2861">
        <v>0.25</v>
      </c>
      <c r="N38" s="1370"/>
      <c r="O38" s="1370"/>
      <c r="P38" s="1370"/>
      <c r="Q38" s="1370"/>
      <c r="R38" s="1370"/>
      <c r="S38" s="1370"/>
      <c r="T38" s="1370"/>
      <c r="U38" s="1370"/>
      <c r="V38" s="1370"/>
      <c r="W38" s="1370"/>
      <c r="X38" s="1370"/>
      <c r="Y38" s="1370"/>
      <c r="Z38" s="1371"/>
    </row>
    <row r="39" spans="1:37" ht="13.5" thickBot="1">
      <c r="A39" s="2844"/>
      <c r="B39" s="2862" t="s">
        <v>2940</v>
      </c>
      <c r="C39" s="229" t="e">
        <f>ROUND(D5*C19*C41*C24*F39,0)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3051</v>
      </c>
      <c r="C41" s="388" t="e">
        <f>ROUND(POWER(1+E41,H41-G41)*(POWER(1+E41,G41)-1)/(POWER(1+E41,H41)-1),4)</f>
        <v>#DIV/0!</v>
      </c>
      <c r="D41" s="200" t="s">
        <v>2889</v>
      </c>
      <c r="E41" s="2932">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2941</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2942</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2943</v>
      </c>
      <c r="B47" s="1809" t="s">
        <v>2944</v>
      </c>
      <c r="C47" s="1809" t="s">
        <v>2945</v>
      </c>
      <c r="D47" s="1809" t="s">
        <v>2946</v>
      </c>
      <c r="E47" s="819" t="s">
        <v>2947</v>
      </c>
      <c r="F47" s="2874" t="s">
        <v>2948</v>
      </c>
      <c r="G47" s="1809" t="s">
        <v>754</v>
      </c>
      <c r="H47" s="2875" t="s">
        <v>2949</v>
      </c>
      <c r="I47" s="1809" t="s">
        <v>2950</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2951</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2952</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2953</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2954</v>
      </c>
      <c r="B51" s="2878" t="s">
        <v>2955</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2956</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2957</v>
      </c>
      <c r="B53" s="2879" t="s">
        <v>2958</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2959</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2960</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2961</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2962</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2943</v>
      </c>
      <c r="B58" s="1809"/>
      <c r="C58" s="1809" t="s">
        <v>2945</v>
      </c>
      <c r="D58" s="1809" t="s">
        <v>2946</v>
      </c>
      <c r="E58" s="819" t="s">
        <v>2947</v>
      </c>
      <c r="F58" s="2874" t="s">
        <v>2963</v>
      </c>
      <c r="G58" s="1809" t="s">
        <v>754</v>
      </c>
      <c r="H58" s="2875" t="s">
        <v>2949</v>
      </c>
      <c r="I58" s="1809" t="s">
        <v>2950</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2964</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2952</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2953</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2954</v>
      </c>
      <c r="B62" s="2878" t="s">
        <v>2955</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2956</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2957</v>
      </c>
      <c r="B64" s="2879" t="s">
        <v>2958</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2959</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2960</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2961</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2965</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2943</v>
      </c>
      <c r="B69" s="1809"/>
      <c r="C69" s="1809" t="s">
        <v>2945</v>
      </c>
      <c r="D69" s="1809" t="s">
        <v>2946</v>
      </c>
      <c r="E69" s="819" t="s">
        <v>2947</v>
      </c>
      <c r="F69" s="2874" t="s">
        <v>2963</v>
      </c>
      <c r="G69" s="1809" t="s">
        <v>754</v>
      </c>
      <c r="H69" s="2875" t="s">
        <v>2949</v>
      </c>
      <c r="I69" s="1809" t="s">
        <v>2950</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2966</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2952</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2953</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2967</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2959</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2960</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2957</v>
      </c>
      <c r="B76" s="2879" t="s">
        <v>2958</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2961</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2968</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2969</v>
      </c>
      <c r="B79" s="2870">
        <f>1+E81</f>
        <v>1</v>
      </c>
      <c r="C79" s="814"/>
      <c r="D79" s="814"/>
      <c r="E79" s="815"/>
      <c r="F79" s="2872"/>
      <c r="G79" s="6"/>
      <c r="H79" s="6"/>
      <c r="I79" s="6"/>
      <c r="J79" s="7"/>
      <c r="K79" s="7"/>
      <c r="L79" s="7"/>
      <c r="M79" s="7"/>
      <c r="N79" s="7"/>
      <c r="Z79" s="2723"/>
      <c r="AA79" s="2791"/>
      <c r="AG79" s="1372"/>
      <c r="AK79" s="2791"/>
    </row>
    <row r="80" spans="1:37" ht="24.75">
      <c r="A80" s="2873" t="s">
        <v>2943</v>
      </c>
      <c r="B80" s="1809"/>
      <c r="C80" s="1809" t="s">
        <v>2945</v>
      </c>
      <c r="D80" s="1809" t="s">
        <v>2946</v>
      </c>
      <c r="E80" s="819" t="s">
        <v>2947</v>
      </c>
      <c r="F80" s="2874" t="s">
        <v>2963</v>
      </c>
      <c r="G80" s="1809" t="s">
        <v>754</v>
      </c>
      <c r="H80" s="2875" t="s">
        <v>2949</v>
      </c>
      <c r="I80" s="1809" t="s">
        <v>2950</v>
      </c>
      <c r="J80" s="603" t="s">
        <v>2597</v>
      </c>
      <c r="K80" s="603" t="s">
        <v>2598</v>
      </c>
      <c r="L80" s="603" t="s">
        <v>2599</v>
      </c>
      <c r="M80" s="603" t="s">
        <v>2600</v>
      </c>
      <c r="N80" s="603" t="s">
        <v>2601</v>
      </c>
      <c r="Z80" s="2723"/>
      <c r="AA80" s="2791"/>
      <c r="AG80" s="1372"/>
      <c r="AK80" s="2791"/>
    </row>
    <row r="81" spans="1:37" ht="38.25">
      <c r="A81" s="2873" t="s">
        <v>2970</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2952</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2953</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2967</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2959</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2960</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2957</v>
      </c>
      <c r="B87" s="2879" t="s">
        <v>2971</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2972</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51" t="s">
        <v>2973</v>
      </c>
      <c r="B90" s="3251"/>
      <c r="C90" s="3251"/>
      <c r="D90" s="3251"/>
      <c r="E90" s="3251"/>
      <c r="F90" s="3251"/>
      <c r="G90" s="3251"/>
      <c r="H90" s="3251"/>
      <c r="I90" s="3251"/>
      <c r="J90" s="3251"/>
      <c r="K90" s="2887"/>
      <c r="L90" s="2887"/>
      <c r="M90" s="2887"/>
      <c r="N90" s="2887"/>
    </row>
    <row r="91" spans="1:37">
      <c r="A91" s="3253" t="s">
        <v>2974</v>
      </c>
      <c r="B91" s="3253" t="s">
        <v>2975</v>
      </c>
      <c r="C91" s="2841" t="s">
        <v>2976</v>
      </c>
      <c r="D91" s="2842"/>
      <c r="E91" s="2842"/>
      <c r="F91" s="2842"/>
      <c r="G91" s="2842"/>
      <c r="H91" s="2842"/>
      <c r="I91" s="2842"/>
      <c r="J91" s="2888"/>
      <c r="K91" s="2889"/>
      <c r="L91" s="2889"/>
      <c r="M91" s="2889"/>
      <c r="N91" s="2889"/>
    </row>
    <row r="92" spans="1:37">
      <c r="A92" s="3253"/>
      <c r="B92" s="3253"/>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4"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5"/>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5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54" t="s">
        <v>2978</v>
      </c>
      <c r="B101" s="2894" t="s">
        <v>2979</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55"/>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55"/>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55"/>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55"/>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55"/>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55"/>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55"/>
      <c r="B108" s="3112"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56"/>
      <c r="B109" s="311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52" t="s">
        <v>2981</v>
      </c>
      <c r="B110" s="3252"/>
      <c r="C110" s="3252"/>
      <c r="D110" s="3252"/>
      <c r="E110" s="3252"/>
      <c r="F110" s="3252"/>
      <c r="G110" s="3252"/>
      <c r="H110" s="3252"/>
      <c r="I110" s="3252"/>
      <c r="J110" s="3252"/>
      <c r="K110" s="2896"/>
      <c r="L110" s="2896"/>
      <c r="M110" s="2896"/>
      <c r="N110" s="2896"/>
    </row>
    <row r="112" spans="1:14" ht="13.5" thickBot="1"/>
    <row r="113" spans="1:13" ht="25.5" thickBot="1">
      <c r="A113" s="903" t="s">
        <v>2982</v>
      </c>
      <c r="B113" s="1287" t="e">
        <f>G3</f>
        <v>#DIV/0!</v>
      </c>
      <c r="C113" s="904" t="s">
        <v>2983</v>
      </c>
      <c r="D113" s="905" t="e">
        <f>SUMPRODUCT((A115:A118=F113)*(B114:M114=H113)*B115:M118)</f>
        <v>#DIV/0!</v>
      </c>
      <c r="E113" s="2727" t="s">
        <v>2814</v>
      </c>
      <c r="F113" s="2898">
        <f>E2</f>
        <v>0</v>
      </c>
      <c r="G113" s="2727" t="s">
        <v>2815</v>
      </c>
      <c r="H113" s="2898">
        <f>G2</f>
        <v>0</v>
      </c>
      <c r="I113" s="2727"/>
      <c r="J113" s="2899"/>
      <c r="K113" s="2899"/>
      <c r="L113" s="2899"/>
      <c r="M113" s="2899"/>
    </row>
    <row r="114" spans="1:13">
      <c r="A114" s="908"/>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1" sqref="E1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1"/>
      <c r="C1" s="1582"/>
      <c r="D1" s="1580"/>
      <c r="E1" s="320"/>
      <c r="F1" s="320"/>
      <c r="G1" s="1581"/>
      <c r="H1" s="320"/>
      <c r="I1" s="320"/>
      <c r="J1" s="320"/>
      <c r="K1" s="320">
        <f>MATCH(C1,'数据-取费表'!A6:A16,0)+5</f>
        <v>9</v>
      </c>
    </row>
    <row r="2" spans="1:33" ht="18" customHeight="1">
      <c r="A2" s="245" t="s">
        <v>2330</v>
      </c>
      <c r="B2" s="248">
        <f ca="1">C32</f>
        <v>80272</v>
      </c>
      <c r="C2" s="320" t="s">
        <v>2463</v>
      </c>
      <c r="D2" s="320"/>
      <c r="E2" s="320"/>
      <c r="F2" s="320"/>
      <c r="G2" s="320"/>
      <c r="H2" s="320"/>
      <c r="I2" s="320"/>
      <c r="J2" s="320"/>
      <c r="K2" s="320"/>
    </row>
    <row r="3" spans="1:33" ht="18" customHeight="1" thickBot="1">
      <c r="A3" s="247" t="s">
        <v>2332</v>
      </c>
      <c r="B3" s="248">
        <f ca="1">ROUND(B2*10000/IF(C1="",'数据-汇总表'!E3,INDIRECT("'数据-取费表'!K"&amp;$K$1)),0)</f>
        <v>55049</v>
      </c>
      <c r="C3" s="320" t="s">
        <v>2464</v>
      </c>
      <c r="D3" s="320"/>
      <c r="E3" s="320"/>
      <c r="F3" s="320"/>
      <c r="G3" s="320"/>
      <c r="H3" s="320"/>
      <c r="I3" s="320"/>
      <c r="J3" s="320"/>
      <c r="K3" s="320"/>
    </row>
    <row r="4" spans="1:33" s="956" customFormat="1" ht="16.5" customHeight="1">
      <c r="A4" s="953" t="s">
        <v>2465</v>
      </c>
      <c r="B4" s="954"/>
      <c r="C4" s="996">
        <f ca="1">SUM(C8:K8)</f>
        <v>89694</v>
      </c>
      <c r="D4" s="954"/>
      <c r="E4" s="954"/>
      <c r="F4" s="954"/>
      <c r="G4" s="954"/>
      <c r="H4" s="954"/>
      <c r="I4" s="954"/>
      <c r="J4" s="954"/>
      <c r="K4" s="955"/>
    </row>
    <row r="5" spans="1:33" s="960" customFormat="1" ht="15">
      <c r="A5" s="957" t="s">
        <v>2466</v>
      </c>
      <c r="B5" s="958" t="s">
        <v>2467</v>
      </c>
      <c r="C5" s="2557" t="s">
        <v>3286</v>
      </c>
      <c r="D5" s="2557" t="s">
        <v>1373</v>
      </c>
      <c r="E5" s="2557" t="s">
        <v>3285</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v>80000</v>
      </c>
      <c r="D6" s="962">
        <f ca="1">收益法!B3</f>
        <v>29350</v>
      </c>
      <c r="E6" s="962">
        <v>6000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10299.269999999997</v>
      </c>
      <c r="D7" s="321">
        <f>SUMIF('数据-汇总表'!$C19:$C33,假设开发法!D5,'数据-汇总表'!$E19:$E33)</f>
        <v>2025.8600000000001</v>
      </c>
      <c r="E7" s="321">
        <f>SUMIF('数据-汇总表'!$C19:$C33,假设开发法!E5,'数据-汇总表'!$E19:$E33)</f>
        <v>2256.6899999999991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v>58</v>
      </c>
      <c r="M7" s="964">
        <f>L7*E6</f>
        <v>348000</v>
      </c>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f>ROUND(C6*C7/10000,0)</f>
        <v>82394</v>
      </c>
      <c r="D8" s="997">
        <f ca="1">收益法!B2</f>
        <v>5946</v>
      </c>
      <c r="E8" s="997">
        <f>ROUND(E6*E7/10000,0)</f>
        <v>1354</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244</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2481</v>
      </c>
      <c r="C12" s="24">
        <f ca="1">ROUND(C11*F12,0)</f>
        <v>7</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18</v>
      </c>
      <c r="D13" s="1033"/>
      <c r="E13" s="375"/>
      <c r="F13" s="976">
        <f>'数据-取费表'!B34</f>
        <v>0.1</v>
      </c>
      <c r="G13" s="8" t="s">
        <v>2484</v>
      </c>
      <c r="H13" s="968"/>
      <c r="I13" s="968"/>
      <c r="J13" s="968"/>
      <c r="K13" s="969"/>
    </row>
    <row r="14" spans="1:33" s="977" customFormat="1" ht="13.5" customHeight="1">
      <c r="A14" s="971" t="s">
        <v>1333</v>
      </c>
      <c r="B14" s="972" t="s">
        <v>2485</v>
      </c>
      <c r="C14" s="24">
        <f ca="1">ROUND(D14*E14*F11/10000,0)</f>
        <v>15</v>
      </c>
      <c r="D14" s="1033">
        <f ca="1">IF(C1="",'数据-汇总表'!E3,INDIRECT("'数据-取费表'!K"&amp;$K$1)+INDIRECT("'数据-取费表'!S"&amp;$K$1))</f>
        <v>14581.819999999996</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4</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288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14581.819999999996</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10299.269999999997</v>
      </c>
      <c r="E19" s="24">
        <f>'数据-取费表'!B27</f>
        <v>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4282.5499999999993</v>
      </c>
      <c r="E20" s="24">
        <f>'数据-取费表'!B28</f>
        <v>0</v>
      </c>
      <c r="F20" s="976"/>
      <c r="G20" s="15"/>
      <c r="H20" s="981"/>
      <c r="I20" s="981"/>
      <c r="J20" s="981"/>
      <c r="K20" s="982"/>
    </row>
    <row r="21" spans="1:33" s="975" customFormat="1" ht="13.5" customHeight="1">
      <c r="A21" s="961" t="s">
        <v>802</v>
      </c>
      <c r="B21" s="985" t="s">
        <v>2496</v>
      </c>
      <c r="C21" s="986">
        <f ca="1">C16+C17+C18</f>
        <v>288</v>
      </c>
      <c r="D21" s="987"/>
      <c r="E21" s="325"/>
      <c r="F21" s="325"/>
      <c r="G21" s="140" t="s">
        <v>2497</v>
      </c>
      <c r="H21" s="979"/>
      <c r="I21" s="979"/>
      <c r="J21" s="979"/>
      <c r="K21" s="980"/>
    </row>
    <row r="22" spans="1:33" s="975" customFormat="1" ht="13.5" customHeight="1">
      <c r="A22" s="961" t="s">
        <v>2469</v>
      </c>
      <c r="B22" s="985" t="s">
        <v>2498</v>
      </c>
      <c r="C22" s="986">
        <f ca="1">ROUND(C21*F22,0)</f>
        <v>9</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90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9.5999999999999992E-3</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2</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2509</v>
      </c>
      <c r="B28" s="2562" t="s">
        <v>2510</v>
      </c>
      <c r="C28" s="331">
        <f ca="1">C30</f>
        <v>81</v>
      </c>
      <c r="D28" s="324">
        <f ca="1">C29</f>
        <v>1.44E-2</v>
      </c>
      <c r="E28" s="326" t="s">
        <v>15</v>
      </c>
      <c r="F28" s="332">
        <f ca="1">IF(C1="",'数据-取费表'!Q16,INDIRECT("'数据-取费表'!q"&amp;$K$1))</f>
        <v>0.21</v>
      </c>
      <c r="G28" s="989"/>
      <c r="H28" s="990"/>
      <c r="I28" s="990"/>
      <c r="J28" s="990"/>
      <c r="K28" s="991"/>
    </row>
    <row r="29" spans="1:33" s="335" customFormat="1" ht="13.5" customHeight="1">
      <c r="A29" s="971" t="s">
        <v>803</v>
      </c>
      <c r="B29" s="994" t="s">
        <v>2511</v>
      </c>
      <c r="C29" s="328">
        <f ca="1">ROUND((1+C24)*F28*'数据-取费表'!B24/'数据-取费表'!B20,4)</f>
        <v>1.44E-2</v>
      </c>
      <c r="D29" s="328"/>
      <c r="E29" s="329"/>
      <c r="F29" s="334"/>
      <c r="G29" s="140" t="s">
        <v>2512</v>
      </c>
      <c r="H29" s="979"/>
      <c r="I29" s="979"/>
      <c r="J29" s="979"/>
      <c r="K29" s="980"/>
    </row>
    <row r="30" spans="1:33" s="335" customFormat="1" ht="13.5" customHeight="1">
      <c r="A30" s="971" t="s">
        <v>804</v>
      </c>
      <c r="B30" s="994" t="s">
        <v>2513</v>
      </c>
      <c r="C30" s="336">
        <f ca="1">ROUND((C21+C22+C23)*F28,0)</f>
        <v>81</v>
      </c>
      <c r="D30" s="328"/>
      <c r="E30" s="329"/>
      <c r="F30" s="334"/>
      <c r="G30" s="140"/>
      <c r="H30" s="979"/>
      <c r="I30" s="979"/>
      <c r="J30" s="979"/>
      <c r="K30" s="980"/>
    </row>
    <row r="31" spans="1:33" s="975" customFormat="1" ht="13.5" customHeight="1" thickBot="1">
      <c r="A31" s="2563" t="s">
        <v>2514</v>
      </c>
      <c r="B31" s="1005" t="s">
        <v>2515</v>
      </c>
      <c r="C31" s="1006">
        <f ca="1">ROUND(C4*F31/(1+'数据-取费表'!C42),0)</f>
        <v>4698</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80272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3" sqref="G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3291</v>
      </c>
      <c r="E1" s="1821" t="s">
        <v>1383</v>
      </c>
      <c r="F1" s="1283">
        <f ca="1">J53</f>
        <v>36.239999999999995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5946</v>
      </c>
      <c r="C2" s="1845" t="s">
        <v>1512</v>
      </c>
      <c r="D2" s="1845"/>
      <c r="E2" s="1846"/>
      <c r="F2" s="1847"/>
      <c r="G2" s="1848"/>
      <c r="H2" s="1840"/>
      <c r="I2" s="1840"/>
      <c r="J2" s="1840"/>
      <c r="K2" s="1841"/>
      <c r="L2" s="1840"/>
      <c r="M2" s="1840"/>
    </row>
    <row r="3" spans="1:37" ht="18" customHeight="1" thickBot="1">
      <c r="A3" s="1849" t="s">
        <v>1513</v>
      </c>
      <c r="B3" s="1850">
        <f ca="1">IF(ISERROR(B2*10000/F43),0,ROUND(B2*10000/F43,0))</f>
        <v>29350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333</v>
      </c>
      <c r="D5" s="1822" t="s">
        <v>1398</v>
      </c>
      <c r="E5" s="1293"/>
      <c r="F5" s="1294"/>
      <c r="G5" s="1851"/>
      <c r="H5" s="344">
        <v>1</v>
      </c>
      <c r="I5" s="345" t="s">
        <v>1397</v>
      </c>
      <c r="J5" s="1292">
        <f ca="1">J6+J10+J12</f>
        <v>0</v>
      </c>
      <c r="K5" s="1822" t="s">
        <v>1398</v>
      </c>
      <c r="L5" s="1293"/>
      <c r="M5" s="1294"/>
    </row>
    <row r="6" spans="1:37" ht="18" customHeight="1">
      <c r="A6" s="1291" t="s">
        <v>1032</v>
      </c>
      <c r="B6" s="3144" t="s">
        <v>1399</v>
      </c>
      <c r="C6" s="1296">
        <f ca="1">ROUND(F6*F8*F7*(1-F9)/10000,0)</f>
        <v>333</v>
      </c>
      <c r="D6" s="164" t="s">
        <v>3033</v>
      </c>
      <c r="E6" s="347" t="s">
        <v>1401</v>
      </c>
      <c r="F6" s="348">
        <f ca="1">INDIRECT("'数据-取费表'!u"&amp;$G$1)</f>
        <v>5</v>
      </c>
      <c r="G6" s="1851"/>
      <c r="H6" s="1291" t="s">
        <v>1032</v>
      </c>
      <c r="I6" s="3144" t="s">
        <v>1399</v>
      </c>
      <c r="J6" s="346">
        <f ca="1">ROUND(M6*M8*M7*(1-M9)/10000,0)</f>
        <v>0</v>
      </c>
      <c r="K6" s="164" t="s">
        <v>3032</v>
      </c>
      <c r="L6" s="347" t="s">
        <v>1401</v>
      </c>
      <c r="M6" s="348">
        <f ca="1">INDIRECT("'数据-取费表'!z"&amp;$G$1)</f>
        <v>0</v>
      </c>
    </row>
    <row r="7" spans="1:37" ht="18" customHeight="1">
      <c r="A7" s="1295"/>
      <c r="B7" s="3145"/>
      <c r="C7" s="1297"/>
      <c r="D7" s="352"/>
      <c r="E7" s="1298" t="s">
        <v>1402</v>
      </c>
      <c r="F7" s="348">
        <f ca="1">IF(INDIRECT("'数据-取费表'!ah"&amp;$G$1)="",INDIRECT("'数据-取费表'!k"&amp;$G$1),INDIRECT("'数据-取费表'!ah"&amp;$G$1))</f>
        <v>2025.8600000000001</v>
      </c>
      <c r="G7" s="1851"/>
      <c r="H7" s="349"/>
      <c r="I7" s="3145"/>
      <c r="J7" s="351"/>
      <c r="K7" s="352"/>
      <c r="L7" s="347" t="s">
        <v>1402</v>
      </c>
      <c r="M7" s="348">
        <f ca="1">F7</f>
        <v>2025.8600000000001</v>
      </c>
    </row>
    <row r="8" spans="1:37" ht="18" customHeight="1">
      <c r="A8" s="349"/>
      <c r="B8" s="3145"/>
      <c r="C8" s="351"/>
      <c r="D8" s="352"/>
      <c r="E8" s="347" t="s">
        <v>1403</v>
      </c>
      <c r="F8" s="348">
        <f ca="1">INDIRECT("'数据-取费表'!ai"&amp;$G$1)</f>
        <v>365</v>
      </c>
      <c r="G8" s="1851"/>
      <c r="H8" s="349"/>
      <c r="I8" s="3145"/>
      <c r="J8" s="351"/>
      <c r="K8" s="352"/>
      <c r="L8" s="347" t="s">
        <v>1403</v>
      </c>
      <c r="M8" s="348">
        <f ca="1">INDIRECT("'数据-取费表'!ai"&amp;$G$1)</f>
        <v>365</v>
      </c>
    </row>
    <row r="9" spans="1:37" ht="18" customHeight="1">
      <c r="A9" s="349"/>
      <c r="B9" s="3146"/>
      <c r="C9" s="351"/>
      <c r="D9" s="352"/>
      <c r="E9" s="347" t="s">
        <v>1404</v>
      </c>
      <c r="F9" s="357">
        <f ca="1">INDIRECT("'数据-取费表'!w"&amp;$G$1)</f>
        <v>0.1</v>
      </c>
      <c r="G9" s="1851"/>
      <c r="H9" s="349"/>
      <c r="I9" s="314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3042</v>
      </c>
      <c r="E10" s="358" t="s">
        <v>1406</v>
      </c>
      <c r="F10" s="1366" t="s">
        <v>3292</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960</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608</v>
      </c>
      <c r="D14" s="1800" t="s">
        <v>1414</v>
      </c>
      <c r="E14" s="1794"/>
      <c r="F14" s="364"/>
      <c r="G14" s="1851"/>
      <c r="H14" s="1201" t="s">
        <v>1032</v>
      </c>
      <c r="I14" s="347" t="s">
        <v>1415</v>
      </c>
      <c r="J14" s="24">
        <f ca="1">C29</f>
        <v>960</v>
      </c>
      <c r="K14" s="15"/>
      <c r="L14" s="979"/>
      <c r="M14" s="980"/>
    </row>
    <row r="15" spans="1:37" s="1858" customFormat="1" ht="18" customHeight="1" thickBot="1">
      <c r="A15" s="1201" t="s">
        <v>1033</v>
      </c>
      <c r="B15" s="347" t="s">
        <v>1416</v>
      </c>
      <c r="C15" s="24">
        <f ca="1">ROUND(C14*F15,0)</f>
        <v>18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23</v>
      </c>
      <c r="K16" s="1337" t="s">
        <v>1421</v>
      </c>
      <c r="L16" s="1338"/>
      <c r="M16" s="1294"/>
    </row>
    <row r="17" spans="1:37" s="1858" customFormat="1" ht="18" customHeight="1">
      <c r="A17" s="1201" t="s">
        <v>1386</v>
      </c>
      <c r="B17" s="347" t="s">
        <v>1422</v>
      </c>
      <c r="C17" s="24">
        <f ca="1">ROUND(F17*(F43+INDIRECT("'数据-取费表'!S"&amp;$G$1))/10000,0)</f>
        <v>41</v>
      </c>
      <c r="D17" s="347" t="s">
        <v>1423</v>
      </c>
      <c r="E17" s="347" t="s">
        <v>1424</v>
      </c>
      <c r="F17" s="26">
        <f>'数据-取费表'!B35</f>
        <v>200</v>
      </c>
      <c r="G17" s="1854"/>
      <c r="H17" s="1201" t="s">
        <v>1032</v>
      </c>
      <c r="I17" s="347" t="s">
        <v>1425</v>
      </c>
      <c r="J17" s="24">
        <f ca="1">ROUND(IF(项目基本情况!B11="自然人",J5*M17,J18+J19+J20),1)</f>
        <v>8.1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676</v>
      </c>
      <c r="D19" s="140" t="s">
        <v>1432</v>
      </c>
      <c r="E19" s="1818"/>
      <c r="F19" s="26"/>
      <c r="G19" s="1851"/>
      <c r="H19" s="1201" t="s">
        <v>1033</v>
      </c>
      <c r="I19" s="347" t="s">
        <v>1433</v>
      </c>
      <c r="J19" s="24">
        <f ca="1">IF(K19="按租金收入计税",ROUND(J5*M19,2),ROUND(C29*M19*0.7,2))</f>
        <v>8.06</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20</v>
      </c>
      <c r="D20" s="369" t="s">
        <v>1436</v>
      </c>
      <c r="E20" s="347" t="s">
        <v>1418</v>
      </c>
      <c r="F20" s="367">
        <f>'数据-取费表'!B37</f>
        <v>0.03</v>
      </c>
      <c r="G20" s="1854"/>
      <c r="H20" s="1201" t="s">
        <v>1385</v>
      </c>
      <c r="I20" s="164" t="s">
        <v>1437</v>
      </c>
      <c r="J20" s="25">
        <f ca="1">ROUND(M20*M21/10000,2)</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14.4</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-23</v>
      </c>
      <c r="K25" s="1345" t="s">
        <v>1460</v>
      </c>
      <c r="L25" s="1346"/>
      <c r="M25" s="1347"/>
    </row>
    <row r="26" spans="1:37">
      <c r="A26" s="1201" t="s">
        <v>1031</v>
      </c>
      <c r="B26" s="347" t="s">
        <v>1461</v>
      </c>
      <c r="C26" s="24">
        <f ca="1">ROUND((C19+C20)*F26,0)</f>
        <v>139</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960</v>
      </c>
      <c r="D29" s="1342"/>
      <c r="E29" s="1340"/>
      <c r="F29" s="1343"/>
      <c r="G29" s="1854"/>
      <c r="H29" s="380" t="s">
        <v>1030</v>
      </c>
      <c r="I29" s="381" t="s">
        <v>1475</v>
      </c>
      <c r="J29" s="382">
        <f ca="1">ROUND(J26/(1+F40)^F41,0)</f>
        <v>0</v>
      </c>
      <c r="K29" s="383" t="s">
        <v>1476</v>
      </c>
      <c r="L29" s="384"/>
      <c r="M29" s="385">
        <f ca="1">INDIRECT("'数据-取费表'!k"&amp;$G$1)</f>
        <v>2025.8600000000001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77</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57.4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17.440000000000001</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39.96</v>
      </c>
      <c r="D33" s="1828" t="s">
        <v>3293</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14.4</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1.4</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3.3</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256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5946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36.239999999999995</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29350</v>
      </c>
      <c r="D43" s="383" t="s">
        <v>1484</v>
      </c>
      <c r="E43" s="384" t="s">
        <v>1485</v>
      </c>
      <c r="F43" s="385">
        <f ca="1">INDIRECT("'数据-取费表'!k"&amp;$G$1)</f>
        <v>2025.8600000000001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-7441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3294</v>
      </c>
      <c r="K47" s="1882" t="s">
        <v>1523</v>
      </c>
      <c r="L47" s="1883">
        <f ca="1">INDIRECT("'数据-取费表'!d"&amp;$G$1)</f>
        <v>40</v>
      </c>
      <c r="M47" s="1838" t="str">
        <f>IF(ISNUMBER(FIND("住宅",C1)),"住宅","非住宅")</f>
        <v>非住宅</v>
      </c>
      <c r="O47" s="1884" t="s">
        <v>1037</v>
      </c>
      <c r="P47" s="1885" t="s">
        <v>1524</v>
      </c>
      <c r="Q47" s="1886">
        <f ca="1">C40+J29</f>
        <v>5946</v>
      </c>
      <c r="R47" s="1886" t="s">
        <v>1525</v>
      </c>
    </row>
    <row r="48" spans="1:18" s="1842" customFormat="1" ht="28.5" thickBot="1">
      <c r="A48" s="1360" t="s">
        <v>1132</v>
      </c>
      <c r="B48" s="345" t="s">
        <v>1397</v>
      </c>
      <c r="C48" s="1817">
        <f ca="1">C49+C53+C55</f>
        <v>0</v>
      </c>
      <c r="D48" s="1362"/>
      <c r="E48" s="1363"/>
      <c r="F48" s="1181"/>
      <c r="G48" s="792"/>
      <c r="H48" s="793"/>
      <c r="I48" s="1887" t="s">
        <v>1526</v>
      </c>
      <c r="J48" s="1888" t="s">
        <v>3295</v>
      </c>
      <c r="K48" s="1889" t="s">
        <v>1527</v>
      </c>
      <c r="L48" s="1890">
        <f ca="1">INDIRECT("'数据-取费表'!f"&amp;$G$1)</f>
        <v>36.44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c r="K49" s="1889" t="s">
        <v>1531</v>
      </c>
      <c r="L49" s="1893"/>
      <c r="O49" s="1894" t="s">
        <v>1039</v>
      </c>
      <c r="P49" s="1885" t="s">
        <v>1532</v>
      </c>
      <c r="Q49" s="1886">
        <f ca="1">C29</f>
        <v>960</v>
      </c>
      <c r="R49" s="1886" t="s">
        <v>1525</v>
      </c>
    </row>
    <row r="50" spans="1:18" s="1842" customFormat="1" ht="13.5" thickBot="1">
      <c r="A50" s="1195"/>
      <c r="B50" s="1198"/>
      <c r="C50" s="1368"/>
      <c r="D50" s="1172"/>
      <c r="E50" s="1277" t="s">
        <v>1402</v>
      </c>
      <c r="F50" s="1278">
        <f ca="1">F7</f>
        <v>2025.8600000000001</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2899</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36.239999999999995</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36.239999999999995</v>
      </c>
      <c r="K53" s="3142" t="s">
        <v>1544</v>
      </c>
      <c r="L53" s="3143"/>
      <c r="O53" s="1884" t="s">
        <v>1043</v>
      </c>
      <c r="P53" s="1885" t="s">
        <v>1545</v>
      </c>
      <c r="Q53" s="1886">
        <f ca="1">Q47+Q48</f>
        <v>5946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960</v>
      </c>
      <c r="D56" s="1914"/>
      <c r="E56" s="1915"/>
      <c r="F56" s="1907"/>
      <c r="I56" s="1916" t="s">
        <v>1550</v>
      </c>
      <c r="J56" s="1917" t="s">
        <v>3277</v>
      </c>
      <c r="K56" s="1887" t="s">
        <v>1551</v>
      </c>
      <c r="L56" s="1890" t="str">
        <f ca="1">IF(L48&lt;J51,"——",L48-J53)</f>
        <v>——</v>
      </c>
      <c r="O56" s="1884" t="s">
        <v>1037</v>
      </c>
      <c r="P56" s="1885" t="s">
        <v>1524</v>
      </c>
      <c r="Q56" s="1886">
        <f ca="1">C40+J29</f>
        <v>5946</v>
      </c>
      <c r="R56" s="1886" t="s">
        <v>1525</v>
      </c>
    </row>
    <row r="57" spans="1:18" s="1842" customFormat="1" ht="24.75" thickBot="1">
      <c r="A57" s="1918"/>
      <c r="B57" s="1169" t="s">
        <v>1474</v>
      </c>
      <c r="C57" s="282">
        <f ca="1">C29</f>
        <v>960</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80.599999999999994</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80.64</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5946</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14.4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1.4</v>
      </c>
      <c r="D65" s="1183" t="s">
        <v>1450</v>
      </c>
      <c r="E65" s="1169" t="s">
        <v>1451</v>
      </c>
      <c r="F65" s="376">
        <f t="shared" ca="1" si="0"/>
        <v>1.5E-3</v>
      </c>
      <c r="I65" s="1929" t="s">
        <v>1575</v>
      </c>
      <c r="J65" s="1930">
        <v>40</v>
      </c>
      <c r="K65" s="1930">
        <v>30</v>
      </c>
      <c r="L65" s="1930">
        <v>50</v>
      </c>
      <c r="M65" s="1932">
        <v>0.02</v>
      </c>
      <c r="O65" s="1884" t="s">
        <v>1037</v>
      </c>
      <c r="P65" s="1885" t="s">
        <v>1576</v>
      </c>
      <c r="Q65" s="1886">
        <f ca="1">C40+J29</f>
        <v>5946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-96</v>
      </c>
      <c r="D67" s="1182" t="s">
        <v>1460</v>
      </c>
      <c r="E67" s="1187"/>
      <c r="F67" s="1188"/>
      <c r="O67" s="1894" t="s">
        <v>1039</v>
      </c>
      <c r="P67" s="1885" t="s">
        <v>1558</v>
      </c>
      <c r="Q67" s="1933">
        <f ca="1">L51</f>
        <v>2899</v>
      </c>
      <c r="R67" s="1886" t="s">
        <v>1578</v>
      </c>
    </row>
    <row r="68" spans="1:18" s="1842" customFormat="1" ht="16.5" thickBot="1">
      <c r="A68" s="1166" t="s">
        <v>1029</v>
      </c>
      <c r="B68" s="1167" t="s">
        <v>1481</v>
      </c>
      <c r="C68" s="346">
        <f ca="1">ROUND(C67*(1-((1+F70)/(1+F68))^F69)/(F68-F70),0)</f>
        <v>-1495</v>
      </c>
      <c r="D68" s="1184" t="s">
        <v>1465</v>
      </c>
      <c r="E68" s="1169" t="s">
        <v>1466</v>
      </c>
      <c r="F68" s="357">
        <f ca="1">F40</f>
        <v>5.5E-2</v>
      </c>
      <c r="O68" s="1894" t="s">
        <v>1040</v>
      </c>
      <c r="P68" s="1934" t="s">
        <v>1579</v>
      </c>
      <c r="Q68" s="1886">
        <f ca="1">ROUND(Q69-Q70*Q71,0)</f>
        <v>174</v>
      </c>
      <c r="R68" s="1886" t="s">
        <v>1048</v>
      </c>
    </row>
    <row r="69" spans="1:18" s="1842" customFormat="1" ht="13.5" thickBot="1">
      <c r="A69" s="1170"/>
      <c r="B69" s="1171"/>
      <c r="C69" s="351"/>
      <c r="D69" s="1189" t="s">
        <v>1469</v>
      </c>
      <c r="E69" s="1169" t="s">
        <v>1470</v>
      </c>
      <c r="F69" s="379">
        <f ca="1">F41</f>
        <v>36.239999999999995</v>
      </c>
      <c r="O69" s="1894" t="s">
        <v>1045</v>
      </c>
      <c r="P69" s="1934" t="s">
        <v>1580</v>
      </c>
      <c r="Q69" s="1886">
        <f ca="1">C39</f>
        <v>256</v>
      </c>
      <c r="R69" s="1886" t="s">
        <v>1525</v>
      </c>
    </row>
    <row r="70" spans="1:18" s="1842" customFormat="1" ht="13.5" thickBot="1">
      <c r="A70" s="1173"/>
      <c r="B70" s="1174"/>
      <c r="C70" s="355"/>
      <c r="D70" s="1185"/>
      <c r="E70" s="1169" t="s">
        <v>1473</v>
      </c>
      <c r="F70" s="1275"/>
      <c r="O70" s="1894" t="s">
        <v>1046</v>
      </c>
      <c r="P70" s="1934" t="s">
        <v>1581</v>
      </c>
      <c r="Q70" s="1886">
        <f ca="1">C13</f>
        <v>960</v>
      </c>
      <c r="R70" s="1886" t="s">
        <v>1525</v>
      </c>
    </row>
    <row r="71" spans="1:18" s="1842" customFormat="1" ht="13.5" thickBot="1">
      <c r="A71" s="1190" t="s">
        <v>1030</v>
      </c>
      <c r="B71" s="1191" t="s">
        <v>1483</v>
      </c>
      <c r="C71" s="382">
        <f ca="1">ROUND(C68*10000/F71,0)</f>
        <v>-7380</v>
      </c>
      <c r="D71" s="1192" t="s">
        <v>1484</v>
      </c>
      <c r="E71" s="1193" t="s">
        <v>1485</v>
      </c>
      <c r="F71" s="385">
        <f ca="1">F43</f>
        <v>2025.8600000000001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82</v>
      </c>
      <c r="D75" s="1842"/>
      <c r="E75" s="1842"/>
      <c r="F75" s="1842"/>
      <c r="K75" s="1868"/>
      <c r="L75" s="1842"/>
      <c r="O75" s="1884" t="s">
        <v>1043</v>
      </c>
      <c r="P75" s="1885" t="s">
        <v>1545</v>
      </c>
      <c r="Q75" s="1886">
        <f ca="1">Q65+Q66</f>
        <v>5946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0.67999999999999994</v>
      </c>
    </row>
    <row r="80" spans="1:18">
      <c r="B80" s="386" t="s">
        <v>1507</v>
      </c>
      <c r="C80" s="318">
        <f ca="1">ROUND(C75/C39,3)</f>
        <v>0.32</v>
      </c>
    </row>
    <row r="81" spans="2:3">
      <c r="B81" s="314" t="s">
        <v>1508</v>
      </c>
      <c r="C81" s="282"/>
    </row>
    <row r="82" spans="2:3">
      <c r="B82" s="317" t="s">
        <v>1509</v>
      </c>
      <c r="C82" s="319">
        <f ca="1">1-C83</f>
        <v>0.83899999999999997</v>
      </c>
    </row>
    <row r="83" spans="2:3">
      <c r="B83" s="317" t="s">
        <v>1510</v>
      </c>
      <c r="C83" s="318">
        <f ca="1">ROUND(C13/C40,3)</f>
        <v>0.161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4" t="s">
        <v>1399</v>
      </c>
      <c r="C6" s="1296">
        <f ca="1">ROUND(F6*F8*F7*(1-F9),0)</f>
        <v>0</v>
      </c>
      <c r="D6" s="164" t="s">
        <v>3030</v>
      </c>
      <c r="E6" s="347" t="s">
        <v>1401</v>
      </c>
      <c r="F6" s="348">
        <f ca="1">INDIRECT("'数据-取费表'!u"&amp;$G$1)</f>
        <v>0</v>
      </c>
      <c r="G6" s="1851"/>
      <c r="H6" s="1291" t="s">
        <v>1032</v>
      </c>
      <c r="I6" s="3144" t="s">
        <v>1399</v>
      </c>
      <c r="J6" s="346">
        <f ca="1">ROUND(M6*M8*M7*(1-M9),0)</f>
        <v>0</v>
      </c>
      <c r="K6" s="1834" t="s">
        <v>3031</v>
      </c>
      <c r="L6" s="347" t="s">
        <v>1401</v>
      </c>
      <c r="M6" s="348">
        <f ca="1">INDIRECT("'数据-取费表'!z"&amp;$G$1)</f>
        <v>0</v>
      </c>
    </row>
    <row r="7" spans="1:37" ht="18" customHeight="1">
      <c r="A7" s="1295"/>
      <c r="B7" s="3145"/>
      <c r="C7" s="1297"/>
      <c r="D7" s="352"/>
      <c r="E7" s="1298" t="s">
        <v>1402</v>
      </c>
      <c r="F7" s="348">
        <f ca="1">IF(INDIRECT("'数据-取费表'!ah"&amp;$G$1)="",INDIRECT("'数据-取费表'!k"&amp;$G$1),INDIRECT("'数据-取费表'!ah"&amp;$G$1))</f>
        <v>0</v>
      </c>
      <c r="G7" s="1851"/>
      <c r="H7" s="349"/>
      <c r="I7" s="3145"/>
      <c r="J7" s="351"/>
      <c r="K7" s="352"/>
      <c r="L7" s="347" t="s">
        <v>1402</v>
      </c>
      <c r="M7" s="348">
        <f ca="1">F7</f>
        <v>0</v>
      </c>
    </row>
    <row r="8" spans="1:37" ht="18" customHeight="1">
      <c r="A8" s="349"/>
      <c r="B8" s="3145"/>
      <c r="C8" s="351"/>
      <c r="D8" s="352"/>
      <c r="E8" s="347" t="s">
        <v>1403</v>
      </c>
      <c r="F8" s="348">
        <f ca="1">INDIRECT("'数据-取费表'!ai"&amp;$G$1)</f>
        <v>0</v>
      </c>
      <c r="G8" s="1851"/>
      <c r="H8" s="349"/>
      <c r="I8" s="3145"/>
      <c r="J8" s="351"/>
      <c r="K8" s="352"/>
      <c r="L8" s="347" t="s">
        <v>1403</v>
      </c>
      <c r="M8" s="348">
        <f ca="1">INDIRECT("'数据-取费表'!ai"&amp;$G$1)</f>
        <v>0</v>
      </c>
    </row>
    <row r="9" spans="1:37" ht="18" customHeight="1">
      <c r="A9" s="349"/>
      <c r="B9" s="3146"/>
      <c r="C9" s="351"/>
      <c r="D9" s="352"/>
      <c r="E9" s="347" t="s">
        <v>1404</v>
      </c>
      <c r="F9" s="357">
        <f ca="1">INDIRECT("'数据-取费表'!w"&amp;$G$1)</f>
        <v>0</v>
      </c>
      <c r="G9" s="1851"/>
      <c r="H9" s="349"/>
      <c r="I9" s="314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2" t="s">
        <v>1544</v>
      </c>
      <c r="L53" s="314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2526</v>
      </c>
      <c r="B1" s="2565"/>
      <c r="C1" s="2565"/>
      <c r="D1" s="2565"/>
      <c r="E1" s="2566"/>
    </row>
    <row r="2" spans="1:6" ht="15.75">
      <c r="A2" s="2567" t="s">
        <v>2330</v>
      </c>
      <c r="B2" s="2568">
        <f ca="1">SUMIF(B6:B13,"&lt;&gt;#ref!",B6:B13)</f>
        <v>5946</v>
      </c>
      <c r="C2" s="2569" t="s">
        <v>2519</v>
      </c>
      <c r="D2" s="2570" t="s">
        <v>2520</v>
      </c>
      <c r="E2" s="2571">
        <f>SUM(E6:E13)</f>
        <v>2025.8600000000001</v>
      </c>
    </row>
    <row r="3" spans="1:6" ht="15.75">
      <c r="A3" s="2567" t="s">
        <v>1391</v>
      </c>
      <c r="B3" s="2568">
        <f ca="1">ROUND(B2*10000/E2,0)</f>
        <v>29350</v>
      </c>
      <c r="C3" s="2569" t="s">
        <v>2527</v>
      </c>
      <c r="D3" s="2572"/>
      <c r="E3" s="2573"/>
    </row>
    <row r="4" spans="1:6" ht="15.75">
      <c r="A4" s="2574"/>
      <c r="B4" s="2572"/>
      <c r="C4" s="2572"/>
      <c r="D4" s="2572"/>
      <c r="E4" s="2573"/>
    </row>
    <row r="5" spans="1:6" ht="15">
      <c r="A5" s="2575" t="s">
        <v>2521</v>
      </c>
      <c r="B5" s="3147" t="s">
        <v>2522</v>
      </c>
      <c r="C5" s="3147"/>
      <c r="D5" s="2576"/>
      <c r="E5" s="2577" t="s">
        <v>2523</v>
      </c>
      <c r="F5" s="2578" t="s">
        <v>2524</v>
      </c>
    </row>
    <row r="6" spans="1:6">
      <c r="A6" s="2579">
        <f>'数据-取费表'!AN6</f>
        <v>0</v>
      </c>
      <c r="B6" s="2578" t="e">
        <f ca="1">IF(F6="是",'数据-取费表'!AO6,0)</f>
        <v>#REF!</v>
      </c>
      <c r="C6" s="2569" t="s">
        <v>2519</v>
      </c>
      <c r="D6" s="2572"/>
      <c r="E6" s="2580">
        <f>IF(OR(A6=0,F6="否"),0,'数据-取费表'!K6+'数据-取费表'!S6)</f>
        <v>0</v>
      </c>
      <c r="F6" s="2581" t="s">
        <v>2525</v>
      </c>
    </row>
    <row r="7" spans="1:6">
      <c r="A7" s="2579" t="str">
        <f>'数据-取费表'!AN7</f>
        <v>收益法</v>
      </c>
      <c r="B7" s="2578">
        <f ca="1">IF(F7="是",'数据-取费表'!AO7,0)</f>
        <v>5946</v>
      </c>
      <c r="C7" s="2569" t="s">
        <v>2519</v>
      </c>
      <c r="D7" s="2572"/>
      <c r="E7" s="2580">
        <f>IF(OR(A7=0,F7="否"),0,'数据-取费表'!K7+'数据-取费表'!S7)</f>
        <v>2025.8600000000001</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64" t="s">
        <v>1073</v>
      </c>
      <c r="B1" s="3165"/>
      <c r="C1" s="3166"/>
      <c r="D1" s="3167">
        <f>SUM(I10,I15,I20,I21,I23)</f>
        <v>0</v>
      </c>
      <c r="E1" s="3167"/>
      <c r="F1" s="3167"/>
      <c r="G1" s="3167"/>
      <c r="H1" s="3167"/>
      <c r="I1" s="3168"/>
    </row>
    <row r="2" spans="1:9">
      <c r="A2" s="3154" t="s">
        <v>1074</v>
      </c>
      <c r="B2" s="3155" t="s">
        <v>1075</v>
      </c>
      <c r="C2" s="3155"/>
      <c r="D2" s="1301" t="s">
        <v>1076</v>
      </c>
      <c r="E2" s="1301" t="s">
        <v>1077</v>
      </c>
      <c r="F2" s="1301" t="s">
        <v>1078</v>
      </c>
      <c r="G2" s="1301" t="s">
        <v>1079</v>
      </c>
      <c r="H2" s="1301" t="s">
        <v>1080</v>
      </c>
      <c r="I2" s="1302" t="s">
        <v>1081</v>
      </c>
    </row>
    <row r="3" spans="1:9">
      <c r="A3" s="3154"/>
      <c r="B3" s="3155" t="s">
        <v>1082</v>
      </c>
      <c r="C3" s="3155"/>
      <c r="D3" s="1303"/>
      <c r="E3" s="1301"/>
      <c r="F3" s="1304"/>
      <c r="G3" s="1304"/>
      <c r="H3" s="1305"/>
      <c r="I3" s="1306">
        <f>ROUND(D3*E3*F3*G3*H3/10000,0)</f>
        <v>0</v>
      </c>
    </row>
    <row r="4" spans="1:9">
      <c r="A4" s="3154"/>
      <c r="B4" s="3155" t="s">
        <v>1083</v>
      </c>
      <c r="C4" s="3155"/>
      <c r="D4" s="1303"/>
      <c r="E4" s="1301"/>
      <c r="F4" s="1304"/>
      <c r="G4" s="1304"/>
      <c r="H4" s="1305"/>
      <c r="I4" s="1306">
        <f t="shared" ref="I4:I9" si="0">ROUND(D4*E4*F4*G4*H4/10000,0)</f>
        <v>0</v>
      </c>
    </row>
    <row r="5" spans="1:9">
      <c r="A5" s="3154"/>
      <c r="B5" s="3155" t="s">
        <v>1084</v>
      </c>
      <c r="C5" s="3155"/>
      <c r="D5" s="1303"/>
      <c r="E5" s="1301"/>
      <c r="F5" s="1304"/>
      <c r="G5" s="1304"/>
      <c r="H5" s="1305"/>
      <c r="I5" s="1306">
        <f t="shared" si="0"/>
        <v>0</v>
      </c>
    </row>
    <row r="6" spans="1:9">
      <c r="A6" s="3154"/>
      <c r="B6" s="3155" t="s">
        <v>1085</v>
      </c>
      <c r="C6" s="3155"/>
      <c r="D6" s="1303"/>
      <c r="E6" s="1301"/>
      <c r="F6" s="1304"/>
      <c r="G6" s="1304"/>
      <c r="H6" s="1305"/>
      <c r="I6" s="1306">
        <f t="shared" si="0"/>
        <v>0</v>
      </c>
    </row>
    <row r="7" spans="1:9">
      <c r="A7" s="3154"/>
      <c r="B7" s="3155" t="s">
        <v>1086</v>
      </c>
      <c r="C7" s="3155"/>
      <c r="D7" s="1303"/>
      <c r="E7" s="1301"/>
      <c r="F7" s="1304"/>
      <c r="G7" s="1304"/>
      <c r="H7" s="1305"/>
      <c r="I7" s="1306">
        <f t="shared" si="0"/>
        <v>0</v>
      </c>
    </row>
    <row r="8" spans="1:9">
      <c r="A8" s="3154"/>
      <c r="B8" s="3155" t="s">
        <v>1087</v>
      </c>
      <c r="C8" s="3155"/>
      <c r="D8" s="1303"/>
      <c r="E8" s="1301"/>
      <c r="F8" s="1304"/>
      <c r="G8" s="1304"/>
      <c r="H8" s="1305"/>
      <c r="I8" s="1306">
        <f t="shared" si="0"/>
        <v>0</v>
      </c>
    </row>
    <row r="9" spans="1:9">
      <c r="A9" s="3154"/>
      <c r="B9" s="3155" t="s">
        <v>1088</v>
      </c>
      <c r="C9" s="3155"/>
      <c r="D9" s="1303"/>
      <c r="E9" s="1301"/>
      <c r="F9" s="1304"/>
      <c r="G9" s="1304"/>
      <c r="H9" s="1305"/>
      <c r="I9" s="1306">
        <f t="shared" si="0"/>
        <v>0</v>
      </c>
    </row>
    <row r="10" spans="1:9">
      <c r="A10" s="3154"/>
      <c r="B10" s="3156" t="s">
        <v>1089</v>
      </c>
      <c r="C10" s="3156"/>
      <c r="D10" s="1307"/>
      <c r="E10" s="1307" t="e">
        <f>ROUND(D1*10000/D10/H9,0)</f>
        <v>#DIV/0!</v>
      </c>
      <c r="F10" s="1308"/>
      <c r="G10" s="1308"/>
      <c r="H10" s="1309"/>
      <c r="I10" s="1310">
        <f>SUM(I3:I9)</f>
        <v>0</v>
      </c>
    </row>
    <row r="11" spans="1:9" ht="14.25">
      <c r="A11" s="3154" t="s">
        <v>1090</v>
      </c>
      <c r="B11" s="3155" t="s">
        <v>1091</v>
      </c>
      <c r="C11" s="3155"/>
      <c r="D11" s="1303" t="s">
        <v>1092</v>
      </c>
      <c r="E11" s="1303" t="s">
        <v>1093</v>
      </c>
      <c r="F11" s="1304" t="s">
        <v>1094</v>
      </c>
      <c r="G11" s="1304" t="s">
        <v>1080</v>
      </c>
      <c r="H11" s="1311" t="s">
        <v>1095</v>
      </c>
      <c r="I11" s="1302" t="s">
        <v>1081</v>
      </c>
    </row>
    <row r="12" spans="1:9">
      <c r="A12" s="3154"/>
      <c r="B12" s="3155" t="s">
        <v>1096</v>
      </c>
      <c r="C12" s="3155"/>
      <c r="D12" s="1303"/>
      <c r="E12" s="1303"/>
      <c r="F12" s="1304"/>
      <c r="G12" s="1305"/>
      <c r="H12" s="1312"/>
      <c r="I12" s="1302">
        <f>ROUND(D12*E12*F12*G12/10000,0)</f>
        <v>0</v>
      </c>
    </row>
    <row r="13" spans="1:9">
      <c r="A13" s="3154"/>
      <c r="B13" s="3155" t="s">
        <v>1097</v>
      </c>
      <c r="C13" s="3155"/>
      <c r="D13" s="1303"/>
      <c r="E13" s="1303"/>
      <c r="F13" s="1304"/>
      <c r="G13" s="1305"/>
      <c r="H13" s="1312"/>
      <c r="I13" s="1302">
        <f>ROUND(D13*E13*F13*G13/10000,0)</f>
        <v>0</v>
      </c>
    </row>
    <row r="14" spans="1:9">
      <c r="A14" s="3154"/>
      <c r="B14" s="3155" t="s">
        <v>1098</v>
      </c>
      <c r="C14" s="3155"/>
      <c r="D14" s="1303"/>
      <c r="E14" s="1303"/>
      <c r="F14" s="1304"/>
      <c r="G14" s="1305"/>
      <c r="H14" s="1312"/>
      <c r="I14" s="1302">
        <f>ROUND(D14*E14*F14*G14/10000,0)</f>
        <v>0</v>
      </c>
    </row>
    <row r="15" spans="1:9">
      <c r="A15" s="3154"/>
      <c r="B15" s="3156" t="s">
        <v>1089</v>
      </c>
      <c r="C15" s="3156"/>
      <c r="D15" s="1307"/>
      <c r="E15" s="1307">
        <f>SUM(E12:E14)</f>
        <v>0</v>
      </c>
      <c r="F15" s="1308"/>
      <c r="G15" s="1305"/>
      <c r="H15" s="1312"/>
      <c r="I15" s="1313">
        <f>SUM(I12:I14)</f>
        <v>0</v>
      </c>
    </row>
    <row r="16" spans="1:9" ht="24">
      <c r="A16" s="3154" t="s">
        <v>1099</v>
      </c>
      <c r="B16" s="3155" t="s">
        <v>1100</v>
      </c>
      <c r="C16" s="3155"/>
      <c r="D16" s="1303" t="s">
        <v>1076</v>
      </c>
      <c r="E16" s="1314" t="s">
        <v>1101</v>
      </c>
      <c r="F16" s="1304" t="s">
        <v>1102</v>
      </c>
      <c r="G16" s="1305" t="s">
        <v>1080</v>
      </c>
      <c r="H16" s="1311" t="s">
        <v>1095</v>
      </c>
      <c r="I16" s="1302" t="s">
        <v>1081</v>
      </c>
    </row>
    <row r="17" spans="1:9" ht="14.25">
      <c r="A17" s="3154"/>
      <c r="B17" s="3155" t="s">
        <v>1103</v>
      </c>
      <c r="C17" s="3155"/>
      <c r="D17" s="1303"/>
      <c r="E17" s="1303"/>
      <c r="F17" s="1304"/>
      <c r="G17" s="1305"/>
      <c r="H17" s="1315"/>
      <c r="I17" s="1316">
        <f>ROUND(D17*E17*F17*G17/10000,0)</f>
        <v>0</v>
      </c>
    </row>
    <row r="18" spans="1:9" ht="14.25">
      <c r="A18" s="3154"/>
      <c r="B18" s="3155" t="s">
        <v>1104</v>
      </c>
      <c r="C18" s="3155"/>
      <c r="D18" s="1303"/>
      <c r="E18" s="1303"/>
      <c r="F18" s="1304"/>
      <c r="G18" s="1305"/>
      <c r="H18" s="1315"/>
      <c r="I18" s="1316">
        <f>ROUND(D18*E18*F18*G18/10000,0)</f>
        <v>0</v>
      </c>
    </row>
    <row r="19" spans="1:9" ht="14.25">
      <c r="A19" s="3154"/>
      <c r="B19" s="3155" t="s">
        <v>1105</v>
      </c>
      <c r="C19" s="3155"/>
      <c r="D19" s="1303"/>
      <c r="E19" s="1303"/>
      <c r="F19" s="1304"/>
      <c r="G19" s="1305"/>
      <c r="H19" s="1315"/>
      <c r="I19" s="1316">
        <f>ROUND(D19*E19*F19*G19/10000,0)</f>
        <v>0</v>
      </c>
    </row>
    <row r="20" spans="1:9">
      <c r="A20" s="3154"/>
      <c r="B20" s="3156" t="s">
        <v>1089</v>
      </c>
      <c r="C20" s="3156"/>
      <c r="D20" s="1307">
        <f>SUM(D17:D19)</f>
        <v>0</v>
      </c>
      <c r="E20" s="1307"/>
      <c r="F20" s="1308"/>
      <c r="G20" s="1305"/>
      <c r="H20" s="1312"/>
      <c r="I20" s="1313">
        <f>SUM(I17:I19)</f>
        <v>0</v>
      </c>
    </row>
    <row r="21" spans="1:9">
      <c r="A21" s="3154" t="s">
        <v>1106</v>
      </c>
      <c r="B21" s="3157"/>
      <c r="C21" s="3157"/>
      <c r="D21" s="3157"/>
      <c r="E21" s="3157"/>
      <c r="F21" s="3157"/>
      <c r="G21" s="3157"/>
      <c r="H21" s="1765">
        <v>0.1</v>
      </c>
      <c r="I21" s="1310">
        <f>ROUND(I10*H21,0)</f>
        <v>0</v>
      </c>
    </row>
    <row r="22" spans="1:9" ht="14.25">
      <c r="A22" s="3158" t="s">
        <v>1107</v>
      </c>
      <c r="B22" s="3159"/>
      <c r="C22" s="3160"/>
      <c r="D22" s="1317" t="s">
        <v>1108</v>
      </c>
      <c r="E22" s="1317" t="s">
        <v>1109</v>
      </c>
      <c r="F22" s="1318" t="s">
        <v>1110</v>
      </c>
      <c r="G22" s="1318" t="s">
        <v>1111</v>
      </c>
      <c r="H22" s="1311" t="s">
        <v>1112</v>
      </c>
      <c r="I22" s="1302" t="s">
        <v>1113</v>
      </c>
    </row>
    <row r="23" spans="1:9" ht="14.25" thickBot="1">
      <c r="A23" s="3161"/>
      <c r="B23" s="3162"/>
      <c r="C23" s="3163"/>
      <c r="D23" s="1319"/>
      <c r="E23" s="1319"/>
      <c r="F23" s="1319"/>
      <c r="G23" s="1320"/>
      <c r="H23" s="1321"/>
      <c r="I23" s="1322">
        <f>ROUND(E23*D23*F23*(1-G23)/10000,0)</f>
        <v>0</v>
      </c>
    </row>
    <row r="26" spans="1:9">
      <c r="A26" s="1323" t="s">
        <v>1114</v>
      </c>
      <c r="B26" s="1323"/>
      <c r="C26" s="1323"/>
      <c r="D26" s="1323"/>
      <c r="E26" s="3151">
        <f>C27-C30-C31-C32</f>
        <v>0</v>
      </c>
      <c r="F26" s="3151"/>
      <c r="G26" s="3151"/>
      <c r="H26" s="1737" t="s">
        <v>1336</v>
      </c>
    </row>
    <row r="27" spans="1:9">
      <c r="A27" s="1324">
        <v>1</v>
      </c>
      <c r="B27" s="1325" t="s">
        <v>1115</v>
      </c>
      <c r="C27" s="1325">
        <f>C28+C29</f>
        <v>0</v>
      </c>
      <c r="D27" s="1325"/>
      <c r="E27" s="3152"/>
      <c r="F27" s="3152"/>
      <c r="G27" s="3152"/>
    </row>
    <row r="28" spans="1:9">
      <c r="A28" s="1326" t="s">
        <v>1116</v>
      </c>
      <c r="B28" s="1325" t="s">
        <v>1117</v>
      </c>
      <c r="C28" s="1325"/>
      <c r="D28" s="1325"/>
      <c r="E28" s="3152"/>
      <c r="F28" s="3152"/>
      <c r="G28" s="315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3"/>
      <c r="F32" s="3153"/>
      <c r="G32" s="3153"/>
    </row>
    <row r="33" spans="1:7" hidden="1">
      <c r="A33" s="3148" t="s">
        <v>1126</v>
      </c>
      <c r="B33" s="3149"/>
      <c r="C33" s="3149"/>
      <c r="D33" s="3150"/>
      <c r="E33" s="3151"/>
      <c r="F33" s="3151"/>
      <c r="G33" s="3151"/>
    </row>
    <row r="34" spans="1:7" hidden="1">
      <c r="A34" s="1328">
        <v>1</v>
      </c>
      <c r="B34" s="1325" t="s">
        <v>1127</v>
      </c>
      <c r="C34" s="1325"/>
      <c r="D34" s="1325"/>
      <c r="E34" s="3152"/>
      <c r="F34" s="3152"/>
      <c r="G34" s="3152"/>
    </row>
    <row r="35" spans="1:7" hidden="1">
      <c r="A35" s="1328">
        <v>2</v>
      </c>
      <c r="B35" s="1325" t="s">
        <v>1128</v>
      </c>
      <c r="C35" s="1325"/>
      <c r="D35" s="1325"/>
      <c r="E35" s="3152"/>
      <c r="F35" s="3152"/>
      <c r="G35" s="3152"/>
    </row>
    <row r="36" spans="1:7" hidden="1">
      <c r="A36" s="1328">
        <v>3</v>
      </c>
      <c r="B36" s="1325" t="s">
        <v>1129</v>
      </c>
      <c r="C36" s="1325"/>
      <c r="D36" s="1325"/>
      <c r="E36" s="3152"/>
      <c r="F36" s="3152"/>
      <c r="G36" s="3152"/>
    </row>
    <row r="37" spans="1:7" hidden="1">
      <c r="A37" s="1328">
        <v>4</v>
      </c>
      <c r="B37" s="1325" t="s">
        <v>1130</v>
      </c>
      <c r="C37" s="1325"/>
      <c r="D37" s="1325"/>
      <c r="E37" s="3152"/>
      <c r="F37" s="3152"/>
      <c r="G37" s="3152"/>
    </row>
    <row r="38" spans="1:7" hidden="1">
      <c r="A38" s="3148" t="s">
        <v>1131</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2534</v>
      </c>
      <c r="D3" s="399">
        <f>IF(D1="",'数据-汇总表'!E3,SUMIF('数据-汇总表'!$C19:$C33,D1,'数据-汇总表'!$E19:$E33))</f>
        <v>14581.819999999996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87" t="s">
        <v>2536</v>
      </c>
      <c r="D4" s="3188"/>
      <c r="E4" s="3189" t="s">
        <v>2537</v>
      </c>
      <c r="F4" s="3190"/>
      <c r="G4" s="3187" t="s">
        <v>2538</v>
      </c>
      <c r="H4" s="3188"/>
      <c r="I4" s="3187" t="s">
        <v>2539</v>
      </c>
      <c r="J4" s="3188"/>
      <c r="K4" s="2599" t="s">
        <v>2540</v>
      </c>
      <c r="L4" s="1130"/>
      <c r="M4" s="1131"/>
      <c r="N4" s="1131"/>
      <c r="O4" s="1131"/>
      <c r="P4" s="3191" t="s">
        <v>2541</v>
      </c>
      <c r="Q4" s="3192"/>
      <c r="R4" s="3197" t="s">
        <v>2537</v>
      </c>
      <c r="S4" s="3198"/>
      <c r="T4" s="3197" t="s">
        <v>2538</v>
      </c>
      <c r="U4" s="3198"/>
      <c r="V4" s="3203" t="s">
        <v>2539</v>
      </c>
      <c r="W4" s="3203"/>
      <c r="X4" s="1813"/>
      <c r="Y4" s="3197" t="s">
        <v>2541</v>
      </c>
      <c r="Z4" s="3198"/>
      <c r="AA4" s="3184" t="s">
        <v>2537</v>
      </c>
      <c r="AB4" s="3184" t="s">
        <v>2538</v>
      </c>
      <c r="AC4" s="3184" t="s">
        <v>2539</v>
      </c>
    </row>
    <row r="5" spans="1:29" ht="15">
      <c r="A5" s="404"/>
      <c r="B5" s="405"/>
      <c r="C5" s="3206" t="s">
        <v>2542</v>
      </c>
      <c r="D5" s="3207"/>
      <c r="E5" s="3213" t="s">
        <v>2543</v>
      </c>
      <c r="F5" s="3214"/>
      <c r="G5" s="3206" t="s">
        <v>2544</v>
      </c>
      <c r="H5" s="3207"/>
      <c r="I5" s="3206" t="s">
        <v>2545</v>
      </c>
      <c r="J5" s="3207"/>
      <c r="K5" s="260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2546</v>
      </c>
      <c r="D6" s="3205"/>
      <c r="E6" s="3211" t="s">
        <v>2546</v>
      </c>
      <c r="F6" s="3212"/>
      <c r="G6" s="3204" t="s">
        <v>2546</v>
      </c>
      <c r="H6" s="3205"/>
      <c r="I6" s="3204" t="s">
        <v>2546</v>
      </c>
      <c r="J6" s="3205"/>
      <c r="K6" s="2600" t="s">
        <v>2547</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2548</v>
      </c>
      <c r="B7" s="409"/>
      <c r="C7" s="410">
        <f>'数据-取费表'!B2</f>
        <v>43609</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08" t="s">
        <v>2549</v>
      </c>
      <c r="Q7" s="3210"/>
      <c r="R7" s="770" t="s">
        <v>23</v>
      </c>
      <c r="S7" s="771">
        <f t="shared" ref="S7:S15" si="0">F7</f>
        <v>0</v>
      </c>
      <c r="T7" s="770" t="s">
        <v>23</v>
      </c>
      <c r="U7" s="771">
        <f t="shared" ref="U7:U15" si="1">H7</f>
        <v>0</v>
      </c>
      <c r="V7" s="770" t="s">
        <v>23</v>
      </c>
      <c r="W7" s="771">
        <f t="shared" ref="W7:W15" si="2">J7</f>
        <v>0</v>
      </c>
      <c r="X7" s="772"/>
      <c r="Y7" s="3208" t="s">
        <v>2549</v>
      </c>
      <c r="Z7" s="3209"/>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08" t="s">
        <v>2552</v>
      </c>
      <c r="Q8" s="3209"/>
      <c r="R8" s="770" t="s">
        <v>23</v>
      </c>
      <c r="S8" s="771">
        <f t="shared" si="0"/>
        <v>0</v>
      </c>
      <c r="T8" s="770" t="s">
        <v>23</v>
      </c>
      <c r="U8" s="771">
        <f t="shared" si="1"/>
        <v>0</v>
      </c>
      <c r="V8" s="770" t="s">
        <v>23</v>
      </c>
      <c r="W8" s="771">
        <f t="shared" si="2"/>
        <v>0</v>
      </c>
      <c r="X8" s="772"/>
      <c r="Y8" s="3208" t="s">
        <v>2552</v>
      </c>
      <c r="Z8" s="320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3" t="s">
        <v>2555</v>
      </c>
      <c r="Q9" s="1795"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3"/>
      <c r="Q11" s="1795"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3"/>
      <c r="Q12" s="1795">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3"/>
      <c r="Q13" s="1795">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3"/>
      <c r="Q14" s="1795">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2559</v>
      </c>
      <c r="B15" s="69" t="s">
        <v>2086</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2560</v>
      </c>
      <c r="Q15" s="1810" t="str">
        <f t="shared" si="6"/>
        <v>居住社区成熟度</v>
      </c>
      <c r="R15" s="774" t="s">
        <v>21</v>
      </c>
      <c r="S15" s="775">
        <f t="shared" si="0"/>
        <v>100</v>
      </c>
      <c r="T15" s="774" t="s">
        <v>21</v>
      </c>
      <c r="U15" s="775">
        <f t="shared" si="1"/>
        <v>100</v>
      </c>
      <c r="V15" s="774" t="s">
        <v>21</v>
      </c>
      <c r="W15" s="775">
        <f t="shared" si="2"/>
        <v>100</v>
      </c>
      <c r="X15" s="1813"/>
      <c r="Y15" s="3174"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10" t="str">
        <f>B17</f>
        <v>交通便捷度</v>
      </c>
      <c r="R17" s="774" t="s">
        <v>21</v>
      </c>
      <c r="S17" s="775">
        <f>F17</f>
        <v>100</v>
      </c>
      <c r="T17" s="774" t="s">
        <v>21</v>
      </c>
      <c r="U17" s="775">
        <f>H17</f>
        <v>100</v>
      </c>
      <c r="V17" s="774" t="s">
        <v>21</v>
      </c>
      <c r="W17" s="775">
        <f>J17</f>
        <v>100</v>
      </c>
      <c r="X17" s="1813"/>
      <c r="Y17" s="3175"/>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2096</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10" t="str">
        <f>B19</f>
        <v>公共配套设施</v>
      </c>
      <c r="R19" s="774" t="s">
        <v>21</v>
      </c>
      <c r="S19" s="775">
        <f>F19</f>
        <v>100</v>
      </c>
      <c r="T19" s="774" t="s">
        <v>21</v>
      </c>
      <c r="U19" s="775">
        <f>H19</f>
        <v>100</v>
      </c>
      <c r="V19" s="774" t="s">
        <v>21</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2099</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2103</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10" t="str">
        <f>B23</f>
        <v>自然及人文环境</v>
      </c>
      <c r="R23" s="774" t="s">
        <v>21</v>
      </c>
      <c r="S23" s="775">
        <f>F23</f>
        <v>100</v>
      </c>
      <c r="T23" s="774" t="s">
        <v>21</v>
      </c>
      <c r="U23" s="775">
        <f>H23</f>
        <v>100</v>
      </c>
      <c r="V23" s="774" t="s">
        <v>21</v>
      </c>
      <c r="W23" s="775">
        <f>J23</f>
        <v>100</v>
      </c>
      <c r="X23" s="1813"/>
      <c r="Y23" s="3175"/>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1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182"/>
      <c r="Q26" s="1810" t="str">
        <f t="shared" si="11"/>
        <v>朝向</v>
      </c>
      <c r="R26" s="774" t="s">
        <v>21</v>
      </c>
      <c r="S26" s="775">
        <f t="shared" si="12"/>
        <v>100</v>
      </c>
      <c r="T26" s="774" t="s">
        <v>21</v>
      </c>
      <c r="U26" s="775">
        <f t="shared" si="13"/>
        <v>100</v>
      </c>
      <c r="V26" s="774" t="s">
        <v>21</v>
      </c>
      <c r="W26" s="775">
        <f t="shared" si="14"/>
        <v>100</v>
      </c>
      <c r="X26" s="1813"/>
      <c r="Y26" s="317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182"/>
      <c r="Q27" s="1795">
        <f t="shared" si="11"/>
        <v>111</v>
      </c>
      <c r="R27" s="770" t="s">
        <v>21</v>
      </c>
      <c r="S27" s="771">
        <f t="shared" si="12"/>
        <v>100</v>
      </c>
      <c r="T27" s="770" t="s">
        <v>21</v>
      </c>
      <c r="U27" s="771">
        <f t="shared" si="13"/>
        <v>100</v>
      </c>
      <c r="V27" s="770" t="s">
        <v>21</v>
      </c>
      <c r="W27" s="771">
        <f t="shared" si="14"/>
        <v>100</v>
      </c>
      <c r="X27" s="772"/>
      <c r="Y27" s="317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82"/>
      <c r="Q28" s="1810">
        <f t="shared" si="11"/>
        <v>111</v>
      </c>
      <c r="R28" s="774" t="s">
        <v>21</v>
      </c>
      <c r="S28" s="775">
        <f t="shared" si="12"/>
        <v>100</v>
      </c>
      <c r="T28" s="774" t="s">
        <v>21</v>
      </c>
      <c r="U28" s="775">
        <f t="shared" si="13"/>
        <v>100</v>
      </c>
      <c r="V28" s="774" t="s">
        <v>21</v>
      </c>
      <c r="W28" s="775">
        <f t="shared" si="14"/>
        <v>100</v>
      </c>
      <c r="X28" s="1813"/>
      <c r="Y28" s="317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82"/>
      <c r="Q29" s="1810">
        <f t="shared" si="11"/>
        <v>111</v>
      </c>
      <c r="R29" s="774" t="s">
        <v>21</v>
      </c>
      <c r="S29" s="775">
        <f t="shared" si="12"/>
        <v>100</v>
      </c>
      <c r="T29" s="774" t="s">
        <v>21</v>
      </c>
      <c r="U29" s="775">
        <f t="shared" si="13"/>
        <v>100</v>
      </c>
      <c r="V29" s="774" t="s">
        <v>21</v>
      </c>
      <c r="W29" s="775">
        <f t="shared" si="14"/>
        <v>100</v>
      </c>
      <c r="X29" s="1813"/>
      <c r="Y29" s="317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82"/>
      <c r="Q30" s="1810">
        <f t="shared" si="11"/>
        <v>111</v>
      </c>
      <c r="R30" s="774" t="s">
        <v>21</v>
      </c>
      <c r="S30" s="775">
        <f t="shared" si="12"/>
        <v>100</v>
      </c>
      <c r="T30" s="774" t="s">
        <v>21</v>
      </c>
      <c r="U30" s="775">
        <f t="shared" si="13"/>
        <v>100</v>
      </c>
      <c r="V30" s="774" t="s">
        <v>21</v>
      </c>
      <c r="W30" s="775">
        <f t="shared" si="14"/>
        <v>100</v>
      </c>
      <c r="X30" s="1813"/>
      <c r="Y30" s="317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82"/>
      <c r="Q31" s="1810">
        <f t="shared" si="11"/>
        <v>111</v>
      </c>
      <c r="R31" s="774" t="s">
        <v>21</v>
      </c>
      <c r="S31" s="775">
        <f t="shared" si="12"/>
        <v>100</v>
      </c>
      <c r="T31" s="774" t="s">
        <v>21</v>
      </c>
      <c r="U31" s="775">
        <f t="shared" si="13"/>
        <v>100</v>
      </c>
      <c r="V31" s="774" t="s">
        <v>21</v>
      </c>
      <c r="W31" s="775">
        <f t="shared" si="14"/>
        <v>100</v>
      </c>
      <c r="X31" s="1813"/>
      <c r="Y31" s="3175"/>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176" t="s">
        <v>2565</v>
      </c>
      <c r="Q32" s="1810" t="str">
        <f t="shared" si="11"/>
        <v>建筑类型</v>
      </c>
      <c r="R32" s="774" t="s">
        <v>21</v>
      </c>
      <c r="S32" s="775">
        <f t="shared" si="12"/>
        <v>100</v>
      </c>
      <c r="T32" s="774" t="s">
        <v>21</v>
      </c>
      <c r="U32" s="775">
        <f t="shared" si="13"/>
        <v>100</v>
      </c>
      <c r="V32" s="774" t="s">
        <v>21</v>
      </c>
      <c r="W32" s="775">
        <f t="shared" si="14"/>
        <v>100</v>
      </c>
      <c r="X32" s="1813"/>
      <c r="Y32" s="317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177"/>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177"/>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177"/>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177"/>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7"/>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177" t="s">
        <v>2565</v>
      </c>
      <c r="Q38" s="1810" t="str">
        <f t="shared" si="11"/>
        <v>物业管理</v>
      </c>
      <c r="R38" s="774" t="s">
        <v>21</v>
      </c>
      <c r="S38" s="775">
        <f t="shared" si="12"/>
        <v>100</v>
      </c>
      <c r="T38" s="774" t="s">
        <v>21</v>
      </c>
      <c r="U38" s="775">
        <f t="shared" si="13"/>
        <v>100</v>
      </c>
      <c r="V38" s="774" t="s">
        <v>21</v>
      </c>
      <c r="W38" s="775">
        <f t="shared" si="14"/>
        <v>100</v>
      </c>
      <c r="X38" s="1813"/>
      <c r="Y38" s="3179"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177"/>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177"/>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177"/>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77"/>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77"/>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77"/>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78"/>
      <c r="Q46" s="1810">
        <f t="shared" si="11"/>
        <v>111</v>
      </c>
      <c r="R46" s="774" t="s">
        <v>20</v>
      </c>
      <c r="S46" s="775">
        <f t="shared" si="12"/>
        <v>100</v>
      </c>
      <c r="T46" s="774" t="s">
        <v>20</v>
      </c>
      <c r="U46" s="775">
        <f t="shared" si="13"/>
        <v>100</v>
      </c>
      <c r="V46" s="774" t="s">
        <v>20</v>
      </c>
      <c r="W46" s="775">
        <f t="shared" si="14"/>
        <v>100</v>
      </c>
      <c r="X46" s="1813"/>
      <c r="Y46" s="318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172" t="str">
        <f>A47</f>
        <v>成交单价（元/平方米）</v>
      </c>
      <c r="Q47" s="3172"/>
      <c r="R47" s="3173">
        <f>E47</f>
        <v>0</v>
      </c>
      <c r="S47" s="3173"/>
      <c r="T47" s="3173">
        <f>G47</f>
        <v>0</v>
      </c>
      <c r="U47" s="3173"/>
      <c r="V47" s="3173">
        <f>I47</f>
        <v>0</v>
      </c>
      <c r="W47" s="3173"/>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2099</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估价对象为北京市出让国有建设用地使用权及在建建筑物房地产，为所有。根据《国有土地使用证》[]，估价对象（分摊）出让国有建设用地使用权面积为0平方米，建筑面积为14581.82平方米。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14581.82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2019年5月24日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2330</v>
      </c>
      <c r="B2" s="1418" t="e">
        <f ca="1">IF(C2="——",ROUND(C49*D3/10000,0),ROUND(C49*D3/10000,0)-D2)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2332</v>
      </c>
      <c r="B3" s="609" t="e">
        <f ca="1">IF(C2="——",C49,ROUND(B2*10000/D3,0))</f>
        <v>#DIV/0!</v>
      </c>
      <c r="C3" s="400" t="s">
        <v>2644</v>
      </c>
      <c r="D3" s="399">
        <f>IF(D1="",'数据-汇总表'!E3,SUMIF('数据-汇总表'!$C19:$C33,D1,'数据-汇总表'!$E19:$E33))</f>
        <v>14581.819999999996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3"/>
      <c r="Y4" s="3197" t="s">
        <v>2651</v>
      </c>
      <c r="Z4" s="3198"/>
      <c r="AA4" s="3184" t="s">
        <v>2647</v>
      </c>
      <c r="AB4" s="3203" t="s">
        <v>2648</v>
      </c>
      <c r="AC4" s="3184" t="s">
        <v>2649</v>
      </c>
    </row>
    <row r="5" spans="1:29" ht="15">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3"/>
      <c r="Y5" s="3199"/>
      <c r="Z5" s="3200"/>
      <c r="AA5" s="3185"/>
      <c r="AB5" s="3203"/>
      <c r="AC5" s="3185"/>
    </row>
    <row r="6" spans="1:29" ht="15.7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3"/>
      <c r="Y6" s="3201"/>
      <c r="Z6" s="3202"/>
      <c r="AA6" s="3186"/>
      <c r="AB6" s="3203"/>
      <c r="AC6" s="3186"/>
    </row>
    <row r="7" spans="1:29" s="117" customFormat="1" ht="15.75" thickBot="1">
      <c r="A7" s="408" t="s">
        <v>2548</v>
      </c>
      <c r="B7" s="409"/>
      <c r="C7" s="410">
        <f>'数据-取费表'!B2</f>
        <v>43609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2555</v>
      </c>
      <c r="Q9" s="1795"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2560</v>
      </c>
      <c r="Q15" s="1810" t="str">
        <f t="shared" si="6"/>
        <v>商业繁华度</v>
      </c>
      <c r="R15" s="774" t="s">
        <v>17</v>
      </c>
      <c r="S15" s="775">
        <f t="shared" si="0"/>
        <v>100</v>
      </c>
      <c r="T15" s="774" t="s">
        <v>17</v>
      </c>
      <c r="U15" s="775">
        <f t="shared" si="1"/>
        <v>100</v>
      </c>
      <c r="V15" s="774" t="s">
        <v>17</v>
      </c>
      <c r="W15" s="775">
        <f t="shared" si="2"/>
        <v>100</v>
      </c>
      <c r="X15" s="1813"/>
      <c r="Y15" s="317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2103</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10" t="str">
        <f>B23</f>
        <v>自然及人文环境</v>
      </c>
      <c r="R23" s="774" t="s">
        <v>17</v>
      </c>
      <c r="S23" s="775">
        <f>F23</f>
        <v>100</v>
      </c>
      <c r="T23" s="774" t="s">
        <v>17</v>
      </c>
      <c r="U23" s="775">
        <f>H23</f>
        <v>100</v>
      </c>
      <c r="V23" s="774" t="s">
        <v>17</v>
      </c>
      <c r="W23" s="775">
        <f>J23</f>
        <v>100</v>
      </c>
      <c r="X23" s="1813"/>
      <c r="Y23" s="3175"/>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10" t="str">
        <f t="shared" ref="Q25:Q46" si="11">B25</f>
        <v>临街状况</v>
      </c>
      <c r="R25" s="774" t="s">
        <v>17</v>
      </c>
      <c r="S25" s="775">
        <f>F25</f>
        <v>100</v>
      </c>
      <c r="T25" s="774" t="s">
        <v>17</v>
      </c>
      <c r="U25" s="775">
        <f>H25</f>
        <v>100</v>
      </c>
      <c r="V25" s="774" t="s">
        <v>17</v>
      </c>
      <c r="W25" s="775">
        <f>J25</f>
        <v>100</v>
      </c>
      <c r="X25" s="1813"/>
      <c r="Y25" s="317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10" t="str">
        <f t="shared" si="11"/>
        <v>平面位置/可视性</v>
      </c>
      <c r="R26" s="774" t="s">
        <v>17</v>
      </c>
      <c r="S26" s="775">
        <f>F26</f>
        <v>100</v>
      </c>
      <c r="T26" s="774" t="s">
        <v>17</v>
      </c>
      <c r="U26" s="775">
        <f>H26</f>
        <v>100</v>
      </c>
      <c r="V26" s="774" t="s">
        <v>17</v>
      </c>
      <c r="W26" s="775">
        <f>J26</f>
        <v>100</v>
      </c>
      <c r="X26" s="1813"/>
      <c r="Y26" s="3175"/>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182"/>
      <c r="Q27" s="1795" t="str">
        <f t="shared" si="11"/>
        <v>人流量</v>
      </c>
      <c r="R27" s="770" t="s">
        <v>17</v>
      </c>
      <c r="S27" s="771">
        <f>F27</f>
        <v>100</v>
      </c>
      <c r="T27" s="770" t="s">
        <v>17</v>
      </c>
      <c r="U27" s="771">
        <f>H27</f>
        <v>100</v>
      </c>
      <c r="V27" s="770" t="s">
        <v>17</v>
      </c>
      <c r="W27" s="771">
        <f>J27</f>
        <v>100</v>
      </c>
      <c r="X27" s="772"/>
      <c r="Y27" s="317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10">
        <f t="shared" si="11"/>
        <v>111</v>
      </c>
      <c r="R29" s="774" t="s">
        <v>17</v>
      </c>
      <c r="S29" s="775">
        <f t="shared" si="12"/>
        <v>100</v>
      </c>
      <c r="T29" s="774" t="s">
        <v>17</v>
      </c>
      <c r="U29" s="775">
        <f t="shared" si="13"/>
        <v>100</v>
      </c>
      <c r="V29" s="774" t="s">
        <v>17</v>
      </c>
      <c r="W29" s="775">
        <f t="shared" si="14"/>
        <v>100</v>
      </c>
      <c r="X29" s="1813"/>
      <c r="Y29" s="317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76" t="s">
        <v>2565</v>
      </c>
      <c r="Q32" s="1810" t="str">
        <f t="shared" si="11"/>
        <v>商业类型</v>
      </c>
      <c r="R32" s="774" t="s">
        <v>17</v>
      </c>
      <c r="S32" s="775">
        <f t="shared" si="12"/>
        <v>100</v>
      </c>
      <c r="T32" s="774" t="s">
        <v>17</v>
      </c>
      <c r="U32" s="775">
        <f t="shared" si="13"/>
        <v>100</v>
      </c>
      <c r="V32" s="774" t="s">
        <v>17</v>
      </c>
      <c r="W32" s="775">
        <f t="shared" si="14"/>
        <v>100</v>
      </c>
      <c r="X32" s="1813"/>
      <c r="Y32" s="3179"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7"/>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77"/>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77"/>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7"/>
      <c r="Q36" s="1810" t="str">
        <f t="shared" si="11"/>
        <v>成新度</v>
      </c>
      <c r="R36" s="774" t="s">
        <v>17</v>
      </c>
      <c r="S36" s="775" t="e">
        <f t="shared" si="12"/>
        <v>#N/A</v>
      </c>
      <c r="T36" s="774" t="s">
        <v>17</v>
      </c>
      <c r="U36" s="775" t="e">
        <f t="shared" si="13"/>
        <v>#N/A</v>
      </c>
      <c r="V36" s="774" t="s">
        <v>17</v>
      </c>
      <c r="W36" s="775" t="e">
        <f t="shared" si="14"/>
        <v>#N/A</v>
      </c>
      <c r="X36" s="1813"/>
      <c r="Y36" s="3179"/>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77"/>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77" t="s">
        <v>2565</v>
      </c>
      <c r="Q38" s="1810" t="str">
        <f t="shared" si="11"/>
        <v>业态</v>
      </c>
      <c r="R38" s="774" t="s">
        <v>17</v>
      </c>
      <c r="S38" s="775">
        <f t="shared" si="12"/>
        <v>100</v>
      </c>
      <c r="T38" s="774" t="s">
        <v>17</v>
      </c>
      <c r="U38" s="775">
        <f t="shared" si="13"/>
        <v>100</v>
      </c>
      <c r="V38" s="774" t="s">
        <v>17</v>
      </c>
      <c r="W38" s="775">
        <f t="shared" si="14"/>
        <v>100</v>
      </c>
      <c r="X38" s="1813"/>
      <c r="Y38" s="3179"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77"/>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7"/>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77"/>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77"/>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7"/>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7"/>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72" t="str">
        <f>A47</f>
        <v>成交单价（元/平方米）</v>
      </c>
      <c r="Q47" s="3172"/>
      <c r="R47" s="3203">
        <f>E47</f>
        <v>0</v>
      </c>
      <c r="S47" s="3203"/>
      <c r="T47" s="3203">
        <f>G47</f>
        <v>0</v>
      </c>
      <c r="U47" s="3203"/>
      <c r="V47" s="3203">
        <f>I47</f>
        <v>0</v>
      </c>
      <c r="W47" s="3203"/>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14581.819999999996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87" t="s">
        <v>2646</v>
      </c>
      <c r="D4" s="3188"/>
      <c r="E4" s="3189" t="s">
        <v>2647</v>
      </c>
      <c r="F4" s="3190"/>
      <c r="G4" s="3187" t="s">
        <v>2648</v>
      </c>
      <c r="H4" s="3188"/>
      <c r="I4" s="3187" t="s">
        <v>2649</v>
      </c>
      <c r="J4" s="3188"/>
      <c r="K4" s="610" t="s">
        <v>2650</v>
      </c>
      <c r="L4" s="1130"/>
      <c r="M4" s="1131"/>
      <c r="N4" s="1131"/>
      <c r="O4" s="1131"/>
      <c r="P4" s="3221" t="s">
        <v>2651</v>
      </c>
      <c r="Q4" s="3222"/>
      <c r="R4" s="3225" t="s">
        <v>2647</v>
      </c>
      <c r="S4" s="3226"/>
      <c r="T4" s="3225" t="s">
        <v>2648</v>
      </c>
      <c r="U4" s="3226"/>
      <c r="V4" s="3227" t="s">
        <v>2649</v>
      </c>
      <c r="W4" s="3227"/>
      <c r="X4" s="2673"/>
      <c r="Y4" s="3225" t="s">
        <v>2651</v>
      </c>
      <c r="Z4" s="3226"/>
      <c r="AA4" s="3229" t="s">
        <v>2647</v>
      </c>
      <c r="AB4" s="3229" t="s">
        <v>2648</v>
      </c>
      <c r="AC4" s="3218" t="s">
        <v>2649</v>
      </c>
    </row>
    <row r="5" spans="1:29" ht="15">
      <c r="A5" s="404"/>
      <c r="B5" s="405"/>
      <c r="C5" s="3206" t="s">
        <v>2542</v>
      </c>
      <c r="D5" s="3207"/>
      <c r="E5" s="3213" t="s">
        <v>2543</v>
      </c>
      <c r="F5" s="3214"/>
      <c r="G5" s="3206" t="s">
        <v>2544</v>
      </c>
      <c r="H5" s="3207"/>
      <c r="I5" s="3206" t="s">
        <v>2545</v>
      </c>
      <c r="J5" s="3207"/>
      <c r="K5" s="610"/>
      <c r="L5" s="1130"/>
      <c r="M5" s="1131"/>
      <c r="N5" s="1131"/>
      <c r="O5" s="1131"/>
      <c r="P5" s="3223"/>
      <c r="Q5" s="3194"/>
      <c r="R5" s="3199"/>
      <c r="S5" s="3200"/>
      <c r="T5" s="3199"/>
      <c r="U5" s="3200"/>
      <c r="V5" s="3203"/>
      <c r="W5" s="3203"/>
      <c r="X5" s="1813"/>
      <c r="Y5" s="3199"/>
      <c r="Z5" s="3200"/>
      <c r="AA5" s="3185"/>
      <c r="AB5" s="3185"/>
      <c r="AC5" s="3219"/>
    </row>
    <row r="6" spans="1:29" ht="15.75" thickBot="1">
      <c r="A6" s="406"/>
      <c r="B6" s="407"/>
      <c r="C6" s="3204" t="s">
        <v>2546</v>
      </c>
      <c r="D6" s="3205"/>
      <c r="E6" s="3211" t="s">
        <v>2546</v>
      </c>
      <c r="F6" s="3212"/>
      <c r="G6" s="3204" t="s">
        <v>2546</v>
      </c>
      <c r="H6" s="3205"/>
      <c r="I6" s="3204" t="s">
        <v>2546</v>
      </c>
      <c r="J6" s="3205"/>
      <c r="K6" s="610" t="s">
        <v>2547</v>
      </c>
      <c r="L6" s="1130"/>
      <c r="M6" s="1131"/>
      <c r="N6" s="1131"/>
      <c r="O6" s="1131"/>
      <c r="P6" s="3224"/>
      <c r="Q6" s="3196"/>
      <c r="R6" s="3199"/>
      <c r="S6" s="3200"/>
      <c r="T6" s="3201"/>
      <c r="U6" s="3202"/>
      <c r="V6" s="3203"/>
      <c r="W6" s="3203"/>
      <c r="X6" s="1813"/>
      <c r="Y6" s="3201"/>
      <c r="Z6" s="3202"/>
      <c r="AA6" s="3186"/>
      <c r="AB6" s="3186"/>
      <c r="AC6" s="3220"/>
    </row>
    <row r="7" spans="1:29" s="117" customFormat="1" ht="15.75" thickBot="1">
      <c r="A7" s="408" t="s">
        <v>2548</v>
      </c>
      <c r="B7" s="409"/>
      <c r="C7" s="410">
        <f>'数据-取费表'!B2</f>
        <v>43609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2552</v>
      </c>
      <c r="Q8" s="3209"/>
      <c r="R8" s="770" t="s">
        <v>17</v>
      </c>
      <c r="S8" s="771">
        <f t="shared" si="0"/>
        <v>0</v>
      </c>
      <c r="T8" s="770" t="s">
        <v>17</v>
      </c>
      <c r="U8" s="771">
        <f t="shared" si="1"/>
        <v>0</v>
      </c>
      <c r="V8" s="770" t="s">
        <v>17</v>
      </c>
      <c r="W8" s="771">
        <f t="shared" si="2"/>
        <v>0</v>
      </c>
      <c r="X8" s="772"/>
      <c r="Y8" s="3208" t="s">
        <v>2552</v>
      </c>
      <c r="Z8" s="3209"/>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2555</v>
      </c>
      <c r="Q9" s="1795"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1" t="s">
        <v>2560</v>
      </c>
      <c r="Q15" s="1810" t="str">
        <f t="shared" si="6"/>
        <v>办公集聚程度</v>
      </c>
      <c r="R15" s="774" t="s">
        <v>17</v>
      </c>
      <c r="S15" s="775">
        <f t="shared" si="0"/>
        <v>100</v>
      </c>
      <c r="T15" s="774" t="s">
        <v>17</v>
      </c>
      <c r="U15" s="775">
        <f t="shared" si="1"/>
        <v>100</v>
      </c>
      <c r="V15" s="774" t="s">
        <v>17</v>
      </c>
      <c r="W15" s="775">
        <f t="shared" si="2"/>
        <v>100</v>
      </c>
      <c r="X15" s="1813"/>
      <c r="Y15" s="3174"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2677">
        <v>1</v>
      </c>
    </row>
    <row r="17" spans="1:29" ht="71.25">
      <c r="A17" s="428"/>
      <c r="B17" s="631" t="s">
        <v>2098</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182"/>
      <c r="Q18" s="1810"/>
      <c r="R18" s="774"/>
      <c r="S18" s="775"/>
      <c r="T18" s="774"/>
      <c r="U18" s="775"/>
      <c r="V18" s="774"/>
      <c r="W18" s="775"/>
      <c r="X18" s="1813"/>
      <c r="Y18" s="3175"/>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182"/>
      <c r="Q20" s="1810"/>
      <c r="R20" s="774"/>
      <c r="S20" s="775"/>
      <c r="T20" s="774"/>
      <c r="U20" s="775"/>
      <c r="V20" s="774"/>
      <c r="W20" s="775"/>
      <c r="X20" s="1813"/>
      <c r="Y20" s="3175"/>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182"/>
      <c r="Q22" s="1810"/>
      <c r="R22" s="774"/>
      <c r="S22" s="775"/>
      <c r="T22" s="774"/>
      <c r="U22" s="775"/>
      <c r="V22" s="774"/>
      <c r="W22" s="775"/>
      <c r="X22" s="1813"/>
      <c r="Y22" s="3175"/>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2"/>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182"/>
      <c r="Q24" s="1810"/>
      <c r="R24" s="774"/>
      <c r="S24" s="775"/>
      <c r="T24" s="774"/>
      <c r="U24" s="775"/>
      <c r="V24" s="774"/>
      <c r="W24" s="775"/>
      <c r="X24" s="1813"/>
      <c r="Y24" s="3175"/>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182"/>
      <c r="Q25" s="1810" t="str">
        <f>B25</f>
        <v>毗邻道路的类型与等级</v>
      </c>
      <c r="R25" s="774" t="s">
        <v>17</v>
      </c>
      <c r="S25" s="775">
        <f>F25</f>
        <v>100</v>
      </c>
      <c r="T25" s="774" t="s">
        <v>17</v>
      </c>
      <c r="U25" s="775">
        <f>H25</f>
        <v>100</v>
      </c>
      <c r="V25" s="774" t="s">
        <v>17</v>
      </c>
      <c r="W25" s="775">
        <f>J25</f>
        <v>100</v>
      </c>
      <c r="X25" s="1813"/>
      <c r="Y25" s="3175"/>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182"/>
      <c r="Q26" s="1810"/>
      <c r="R26" s="774"/>
      <c r="S26" s="775"/>
      <c r="T26" s="774"/>
      <c r="U26" s="775"/>
      <c r="V26" s="774"/>
      <c r="W26" s="775"/>
      <c r="X26" s="1813"/>
      <c r="Y26" s="3175"/>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2"/>
      <c r="Q27" s="1810" t="str">
        <f t="shared" ref="Q27:Q47" si="11">B27</f>
        <v>楼层</v>
      </c>
      <c r="R27" s="774" t="s">
        <v>17</v>
      </c>
      <c r="S27" s="775">
        <f>F27</f>
        <v>100</v>
      </c>
      <c r="T27" s="774" t="s">
        <v>17</v>
      </c>
      <c r="U27" s="775">
        <f>H27</f>
        <v>100</v>
      </c>
      <c r="V27" s="774" t="s">
        <v>17</v>
      </c>
      <c r="W27" s="775">
        <f>J27</f>
        <v>100</v>
      </c>
      <c r="X27" s="1813"/>
      <c r="Y27" s="3175"/>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182"/>
      <c r="Q28" s="1795" t="str">
        <f t="shared" si="11"/>
        <v>朝向</v>
      </c>
      <c r="R28" s="770" t="s">
        <v>17</v>
      </c>
      <c r="S28" s="771">
        <f>F28</f>
        <v>100</v>
      </c>
      <c r="T28" s="770" t="s">
        <v>17</v>
      </c>
      <c r="U28" s="771">
        <f>H28</f>
        <v>100</v>
      </c>
      <c r="V28" s="770" t="s">
        <v>17</v>
      </c>
      <c r="W28" s="771">
        <f>J28</f>
        <v>100</v>
      </c>
      <c r="X28" s="772"/>
      <c r="Y28" s="3175"/>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182"/>
      <c r="Q29" s="1810">
        <f t="shared" si="11"/>
        <v>111</v>
      </c>
      <c r="R29" s="774" t="s">
        <v>17</v>
      </c>
      <c r="S29" s="775">
        <f t="shared" ref="S29:S47" si="12">F29</f>
        <v>100</v>
      </c>
      <c r="T29" s="774" t="s">
        <v>17</v>
      </c>
      <c r="U29" s="775">
        <f t="shared" ref="U29:U47" si="13">H29</f>
        <v>100</v>
      </c>
      <c r="V29" s="774" t="s">
        <v>17</v>
      </c>
      <c r="W29" s="775">
        <f t="shared" ref="W29:W47" si="14">J29</f>
        <v>100</v>
      </c>
      <c r="X29" s="1813"/>
      <c r="Y29" s="3175"/>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182"/>
      <c r="Q32" s="1810">
        <f t="shared" si="11"/>
        <v>111</v>
      </c>
      <c r="R32" s="774" t="s">
        <v>17</v>
      </c>
      <c r="S32" s="775">
        <f t="shared" si="12"/>
        <v>100</v>
      </c>
      <c r="T32" s="774" t="s">
        <v>17</v>
      </c>
      <c r="U32" s="775">
        <f t="shared" si="13"/>
        <v>100</v>
      </c>
      <c r="V32" s="774" t="s">
        <v>17</v>
      </c>
      <c r="W32" s="775">
        <f t="shared" si="14"/>
        <v>100</v>
      </c>
      <c r="X32" s="1813"/>
      <c r="Y32" s="3175"/>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176" t="s">
        <v>2565</v>
      </c>
      <c r="Q33" s="1810" t="str">
        <f t="shared" si="11"/>
        <v>建筑类型</v>
      </c>
      <c r="R33" s="774" t="s">
        <v>17</v>
      </c>
      <c r="S33" s="775">
        <f t="shared" si="12"/>
        <v>100</v>
      </c>
      <c r="T33" s="774" t="s">
        <v>17</v>
      </c>
      <c r="U33" s="775">
        <f t="shared" si="13"/>
        <v>100</v>
      </c>
      <c r="V33" s="774" t="s">
        <v>17</v>
      </c>
      <c r="W33" s="775">
        <f t="shared" si="14"/>
        <v>100</v>
      </c>
      <c r="X33" s="1813"/>
      <c r="Y33" s="3179"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7"/>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7"/>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7"/>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7"/>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7"/>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7" t="s">
        <v>2565</v>
      </c>
      <c r="Q39" s="1810" t="str">
        <f t="shared" si="11"/>
        <v>物业管理</v>
      </c>
      <c r="R39" s="774" t="s">
        <v>17</v>
      </c>
      <c r="S39" s="775">
        <f t="shared" si="12"/>
        <v>100</v>
      </c>
      <c r="T39" s="774" t="s">
        <v>17</v>
      </c>
      <c r="U39" s="775">
        <f t="shared" si="13"/>
        <v>100</v>
      </c>
      <c r="V39" s="774" t="s">
        <v>17</v>
      </c>
      <c r="W39" s="775">
        <f t="shared" si="14"/>
        <v>100</v>
      </c>
      <c r="X39" s="1813"/>
      <c r="Y39" s="3179"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7"/>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7"/>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7"/>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7"/>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177"/>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7"/>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8"/>
      <c r="Q47" s="1810">
        <f t="shared" si="11"/>
        <v>111</v>
      </c>
      <c r="R47" s="774" t="s">
        <v>17</v>
      </c>
      <c r="S47" s="775">
        <f t="shared" si="12"/>
        <v>100</v>
      </c>
      <c r="T47" s="774" t="s">
        <v>17</v>
      </c>
      <c r="U47" s="775">
        <f t="shared" si="13"/>
        <v>100</v>
      </c>
      <c r="V47" s="774" t="s">
        <v>17</v>
      </c>
      <c r="W47" s="775">
        <f t="shared" si="14"/>
        <v>100</v>
      </c>
      <c r="X47" s="1813"/>
      <c r="Y47" s="3180"/>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183" t="str">
        <f>A48</f>
        <v>成交单价（元/平方米）</v>
      </c>
      <c r="Q48" s="3172"/>
      <c r="R48" s="3173">
        <f>E48</f>
        <v>0</v>
      </c>
      <c r="S48" s="3173"/>
      <c r="T48" s="3173">
        <f>G48</f>
        <v>0</v>
      </c>
      <c r="U48" s="3173"/>
      <c r="V48" s="3173">
        <f>I48</f>
        <v>0</v>
      </c>
      <c r="W48" s="3173"/>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15" t="str">
        <f>A50</f>
        <v>估价对象XX用房的比较价值（楼面单价，元/平方米）</v>
      </c>
      <c r="Q50" s="3216"/>
      <c r="R50" s="3217" t="e">
        <f>IF(F1="售价",ROUND(AVERAGE(R49:V49),0),ROUND(AVERAGE(R49:V49),1))</f>
        <v>#DIV/0!</v>
      </c>
      <c r="S50" s="3217"/>
      <c r="T50" s="3217"/>
      <c r="U50" s="3217"/>
      <c r="V50" s="3217"/>
      <c r="W50" s="321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89"/>
      <c r="D2" s="1124" t="e">
        <f ca="1">SUMIF(INDIRECT("'"&amp;F2&amp;"'"&amp;"!A:A"),"承租人权益价值",INDIRECT("'"&amp;F2&amp;"'"&amp;"!c:c"))</f>
        <v>#REF!</v>
      </c>
      <c r="E2" s="2590" t="s">
        <v>2331</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14581.819999999996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3"/>
      <c r="Y4" s="3197" t="s">
        <v>2651</v>
      </c>
      <c r="Z4" s="3198"/>
      <c r="AA4" s="3184" t="s">
        <v>2647</v>
      </c>
      <c r="AB4" s="3185" t="s">
        <v>2648</v>
      </c>
      <c r="AC4" s="3184" t="s">
        <v>2649</v>
      </c>
    </row>
    <row r="5" spans="1:29" ht="15">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2548</v>
      </c>
      <c r="B7" s="409"/>
      <c r="C7" s="410">
        <f>'数据-取费表'!B2</f>
        <v>43609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2555</v>
      </c>
      <c r="Q9" s="1795"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2560</v>
      </c>
      <c r="Q15" s="1810" t="str">
        <f t="shared" si="6"/>
        <v>产业集聚程度</v>
      </c>
      <c r="R15" s="774" t="s">
        <v>17</v>
      </c>
      <c r="S15" s="775">
        <f t="shared" si="0"/>
        <v>100</v>
      </c>
      <c r="T15" s="774" t="s">
        <v>17</v>
      </c>
      <c r="U15" s="775">
        <f t="shared" si="1"/>
        <v>100</v>
      </c>
      <c r="V15" s="774" t="s">
        <v>17</v>
      </c>
      <c r="W15" s="775">
        <f t="shared" si="2"/>
        <v>100</v>
      </c>
      <c r="X15" s="1813"/>
      <c r="Y15" s="317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451" t="s">
        <v>2098</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75"/>
      <c r="Q18" s="1810"/>
      <c r="R18" s="774"/>
      <c r="S18" s="775"/>
      <c r="T18" s="774"/>
      <c r="U18" s="775"/>
      <c r="V18" s="774"/>
      <c r="W18" s="775"/>
      <c r="X18" s="1813"/>
      <c r="Y18" s="3175"/>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75"/>
      <c r="Q20" s="1810"/>
      <c r="R20" s="774"/>
      <c r="S20" s="775"/>
      <c r="T20" s="774"/>
      <c r="U20" s="775"/>
      <c r="V20" s="774"/>
      <c r="W20" s="775"/>
      <c r="X20" s="1813"/>
      <c r="Y20" s="3175"/>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75"/>
      <c r="Q22" s="1810"/>
      <c r="R22" s="774"/>
      <c r="S22" s="775"/>
      <c r="T22" s="774"/>
      <c r="U22" s="775"/>
      <c r="V22" s="774"/>
      <c r="W22" s="775"/>
      <c r="X22" s="1813"/>
      <c r="Y22" s="3175"/>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75"/>
      <c r="Q24" s="1810"/>
      <c r="R24" s="774"/>
      <c r="S24" s="775"/>
      <c r="T24" s="774"/>
      <c r="U24" s="775"/>
      <c r="V24" s="774"/>
      <c r="W24" s="775"/>
      <c r="X24" s="1813"/>
      <c r="Y24" s="317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10">
        <f>B25</f>
        <v>111</v>
      </c>
      <c r="R25" s="774" t="s">
        <v>17</v>
      </c>
      <c r="S25" s="775">
        <f>F25</f>
        <v>100</v>
      </c>
      <c r="T25" s="774" t="s">
        <v>17</v>
      </c>
      <c r="U25" s="775">
        <f>H25</f>
        <v>100</v>
      </c>
      <c r="V25" s="774" t="s">
        <v>17</v>
      </c>
      <c r="W25" s="775">
        <f>J25</f>
        <v>100</v>
      </c>
      <c r="X25" s="1813"/>
      <c r="Y25" s="317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10">
        <f t="shared" ref="Q26:Q40" si="11">B26</f>
        <v>111</v>
      </c>
      <c r="R26" s="774" t="s">
        <v>17</v>
      </c>
      <c r="S26" s="775">
        <f>F26</f>
        <v>100</v>
      </c>
      <c r="T26" s="774" t="s">
        <v>17</v>
      </c>
      <c r="U26" s="775">
        <f>H26</f>
        <v>100</v>
      </c>
      <c r="V26" s="774" t="s">
        <v>17</v>
      </c>
      <c r="W26" s="775">
        <f>J26</f>
        <v>100</v>
      </c>
      <c r="X26" s="1813"/>
      <c r="Y26" s="317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5">
        <f t="shared" si="11"/>
        <v>111</v>
      </c>
      <c r="R27" s="770" t="s">
        <v>17</v>
      </c>
      <c r="S27" s="771">
        <f>F27</f>
        <v>100</v>
      </c>
      <c r="T27" s="770" t="s">
        <v>17</v>
      </c>
      <c r="U27" s="771">
        <f>H27</f>
        <v>100</v>
      </c>
      <c r="V27" s="770" t="s">
        <v>17</v>
      </c>
      <c r="W27" s="771">
        <f>J27</f>
        <v>100</v>
      </c>
      <c r="X27" s="772"/>
      <c r="Y27" s="317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10">
        <f t="shared" si="11"/>
        <v>111</v>
      </c>
      <c r="R28" s="774" t="s">
        <v>17</v>
      </c>
      <c r="S28" s="775">
        <f t="shared" ref="S28:S40" si="12">F28</f>
        <v>100</v>
      </c>
      <c r="T28" s="774" t="s">
        <v>17</v>
      </c>
      <c r="U28" s="775">
        <f t="shared" ref="U28:U40" si="13">H28</f>
        <v>100</v>
      </c>
      <c r="V28" s="774" t="s">
        <v>17</v>
      </c>
      <c r="W28" s="775">
        <f t="shared" ref="W28:W40" si="14">J28</f>
        <v>100</v>
      </c>
      <c r="X28" s="1813"/>
      <c r="Y28" s="3175"/>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0" t="s">
        <v>2565</v>
      </c>
      <c r="Q29" s="1810" t="str">
        <f t="shared" si="11"/>
        <v>建筑类型</v>
      </c>
      <c r="R29" s="774" t="s">
        <v>17</v>
      </c>
      <c r="S29" s="775">
        <f t="shared" si="12"/>
        <v>100</v>
      </c>
      <c r="T29" s="774" t="s">
        <v>17</v>
      </c>
      <c r="U29" s="775">
        <f t="shared" si="13"/>
        <v>100</v>
      </c>
      <c r="V29" s="774" t="s">
        <v>17</v>
      </c>
      <c r="W29" s="775">
        <f t="shared" si="14"/>
        <v>100</v>
      </c>
      <c r="X29" s="1813"/>
      <c r="Y29" s="317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2565</v>
      </c>
      <c r="Q35" s="1810" t="str">
        <f t="shared" si="11"/>
        <v>市政基础设施</v>
      </c>
      <c r="R35" s="774" t="s">
        <v>17</v>
      </c>
      <c r="S35" s="775">
        <f t="shared" si="12"/>
        <v>100</v>
      </c>
      <c r="T35" s="774" t="s">
        <v>17</v>
      </c>
      <c r="U35" s="775">
        <f t="shared" si="13"/>
        <v>100</v>
      </c>
      <c r="V35" s="774" t="s">
        <v>17</v>
      </c>
      <c r="W35" s="775">
        <f t="shared" si="14"/>
        <v>100</v>
      </c>
      <c r="X35" s="1813"/>
      <c r="Y35" s="317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0"/>
      <c r="Q40" s="1810">
        <f t="shared" si="11"/>
        <v>111</v>
      </c>
      <c r="R40" s="774" t="s">
        <v>17</v>
      </c>
      <c r="S40" s="775">
        <f t="shared" si="12"/>
        <v>100</v>
      </c>
      <c r="T40" s="774" t="s">
        <v>17</v>
      </c>
      <c r="U40" s="775">
        <f t="shared" si="13"/>
        <v>100</v>
      </c>
      <c r="V40" s="774" t="s">
        <v>17</v>
      </c>
      <c r="W40" s="775">
        <f t="shared" si="14"/>
        <v>100</v>
      </c>
      <c r="X40" s="1813"/>
      <c r="Y40" s="318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72" t="str">
        <f>A41</f>
        <v>成交单价（元/平方米）</v>
      </c>
      <c r="Q41" s="3172"/>
      <c r="R41" s="3173">
        <f>E41</f>
        <v>0</v>
      </c>
      <c r="S41" s="3173"/>
      <c r="T41" s="3173">
        <f>G41</f>
        <v>0</v>
      </c>
      <c r="U41" s="3173"/>
      <c r="V41" s="3173">
        <f>I41</f>
        <v>0</v>
      </c>
      <c r="W41" s="3173"/>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69" t="str">
        <f>A43</f>
        <v>估价对象XX用房的比较价值（楼面单价，元/平方米）</v>
      </c>
      <c r="Q43" s="3170"/>
      <c r="R43" s="3171" t="e">
        <f>IF(F1="售价",ROUND(AVERAGE(R42:V42),0),ROUND(AVERAGE(R42:V42),1))</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3"/>
      <c r="Y4" s="3197" t="s">
        <v>2651</v>
      </c>
      <c r="Z4" s="3198"/>
      <c r="AA4" s="3184" t="s">
        <v>2647</v>
      </c>
      <c r="AB4" s="3185" t="s">
        <v>2648</v>
      </c>
      <c r="AC4" s="3184" t="s">
        <v>2649</v>
      </c>
    </row>
    <row r="5" spans="1:29" ht="15">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2548</v>
      </c>
      <c r="B7" s="409"/>
      <c r="C7" s="410">
        <f>'数据-取费表'!B2</f>
        <v>43609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2549</v>
      </c>
      <c r="Q7" s="3210"/>
      <c r="R7" s="770" t="s">
        <v>17</v>
      </c>
      <c r="S7" s="771">
        <f t="shared" ref="S7:S14" si="0">F7</f>
        <v>0</v>
      </c>
      <c r="T7" s="770" t="s">
        <v>17</v>
      </c>
      <c r="U7" s="771">
        <f t="shared" ref="U7:U14" si="1">H7</f>
        <v>0</v>
      </c>
      <c r="V7" s="770" t="s">
        <v>17</v>
      </c>
      <c r="W7" s="771">
        <f t="shared" ref="W7:W14" si="2">J7</f>
        <v>0</v>
      </c>
      <c r="X7" s="772"/>
      <c r="Y7" s="3208" t="s">
        <v>2549</v>
      </c>
      <c r="Z7" s="320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2555</v>
      </c>
      <c r="Q9" s="1795" t="str">
        <f t="shared" ref="Q9:Q14" si="6">B9</f>
        <v>用途</v>
      </c>
      <c r="R9" s="770" t="s">
        <v>17</v>
      </c>
      <c r="S9" s="771">
        <f t="shared" si="0"/>
        <v>100</v>
      </c>
      <c r="T9" s="770" t="s">
        <v>17</v>
      </c>
      <c r="U9" s="771">
        <f t="shared" si="1"/>
        <v>100</v>
      </c>
      <c r="V9" s="770" t="s">
        <v>17</v>
      </c>
      <c r="W9" s="771">
        <f t="shared" si="2"/>
        <v>100</v>
      </c>
      <c r="X9" s="772"/>
      <c r="Y9" s="299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2560</v>
      </c>
      <c r="Q14" s="1810" t="str">
        <f t="shared" si="6"/>
        <v>交通便捷度</v>
      </c>
      <c r="R14" s="774" t="s">
        <v>17</v>
      </c>
      <c r="S14" s="775">
        <f t="shared" si="0"/>
        <v>100</v>
      </c>
      <c r="T14" s="774" t="s">
        <v>17</v>
      </c>
      <c r="U14" s="775">
        <f t="shared" si="1"/>
        <v>100</v>
      </c>
      <c r="V14" s="774" t="s">
        <v>17</v>
      </c>
      <c r="W14" s="775">
        <f t="shared" si="2"/>
        <v>100</v>
      </c>
      <c r="X14" s="1813"/>
      <c r="Y14" s="317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5"/>
      <c r="Q15" s="1810"/>
      <c r="R15" s="774"/>
      <c r="S15" s="775"/>
      <c r="T15" s="774"/>
      <c r="U15" s="775"/>
      <c r="V15" s="774"/>
      <c r="W15" s="775"/>
      <c r="X15" s="1813"/>
      <c r="Y15" s="3175"/>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75"/>
      <c r="Q17" s="1810"/>
      <c r="R17" s="774"/>
      <c r="S17" s="775"/>
      <c r="T17" s="774"/>
      <c r="U17" s="775"/>
      <c r="V17" s="774"/>
      <c r="W17" s="775"/>
      <c r="X17" s="1813"/>
      <c r="Y17" s="3175"/>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75"/>
      <c r="Q19" s="1810"/>
      <c r="R19" s="774"/>
      <c r="S19" s="775"/>
      <c r="T19" s="774"/>
      <c r="U19" s="775"/>
      <c r="V19" s="774"/>
      <c r="W19" s="775"/>
      <c r="X19" s="1813"/>
      <c r="Y19" s="3175"/>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5"/>
      <c r="Q21" s="1810"/>
      <c r="R21" s="774"/>
      <c r="S21" s="775"/>
      <c r="T21" s="774"/>
      <c r="U21" s="775"/>
      <c r="V21" s="774"/>
      <c r="W21" s="775"/>
      <c r="X21" s="1813"/>
      <c r="Y21" s="317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10">
        <f t="shared" ref="Q24:Q36"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2565</v>
      </c>
      <c r="Q32" s="1810" t="str">
        <f t="shared" si="11"/>
        <v>车位类型</v>
      </c>
      <c r="R32" s="774" t="s">
        <v>17</v>
      </c>
      <c r="S32" s="775">
        <f t="shared" si="12"/>
        <v>100</v>
      </c>
      <c r="T32" s="774" t="s">
        <v>17</v>
      </c>
      <c r="U32" s="775">
        <f t="shared" si="13"/>
        <v>100</v>
      </c>
      <c r="V32" s="774" t="s">
        <v>17</v>
      </c>
      <c r="W32" s="775">
        <f t="shared" si="14"/>
        <v>100</v>
      </c>
      <c r="X32" s="1813"/>
      <c r="Y32" s="317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172" t="str">
        <f>A37</f>
        <v>成交单价</v>
      </c>
      <c r="Q37" s="3172"/>
      <c r="R37" s="3173">
        <f>E37</f>
        <v>0</v>
      </c>
      <c r="S37" s="3173"/>
      <c r="T37" s="3173">
        <f>G37</f>
        <v>0</v>
      </c>
      <c r="U37" s="3173"/>
      <c r="V37" s="3173">
        <f>I37</f>
        <v>0</v>
      </c>
      <c r="W37" s="3173"/>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69" t="str">
        <f>A39</f>
        <v>估价对象XX用房的比较价值（楼面单价，元/平方米）</v>
      </c>
      <c r="Q39" s="3170"/>
      <c r="R39" s="3171" t="e">
        <f>IF(F1="售价",ROUND(AVERAGE(R38:V38),0),ROUND(AVERAGE(R38:V38),1))</f>
        <v>#DIV/0!</v>
      </c>
      <c r="S39" s="3171"/>
      <c r="T39" s="3171"/>
      <c r="U39" s="3171"/>
      <c r="V39" s="3171"/>
      <c r="W39" s="31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3"/>
      <c r="Y4" s="3197" t="s">
        <v>2651</v>
      </c>
      <c r="Z4" s="3198"/>
      <c r="AA4" s="3184" t="s">
        <v>2647</v>
      </c>
      <c r="AB4" s="3185" t="s">
        <v>2648</v>
      </c>
      <c r="AC4" s="3184" t="s">
        <v>2649</v>
      </c>
    </row>
    <row r="5" spans="1:29" ht="15">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2546</v>
      </c>
      <c r="D6" s="3205"/>
      <c r="E6" s="3211" t="s">
        <v>2546</v>
      </c>
      <c r="F6" s="3212"/>
      <c r="G6" s="3204" t="s">
        <v>2546</v>
      </c>
      <c r="H6" s="3205"/>
      <c r="I6" s="3204" t="s">
        <v>2546</v>
      </c>
      <c r="J6" s="3205"/>
      <c r="K6" s="610" t="s">
        <v>2547</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2548</v>
      </c>
      <c r="B7" s="409"/>
      <c r="C7" s="410">
        <f>'数据-取费表'!B2</f>
        <v>43609</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08" t="s">
        <v>2549</v>
      </c>
      <c r="Q7" s="3210"/>
      <c r="R7" s="770" t="s">
        <v>17</v>
      </c>
      <c r="S7" s="771">
        <f t="shared" ref="S7:S14" si="0">F7</f>
        <v>0</v>
      </c>
      <c r="T7" s="770" t="s">
        <v>17</v>
      </c>
      <c r="U7" s="771">
        <f t="shared" ref="U7:U14" si="1">H7</f>
        <v>0</v>
      </c>
      <c r="V7" s="770" t="s">
        <v>17</v>
      </c>
      <c r="W7" s="771">
        <f t="shared" ref="W7:W14" si="2">J7</f>
        <v>0</v>
      </c>
      <c r="X7" s="772"/>
      <c r="Y7" s="3208" t="s">
        <v>2549</v>
      </c>
      <c r="Z7" s="320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2555</v>
      </c>
      <c r="Q9" s="1795" t="str">
        <f t="shared" ref="Q9:Q14" si="6">B9</f>
        <v>用途</v>
      </c>
      <c r="R9" s="770" t="s">
        <v>17</v>
      </c>
      <c r="S9" s="771">
        <f t="shared" si="0"/>
        <v>100</v>
      </c>
      <c r="T9" s="770" t="s">
        <v>17</v>
      </c>
      <c r="U9" s="771">
        <f t="shared" si="1"/>
        <v>100</v>
      </c>
      <c r="V9" s="770" t="s">
        <v>17</v>
      </c>
      <c r="W9" s="771">
        <f t="shared" si="2"/>
        <v>100</v>
      </c>
      <c r="X9" s="772"/>
      <c r="Y9" s="299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2560</v>
      </c>
      <c r="Q14" s="1810" t="str">
        <f t="shared" si="6"/>
        <v>交通便捷度</v>
      </c>
      <c r="R14" s="774" t="s">
        <v>17</v>
      </c>
      <c r="S14" s="775">
        <f t="shared" si="0"/>
        <v>100</v>
      </c>
      <c r="T14" s="774" t="s">
        <v>17</v>
      </c>
      <c r="U14" s="775">
        <f t="shared" si="1"/>
        <v>100</v>
      </c>
      <c r="V14" s="774" t="s">
        <v>17</v>
      </c>
      <c r="W14" s="775">
        <f t="shared" si="2"/>
        <v>100</v>
      </c>
      <c r="X14" s="1813"/>
      <c r="Y14" s="317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5"/>
      <c r="Q15" s="1810"/>
      <c r="R15" s="774"/>
      <c r="S15" s="775"/>
      <c r="T15" s="774"/>
      <c r="U15" s="775"/>
      <c r="V15" s="774"/>
      <c r="W15" s="775"/>
      <c r="X15" s="1813"/>
      <c r="Y15" s="3175"/>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75"/>
      <c r="Q17" s="1810"/>
      <c r="R17" s="774"/>
      <c r="S17" s="775"/>
      <c r="T17" s="774"/>
      <c r="U17" s="775"/>
      <c r="V17" s="774"/>
      <c r="W17" s="775"/>
      <c r="X17" s="1813"/>
      <c r="Y17" s="3175"/>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75"/>
      <c r="Q19" s="1810"/>
      <c r="R19" s="774"/>
      <c r="S19" s="775"/>
      <c r="T19" s="774"/>
      <c r="U19" s="775"/>
      <c r="V19" s="774"/>
      <c r="W19" s="775"/>
      <c r="X19" s="1813"/>
      <c r="Y19" s="3175"/>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5"/>
      <c r="Q21" s="1810"/>
      <c r="R21" s="774"/>
      <c r="S21" s="775"/>
      <c r="T21" s="774"/>
      <c r="U21" s="775"/>
      <c r="V21" s="774"/>
      <c r="W21" s="775"/>
      <c r="X21" s="1813"/>
      <c r="Y21" s="317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10">
        <f t="shared" ref="Q24:Q34"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0"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2565</v>
      </c>
      <c r="Q32" s="1810">
        <f t="shared" si="11"/>
        <v>111</v>
      </c>
      <c r="R32" s="774" t="s">
        <v>17</v>
      </c>
      <c r="S32" s="775">
        <f t="shared" si="12"/>
        <v>100</v>
      </c>
      <c r="T32" s="774" t="s">
        <v>17</v>
      </c>
      <c r="U32" s="775">
        <f t="shared" si="13"/>
        <v>100</v>
      </c>
      <c r="V32" s="774" t="s">
        <v>17</v>
      </c>
      <c r="W32" s="775">
        <f t="shared" si="14"/>
        <v>100</v>
      </c>
      <c r="X32" s="1813"/>
      <c r="Y32" s="3179"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72" t="str">
        <f>A35</f>
        <v>成交单价（元/平方米）</v>
      </c>
      <c r="Q35" s="3172"/>
      <c r="R35" s="3173">
        <f>E35</f>
        <v>0</v>
      </c>
      <c r="S35" s="3173"/>
      <c r="T35" s="3173">
        <f>G35</f>
        <v>0</v>
      </c>
      <c r="U35" s="3173"/>
      <c r="V35" s="3173">
        <f>I35</f>
        <v>0</v>
      </c>
      <c r="W35" s="3173"/>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69" t="str">
        <f>A37</f>
        <v>估价对象XX用房的比较价值（楼面单价，元/平方米）</v>
      </c>
      <c r="Q37" s="3170"/>
      <c r="R37" s="3171" t="e">
        <f>IF(F1="售价",ROUND(AVERAGE(R36:V36),0),ROUND(AVERAGE(R36:V36),1))</f>
        <v>#DIV/0!</v>
      </c>
      <c r="S37" s="3171"/>
      <c r="T37" s="3171"/>
      <c r="U37" s="3171"/>
      <c r="V37" s="3171"/>
      <c r="W37" s="31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7" t="s">
        <v>2646</v>
      </c>
      <c r="D4" s="3188"/>
      <c r="E4" s="3189" t="s">
        <v>2647</v>
      </c>
      <c r="F4" s="3190"/>
      <c r="G4" s="3187" t="s">
        <v>2648</v>
      </c>
      <c r="H4" s="3188"/>
      <c r="I4" s="3187" t="s">
        <v>2649</v>
      </c>
      <c r="J4" s="3188"/>
      <c r="K4" s="610" t="s">
        <v>2650</v>
      </c>
      <c r="L4" s="1130"/>
      <c r="M4" s="1131"/>
      <c r="N4" s="1131"/>
      <c r="O4" s="1131"/>
      <c r="P4" s="3191" t="s">
        <v>2651</v>
      </c>
      <c r="Q4" s="3192"/>
      <c r="R4" s="3197" t="s">
        <v>2647</v>
      </c>
      <c r="S4" s="3198"/>
      <c r="T4" s="3197" t="s">
        <v>2648</v>
      </c>
      <c r="U4" s="3198"/>
      <c r="V4" s="3203" t="s">
        <v>2649</v>
      </c>
      <c r="W4" s="3203"/>
      <c r="X4" s="1813"/>
      <c r="Y4" s="3197" t="s">
        <v>2651</v>
      </c>
      <c r="Z4" s="3198"/>
      <c r="AA4" s="3184" t="s">
        <v>2647</v>
      </c>
      <c r="AB4" s="3185" t="s">
        <v>2648</v>
      </c>
      <c r="AC4" s="3184" t="s">
        <v>2649</v>
      </c>
    </row>
    <row r="5" spans="1:29" ht="15">
      <c r="A5" s="404"/>
      <c r="B5" s="405"/>
      <c r="C5" s="3206" t="s">
        <v>2542</v>
      </c>
      <c r="D5" s="3207"/>
      <c r="E5" s="3213" t="s">
        <v>2543</v>
      </c>
      <c r="F5" s="3214"/>
      <c r="G5" s="3206" t="s">
        <v>2544</v>
      </c>
      <c r="H5" s="3207"/>
      <c r="I5" s="3206" t="s">
        <v>2545</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35" t="s">
        <v>2797</v>
      </c>
      <c r="D6" s="3236"/>
      <c r="E6" s="3237" t="s">
        <v>2797</v>
      </c>
      <c r="F6" s="3238"/>
      <c r="G6" s="3235" t="s">
        <v>2797</v>
      </c>
      <c r="H6" s="3236"/>
      <c r="I6" s="3235" t="s">
        <v>2797</v>
      </c>
      <c r="J6" s="3236"/>
      <c r="K6" s="610" t="s">
        <v>2547</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2548</v>
      </c>
      <c r="B7" s="409"/>
      <c r="C7" s="410">
        <f>'数据-取费表'!B2</f>
        <v>43609</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08" t="s">
        <v>2549</v>
      </c>
      <c r="Q7" s="3210"/>
      <c r="R7" s="770" t="s">
        <v>17</v>
      </c>
      <c r="S7" s="771">
        <f t="shared" ref="S7:S15" si="0">F7</f>
        <v>0</v>
      </c>
      <c r="T7" s="770" t="s">
        <v>17</v>
      </c>
      <c r="U7" s="771">
        <f t="shared" ref="U7:U15" si="1">H7</f>
        <v>0</v>
      </c>
      <c r="V7" s="770" t="s">
        <v>17</v>
      </c>
      <c r="W7" s="771">
        <f t="shared" ref="W7:W15" si="2">J7</f>
        <v>0</v>
      </c>
      <c r="X7" s="772"/>
      <c r="Y7" s="3208" t="s">
        <v>2549</v>
      </c>
      <c r="Z7" s="320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2552</v>
      </c>
      <c r="Q8" s="3209"/>
      <c r="R8" s="770" t="s">
        <v>17</v>
      </c>
      <c r="S8" s="771">
        <f t="shared" si="0"/>
        <v>0</v>
      </c>
      <c r="T8" s="770" t="s">
        <v>17</v>
      </c>
      <c r="U8" s="771">
        <f t="shared" si="1"/>
        <v>0</v>
      </c>
      <c r="V8" s="770" t="s">
        <v>17</v>
      </c>
      <c r="W8" s="771">
        <f t="shared" si="2"/>
        <v>0</v>
      </c>
      <c r="X8" s="772"/>
      <c r="Y8" s="3208" t="s">
        <v>2552</v>
      </c>
      <c r="Z8" s="3209"/>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72" t="s">
        <v>2555</v>
      </c>
      <c r="Q9" s="1795" t="str">
        <f t="shared" ref="Q9:Q15" si="6">B9</f>
        <v>用途</v>
      </c>
      <c r="R9" s="770" t="s">
        <v>17</v>
      </c>
      <c r="S9" s="771">
        <f t="shared" si="0"/>
        <v>100</v>
      </c>
      <c r="T9" s="770" t="s">
        <v>17</v>
      </c>
      <c r="U9" s="771">
        <f t="shared" si="1"/>
        <v>100</v>
      </c>
      <c r="V9" s="770" t="s">
        <v>17</v>
      </c>
      <c r="W9" s="771">
        <f t="shared" si="2"/>
        <v>100</v>
      </c>
      <c r="X9" s="772"/>
      <c r="Y9" s="299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72"/>
      <c r="Q10" s="1795" t="str">
        <f t="shared" si="6"/>
        <v>土地使用年限（年）</v>
      </c>
      <c r="R10" s="770" t="s">
        <v>17</v>
      </c>
      <c r="S10" s="771">
        <f t="shared" si="0"/>
        <v>101</v>
      </c>
      <c r="T10" s="770" t="s">
        <v>17</v>
      </c>
      <c r="U10" s="771">
        <f t="shared" si="1"/>
        <v>101</v>
      </c>
      <c r="V10" s="770" t="s">
        <v>17</v>
      </c>
      <c r="W10" s="771">
        <f t="shared" si="2"/>
        <v>101</v>
      </c>
      <c r="X10" s="772"/>
      <c r="Y10" s="2997"/>
      <c r="Z10" s="55" t="str">
        <f t="shared" si="7"/>
        <v>土地使用年限（年）</v>
      </c>
      <c r="AA10" s="773">
        <f t="shared" si="3"/>
        <v>0.99009900990099009</v>
      </c>
      <c r="AB10" s="773">
        <f t="shared" si="4"/>
        <v>0.99009900990099009</v>
      </c>
      <c r="AC10" s="773">
        <f t="shared" si="5"/>
        <v>0.99009900990099009</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2560</v>
      </c>
      <c r="Q15" s="1810" t="str">
        <f t="shared" si="6"/>
        <v>产业集聚程度</v>
      </c>
      <c r="R15" s="774" t="s">
        <v>17</v>
      </c>
      <c r="S15" s="775">
        <f t="shared" si="0"/>
        <v>100</v>
      </c>
      <c r="T15" s="774" t="s">
        <v>17</v>
      </c>
      <c r="U15" s="775">
        <f t="shared" si="1"/>
        <v>100</v>
      </c>
      <c r="V15" s="774" t="s">
        <v>17</v>
      </c>
      <c r="W15" s="775">
        <f t="shared" si="2"/>
        <v>100</v>
      </c>
      <c r="X15" s="1813"/>
      <c r="Y15" s="3174"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10" t="str">
        <f t="shared" ref="Q19:Q33" si="8">B19</f>
        <v>区域土地利用方向</v>
      </c>
      <c r="R19" s="774" t="s">
        <v>17</v>
      </c>
      <c r="S19" s="775">
        <f>F19</f>
        <v>100</v>
      </c>
      <c r="T19" s="774" t="s">
        <v>17</v>
      </c>
      <c r="U19" s="775">
        <f>H19</f>
        <v>100</v>
      </c>
      <c r="V19" s="774" t="s">
        <v>17</v>
      </c>
      <c r="W19" s="775">
        <f>J19</f>
        <v>100</v>
      </c>
      <c r="X19" s="1813"/>
      <c r="Y19" s="3175"/>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75"/>
      <c r="Q20" s="1810"/>
      <c r="R20" s="774"/>
      <c r="S20" s="775"/>
      <c r="T20" s="774"/>
      <c r="U20" s="775"/>
      <c r="V20" s="774"/>
      <c r="W20" s="775"/>
      <c r="X20" s="1813"/>
      <c r="Y20" s="3175"/>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10" t="str">
        <f t="shared" si="8"/>
        <v>环境状况</v>
      </c>
      <c r="R21" s="774" t="s">
        <v>17</v>
      </c>
      <c r="S21" s="775">
        <f>F21</f>
        <v>100</v>
      </c>
      <c r="T21" s="774" t="s">
        <v>17</v>
      </c>
      <c r="U21" s="775">
        <f>H21</f>
        <v>100</v>
      </c>
      <c r="V21" s="774" t="s">
        <v>17</v>
      </c>
      <c r="W21" s="775">
        <f>J21</f>
        <v>100</v>
      </c>
      <c r="X21" s="1813"/>
      <c r="Y21" s="3175"/>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5" t="str">
        <f t="shared" si="8"/>
        <v>公共配套设施</v>
      </c>
      <c r="R23" s="770" t="s">
        <v>17</v>
      </c>
      <c r="S23" s="771">
        <f>F23</f>
        <v>100</v>
      </c>
      <c r="T23" s="770" t="s">
        <v>17</v>
      </c>
      <c r="U23" s="771">
        <f>H23</f>
        <v>100</v>
      </c>
      <c r="V23" s="770" t="s">
        <v>17</v>
      </c>
      <c r="W23" s="771">
        <f>J23</f>
        <v>100</v>
      </c>
      <c r="X23" s="772"/>
      <c r="Y23" s="3175"/>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75"/>
      <c r="Q24" s="1795"/>
      <c r="R24" s="770"/>
      <c r="S24" s="771"/>
      <c r="T24" s="770"/>
      <c r="U24" s="771"/>
      <c r="V24" s="770"/>
      <c r="W24" s="771"/>
      <c r="X24" s="772"/>
      <c r="Y24" s="3175"/>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5"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75"/>
      <c r="Q26" s="1795"/>
      <c r="R26" s="770"/>
      <c r="S26" s="771"/>
      <c r="T26" s="770"/>
      <c r="U26" s="771"/>
      <c r="V26" s="770"/>
      <c r="W26" s="771"/>
      <c r="X26" s="772"/>
      <c r="Y26" s="317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5"/>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10" t="str">
        <f t="shared" si="8"/>
        <v>毗邻道路的类型与等级</v>
      </c>
      <c r="R28" s="774" t="s">
        <v>17</v>
      </c>
      <c r="S28" s="775">
        <f t="shared" si="10"/>
        <v>100</v>
      </c>
      <c r="T28" s="774" t="s">
        <v>17</v>
      </c>
      <c r="U28" s="775">
        <f t="shared" si="11"/>
        <v>100</v>
      </c>
      <c r="V28" s="774" t="s">
        <v>17</v>
      </c>
      <c r="W28" s="775">
        <f t="shared" si="12"/>
        <v>100</v>
      </c>
      <c r="X28" s="1813"/>
      <c r="Y28" s="3175"/>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75"/>
      <c r="Q29" s="1810"/>
      <c r="R29" s="774"/>
      <c r="S29" s="775"/>
      <c r="T29" s="774"/>
      <c r="U29" s="775"/>
      <c r="V29" s="774"/>
      <c r="W29" s="775"/>
      <c r="X29" s="1813"/>
      <c r="Y29" s="317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10" t="str">
        <f t="shared" si="8"/>
        <v>土地级别</v>
      </c>
      <c r="R30" s="774" t="s">
        <v>17</v>
      </c>
      <c r="S30" s="775">
        <f t="shared" si="10"/>
        <v>100</v>
      </c>
      <c r="T30" s="774" t="s">
        <v>17</v>
      </c>
      <c r="U30" s="775">
        <f t="shared" si="11"/>
        <v>100</v>
      </c>
      <c r="V30" s="774" t="s">
        <v>17</v>
      </c>
      <c r="W30" s="775">
        <f t="shared" si="12"/>
        <v>100</v>
      </c>
      <c r="X30" s="1813"/>
      <c r="Y30" s="3175"/>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10">
        <f t="shared" si="8"/>
        <v>111</v>
      </c>
      <c r="R31" s="774" t="s">
        <v>17</v>
      </c>
      <c r="S31" s="775">
        <f t="shared" si="10"/>
        <v>100</v>
      </c>
      <c r="T31" s="774" t="s">
        <v>17</v>
      </c>
      <c r="U31" s="775">
        <f t="shared" si="11"/>
        <v>100</v>
      </c>
      <c r="V31" s="774" t="s">
        <v>17</v>
      </c>
      <c r="W31" s="775">
        <f t="shared" si="12"/>
        <v>100</v>
      </c>
      <c r="X31" s="1813"/>
      <c r="Y31" s="3175"/>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0" t="s">
        <v>2565</v>
      </c>
      <c r="Q32" s="1810">
        <f t="shared" si="8"/>
        <v>111</v>
      </c>
      <c r="R32" s="774" t="s">
        <v>17</v>
      </c>
      <c r="S32" s="775">
        <f t="shared" si="10"/>
        <v>100</v>
      </c>
      <c r="T32" s="774" t="s">
        <v>17</v>
      </c>
      <c r="U32" s="775">
        <f t="shared" si="11"/>
        <v>100</v>
      </c>
      <c r="V32" s="774" t="s">
        <v>17</v>
      </c>
      <c r="W32" s="775">
        <f t="shared" si="12"/>
        <v>100</v>
      </c>
      <c r="X32" s="1813"/>
      <c r="Y32" s="3179"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10" t="str">
        <f>B34</f>
        <v>宗地面积</v>
      </c>
      <c r="R34" s="774" t="s">
        <v>17</v>
      </c>
      <c r="S34" s="775" t="e">
        <f t="shared" si="10"/>
        <v>#N/A</v>
      </c>
      <c r="T34" s="774" t="s">
        <v>17</v>
      </c>
      <c r="U34" s="775" t="e">
        <f t="shared" si="11"/>
        <v>#N/A</v>
      </c>
      <c r="V34" s="774" t="s">
        <v>17</v>
      </c>
      <c r="W34" s="775" t="e">
        <f t="shared" si="12"/>
        <v>#N/A</v>
      </c>
      <c r="X34" s="1813"/>
      <c r="Y34" s="3179"/>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79" t="s">
        <v>2565</v>
      </c>
      <c r="Q37" s="1810" t="str">
        <f t="shared" si="14"/>
        <v>工程地质条件</v>
      </c>
      <c r="R37" s="774" t="s">
        <v>17</v>
      </c>
      <c r="S37" s="775">
        <f t="shared" si="10"/>
        <v>100</v>
      </c>
      <c r="T37" s="774" t="s">
        <v>17</v>
      </c>
      <c r="U37" s="775">
        <f t="shared" si="11"/>
        <v>100</v>
      </c>
      <c r="V37" s="774" t="s">
        <v>17</v>
      </c>
      <c r="W37" s="775">
        <f t="shared" si="12"/>
        <v>100</v>
      </c>
      <c r="X37" s="1813"/>
      <c r="Y37" s="317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172" t="str">
        <f>A41</f>
        <v>成交单价</v>
      </c>
      <c r="Q41" s="3172"/>
      <c r="R41" s="3203">
        <f>E41</f>
        <v>0</v>
      </c>
      <c r="S41" s="3203"/>
      <c r="T41" s="3203">
        <f>G41</f>
        <v>0</v>
      </c>
      <c r="U41" s="3203"/>
      <c r="V41" s="3203">
        <f>I41</f>
        <v>0</v>
      </c>
      <c r="W41" s="320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187" t="s">
        <v>2764</v>
      </c>
      <c r="H50" s="3233"/>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12325.129999999997</v>
      </c>
      <c r="F51" s="691" t="e">
        <f t="shared" ref="F51:F60" si="15">ROUND(B51*E51/10000,0)</f>
        <v>#DIV/0!</v>
      </c>
      <c r="G51" s="3183"/>
      <c r="H51" s="317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2256.6899999999991</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3004</v>
      </c>
    </row>
    <row r="2" spans="1:5" ht="15.75">
      <c r="A2" s="2905" t="s">
        <v>2996</v>
      </c>
      <c r="B2" s="2906" t="e">
        <f ca="1">SUMIF(B6:B13,"&lt;&gt;#ref!",B6:B13)</f>
        <v>#DIV/0!</v>
      </c>
      <c r="C2" s="2905" t="s">
        <v>2997</v>
      </c>
      <c r="D2" s="2905" t="s">
        <v>2998</v>
      </c>
      <c r="E2" s="2906">
        <f ca="1">SUMIF(E6:E13,"&lt;&gt;#ref!",E6:E13)</f>
        <v>0</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8">
        <f ca="1">SUMIF(INDIRECT("'"&amp;A6&amp;"'"&amp;"!C:C"),"建筑面积",INDIRECT("'"&amp;A6&amp;"'"&amp;"!D:D"))</f>
        <v>0</v>
      </c>
    </row>
    <row r="7" spans="1:5" ht="15.75">
      <c r="A7" s="2910"/>
      <c r="B7" s="2906" t="e">
        <f ca="1">SUMIF(INDIRECT("'"&amp;A7&amp;"'"&amp;"!A:A"),"总价",INDIRECT("'"&amp;A7&amp;"'"&amp;"!B:B"))</f>
        <v>#REF!</v>
      </c>
      <c r="C7" s="2905" t="s">
        <v>2997</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8" t="e">
        <f t="shared" ca="1" si="0"/>
        <v>#REF!</v>
      </c>
    </row>
    <row r="9" spans="1:5" ht="15.75">
      <c r="A9" s="2910"/>
      <c r="B9" s="2906" t="e">
        <f t="shared" ca="1" si="1"/>
        <v>#REF!</v>
      </c>
      <c r="C9" s="2905" t="s">
        <v>2997</v>
      </c>
      <c r="D9" s="2907"/>
      <c r="E9" s="2578" t="e">
        <f t="shared" ca="1" si="0"/>
        <v>#REF!</v>
      </c>
    </row>
    <row r="10" spans="1:5" ht="15.75">
      <c r="A10" s="2910"/>
      <c r="B10" s="2906" t="e">
        <f t="shared" ca="1" si="1"/>
        <v>#REF!</v>
      </c>
      <c r="C10" s="2905" t="s">
        <v>2997</v>
      </c>
      <c r="D10" s="2907"/>
      <c r="E10" s="2578" t="e">
        <f t="shared" ca="1" si="0"/>
        <v>#REF!</v>
      </c>
    </row>
    <row r="11" spans="1:5" ht="15.75">
      <c r="A11" s="2910"/>
      <c r="B11" s="2906" t="e">
        <f t="shared" ca="1" si="1"/>
        <v>#REF!</v>
      </c>
      <c r="C11" s="2905" t="s">
        <v>2997</v>
      </c>
      <c r="D11" s="2907"/>
      <c r="E11" s="2578" t="e">
        <f t="shared" ca="1" si="0"/>
        <v>#REF!</v>
      </c>
    </row>
    <row r="12" spans="1:5" ht="15.75">
      <c r="A12" s="2910"/>
      <c r="B12" s="2906" t="e">
        <f t="shared" ca="1" si="1"/>
        <v>#REF!</v>
      </c>
      <c r="C12" s="2905" t="s">
        <v>2997</v>
      </c>
      <c r="D12" s="2907"/>
      <c r="E12" s="2578" t="e">
        <f t="shared" ca="1" si="0"/>
        <v>#REF!</v>
      </c>
    </row>
    <row r="13" spans="1:5" ht="15.75">
      <c r="A13" s="2910"/>
      <c r="B13" s="2906" t="e">
        <f t="shared" ca="1" si="1"/>
        <v>#REF!</v>
      </c>
      <c r="C13" s="2905" t="s">
        <v>2997</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8" t="s">
        <v>1146</v>
      </c>
      <c r="C1" s="3268"/>
      <c r="D1" s="3268"/>
      <c r="E1" s="3268"/>
      <c r="F1" s="3268"/>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3039</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4">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6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6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1"/>
      <c r="B4" s="2957" t="s">
        <v>1626</v>
      </c>
      <c r="C4" s="2957"/>
      <c r="D4" s="2957"/>
      <c r="E4" s="1961"/>
    </row>
    <row r="5" spans="1:5" ht="16.5" thickTop="1">
      <c r="A5" s="1959"/>
      <c r="B5" s="2955" t="s">
        <v>1618</v>
      </c>
      <c r="C5" s="1962" t="s">
        <v>1619</v>
      </c>
      <c r="D5" s="1040">
        <f ca="1">结果表!H101</f>
        <v>84677</v>
      </c>
      <c r="E5" s="1959"/>
    </row>
    <row r="6" spans="1:5" ht="15.75">
      <c r="A6" s="1959"/>
      <c r="B6" s="2955"/>
      <c r="C6" s="1962" t="s">
        <v>1620</v>
      </c>
      <c r="D6" s="1040" t="str">
        <f ca="1">NUMBERSTRING(INT(D5*10000),2)&amp;"元整"</f>
        <v>捌亿肆仟陆佰柒拾柒万元整</v>
      </c>
      <c r="E6" s="1959"/>
    </row>
    <row r="7" spans="1:5" ht="15.75">
      <c r="A7" s="1959"/>
      <c r="B7" s="2960"/>
      <c r="C7" s="1963" t="s">
        <v>1621</v>
      </c>
      <c r="D7" s="1041">
        <f ca="1">结果表!H102</f>
        <v>58070</v>
      </c>
      <c r="E7" s="1959"/>
    </row>
    <row r="8" spans="1:5" ht="15.75">
      <c r="A8" s="1959"/>
      <c r="B8" s="2961" t="str">
        <f>结果表!E103</f>
        <v>2.估价师知悉的法定优先受偿款</v>
      </c>
      <c r="C8" s="1964" t="s">
        <v>1622</v>
      </c>
      <c r="D8" s="1041">
        <f>结果表!H103</f>
        <v>0</v>
      </c>
      <c r="E8" s="1959"/>
    </row>
    <row r="9" spans="1:5" ht="15.75">
      <c r="A9" s="1959"/>
      <c r="B9" s="2963"/>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4" t="str">
        <f>结果表!E107</f>
        <v>3.房地产抵押价值</v>
      </c>
      <c r="C13" s="1967" t="s">
        <v>1619</v>
      </c>
      <c r="D13" s="1043">
        <f ca="1">结果表!H107</f>
        <v>84677</v>
      </c>
      <c r="E13" s="1959"/>
    </row>
    <row r="14" spans="1:5" ht="15.75">
      <c r="A14" s="1959"/>
      <c r="B14" s="2955"/>
      <c r="C14" s="1962" t="s">
        <v>1620</v>
      </c>
      <c r="D14" s="1040" t="str">
        <f ca="1">NUMBERSTRING(INT(D13*10000),2)&amp;"元整"</f>
        <v>捌亿肆仟陆佰柒拾柒万元整</v>
      </c>
      <c r="E14" s="1959"/>
    </row>
    <row r="15" spans="1:5" ht="15">
      <c r="A15" s="1959"/>
      <c r="B15" s="2960"/>
      <c r="C15" s="1963" t="s">
        <v>1630</v>
      </c>
      <c r="D15" s="1052">
        <f ca="1">结果表!H108</f>
        <v>58070</v>
      </c>
      <c r="E15" s="1959"/>
    </row>
    <row r="16" spans="1:5" ht="15">
      <c r="A16" s="1959"/>
      <c r="B16" s="2961" t="str">
        <f>结果表!E109</f>
        <v>——</v>
      </c>
      <c r="C16" s="1967" t="s">
        <v>1631</v>
      </c>
      <c r="D16" s="1968" t="str">
        <f>结果表!H109</f>
        <v>——</v>
      </c>
      <c r="E16" s="1959"/>
    </row>
    <row r="17" spans="1:5" ht="15.75">
      <c r="A17" s="1959"/>
      <c r="B17" s="2962"/>
      <c r="C17" s="1962" t="s">
        <v>1632</v>
      </c>
      <c r="D17" s="1040" t="e">
        <f>NUMBERSTRING(INT(D16*10000),2)&amp;"元整"</f>
        <v>#VALUE!</v>
      </c>
      <c r="E17" s="1959"/>
    </row>
    <row r="18" spans="1:5" ht="15">
      <c r="A18" s="1959"/>
      <c r="B18" s="2963"/>
      <c r="C18" s="1963" t="s">
        <v>1621</v>
      </c>
      <c r="D18" s="1052" t="str">
        <f>结果表!H110</f>
        <v>——</v>
      </c>
      <c r="E18" s="1959"/>
    </row>
    <row r="19" spans="1:5" ht="15.75">
      <c r="A19" s="1959"/>
      <c r="B19" s="2954" t="str">
        <f>结果表!E111</f>
        <v>——</v>
      </c>
      <c r="C19" s="1967" t="s">
        <v>1619</v>
      </c>
      <c r="D19" s="1041" t="str">
        <f>结果表!H111</f>
        <v>——</v>
      </c>
      <c r="E19" s="1959"/>
    </row>
    <row r="20" spans="1:5" ht="15.75">
      <c r="A20" s="1959"/>
      <c r="B20" s="2955"/>
      <c r="C20" s="1962" t="s">
        <v>1632</v>
      </c>
      <c r="D20" s="1040" t="e">
        <f>NUMBERSTRING(INT(D19*10000),2)&amp;"元整"</f>
        <v>#VALUE!</v>
      </c>
      <c r="E20" s="1959"/>
    </row>
    <row r="21" spans="1:5" ht="15.75" thickBot="1">
      <c r="A21" s="1959"/>
      <c r="B21" s="2956"/>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5" t="s">
        <v>3007</v>
      </c>
      <c r="D1" s="3276"/>
      <c r="E1" s="3276"/>
      <c r="F1" s="3276"/>
      <c r="G1" s="3276"/>
      <c r="H1" s="3276"/>
      <c r="I1" s="3276"/>
      <c r="J1" s="3276"/>
      <c r="K1" s="3276"/>
      <c r="L1" s="3276"/>
      <c r="M1" s="3276"/>
      <c r="N1" s="3276"/>
      <c r="O1" s="3276"/>
      <c r="P1" s="3276"/>
      <c r="Q1" s="3276"/>
      <c r="R1" s="3276"/>
      <c r="S1" s="3277"/>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3016</v>
      </c>
      <c r="B17" s="2912"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4" t="s">
        <v>3020</v>
      </c>
      <c r="E20" s="1793"/>
      <c r="F20" s="1204" t="e">
        <f ca="1">SUMIF(INDIRECT("'"&amp;H20&amp;"'"&amp;"!A:A"),"承租人权益价值",INDIRECT("'"&amp;H20&amp;"'"&amp;"!c:c"))</f>
        <v>#REF!</v>
      </c>
      <c r="G20" s="1204" t="s">
        <v>3021</v>
      </c>
      <c r="H20" s="291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4" t="s">
        <v>33</v>
      </c>
      <c r="D22" s="3135"/>
      <c r="E22" s="3135"/>
      <c r="F22" s="3135"/>
      <c r="G22" s="3135"/>
      <c r="H22" s="3135"/>
      <c r="I22" s="3135"/>
      <c r="J22" s="3135"/>
      <c r="K22" s="3135"/>
      <c r="L22" s="3135"/>
      <c r="M22" s="3135"/>
      <c r="N22" s="3135"/>
      <c r="O22" s="3135"/>
      <c r="P22" s="3135"/>
      <c r="Q22" s="3274"/>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38915</v>
      </c>
      <c r="C2" s="2" t="s">
        <v>133</v>
      </c>
      <c r="D2" s="243"/>
      <c r="E2" s="243"/>
      <c r="F2" s="243"/>
      <c r="G2" s="243"/>
    </row>
    <row r="3" spans="1:7" s="244" customFormat="1" ht="18" customHeight="1" thickBot="1">
      <c r="A3" s="247" t="s">
        <v>85</v>
      </c>
      <c r="B3" s="248">
        <f ca="1">ROUND(B2*10000/'数据-汇总表'!E3,0)</f>
        <v>26687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10299.269999999997</v>
      </c>
      <c r="E9" s="269">
        <f>'数据-取费表'!B27</f>
        <v>0</v>
      </c>
      <c r="F9" s="265"/>
      <c r="G9" s="270"/>
    </row>
    <row r="10" spans="1:7" s="258" customFormat="1" ht="13.5" customHeight="1">
      <c r="A10" s="950" t="s">
        <v>801</v>
      </c>
      <c r="B10" s="268" t="s">
        <v>94</v>
      </c>
      <c r="C10" s="269">
        <f>ROUND(D10*E10/10000,0)</f>
        <v>0</v>
      </c>
      <c r="D10" s="1032">
        <f>'数据-汇总表'!E6</f>
        <v>4282.5499999999993</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292</v>
      </c>
      <c r="D19" s="1036">
        <f>'数据-汇总表'!E3</f>
        <v>14581.819999999996</v>
      </c>
      <c r="E19" s="255">
        <f>'数据-取费表'!B31</f>
        <v>200</v>
      </c>
      <c r="F19" s="275"/>
      <c r="G19" s="1" t="s">
        <v>1071</v>
      </c>
    </row>
    <row r="20" spans="1:7" s="258" customFormat="1" ht="13.5" customHeight="1">
      <c r="A20" s="948" t="s">
        <v>1054</v>
      </c>
      <c r="B20" s="254" t="s">
        <v>104</v>
      </c>
      <c r="C20" s="276">
        <f>ROUND((C5+C19)*F20,0)</f>
        <v>627</v>
      </c>
      <c r="D20" s="276"/>
      <c r="E20" s="276"/>
      <c r="F20" s="277">
        <f>'数据-取费表'!B37</f>
        <v>0.03</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2943</v>
      </c>
      <c r="D22" s="279">
        <f ca="1">C26</f>
        <v>1.2999999999999999E-3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2860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41</v>
      </c>
      <c r="D24" s="282"/>
      <c r="E24" s="282"/>
      <c r="F24" s="283"/>
      <c r="G24" s="284" t="s">
        <v>109</v>
      </c>
    </row>
    <row r="25" spans="1:7" s="258" customFormat="1" ht="24">
      <c r="A25" s="951" t="s">
        <v>793</v>
      </c>
      <c r="B25" s="259" t="s">
        <v>1055</v>
      </c>
      <c r="C25" s="1355">
        <f ca="1">ROUND(IF('数据-取费表'!B22&lt;=1,C20*F22*'数据-取费表'!B23/2,C20*(POWER((1+F22),'数据-取费表'!B23/2)-1)),0)</f>
        <v>42</v>
      </c>
      <c r="D25" s="282"/>
      <c r="E25" s="285"/>
      <c r="F25" s="283"/>
      <c r="G25" s="286" t="s">
        <v>110</v>
      </c>
    </row>
    <row r="26" spans="1:7" s="258" customFormat="1">
      <c r="A26" s="951" t="s">
        <v>795</v>
      </c>
      <c r="B26" s="259" t="s">
        <v>1057</v>
      </c>
      <c r="C26" s="282">
        <f ca="1">ROUND(IF('数据-取费表'!B22&lt;=1,F21*F22*'数据-取费表'!B23/2,F21*(POWER((1+F22),'数据-取费表'!B23/2)-1)),4)</f>
        <v>1.2999999999999999E-3</v>
      </c>
      <c r="D26" s="282"/>
      <c r="E26" s="285"/>
      <c r="F26" s="283"/>
      <c r="G26" s="287"/>
    </row>
    <row r="27" spans="1:7" s="258" customFormat="1" ht="24.75">
      <c r="A27" s="948" t="s">
        <v>787</v>
      </c>
      <c r="B27" s="288" t="s">
        <v>112</v>
      </c>
      <c r="C27" s="289">
        <f>C28</f>
        <v>4220</v>
      </c>
      <c r="D27" s="279">
        <f>C29</f>
        <v>3.8999999999999998E-3</v>
      </c>
      <c r="E27" s="280" t="s">
        <v>126</v>
      </c>
      <c r="F27" s="290">
        <f>'数据-取费表'!Q16</f>
        <v>0.21</v>
      </c>
      <c r="G27" s="291" t="s">
        <v>1066</v>
      </c>
    </row>
    <row r="28" spans="1:7" s="258" customFormat="1" ht="13.5" customHeight="1">
      <c r="A28" s="951" t="s">
        <v>794</v>
      </c>
      <c r="B28" s="292" t="s">
        <v>1059</v>
      </c>
      <c r="C28" s="293">
        <f>ROUND((C5+C19+C20)*F27*'数据-取费表'!B21/'数据-取费表'!B20,0)</f>
        <v>4220</v>
      </c>
      <c r="D28" s="279"/>
      <c r="E28" s="280"/>
      <c r="F28" s="290"/>
      <c r="G28" s="291"/>
    </row>
    <row r="29" spans="1:7" s="258" customFormat="1" ht="13.5" customHeight="1">
      <c r="A29" s="951" t="s">
        <v>792</v>
      </c>
      <c r="B29" s="292" t="s">
        <v>1060</v>
      </c>
      <c r="C29" s="282">
        <f>ROUND(C21*F27*'数据-取费表'!B21/'数据-取费表'!B20,4)</f>
        <v>3.8999999999999998E-3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31105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5475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4646</v>
      </c>
      <c r="D34" s="261"/>
      <c r="E34" s="264"/>
      <c r="F34" s="301">
        <f>IF('数据-取费表'!B24=0,1,'数据-取费表'!N16)</f>
        <v>0.95</v>
      </c>
      <c r="G34" s="263" t="s">
        <v>116</v>
      </c>
    </row>
    <row r="35" spans="1:7" ht="13.5" customHeight="1">
      <c r="A35" s="951" t="s">
        <v>796</v>
      </c>
      <c r="B35" s="259" t="s">
        <v>60</v>
      </c>
      <c r="C35" s="264">
        <f>ROUND(C34*F35,0)</f>
        <v>139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343</v>
      </c>
      <c r="D36" s="264"/>
      <c r="E36" s="264"/>
      <c r="F36" s="303">
        <f>'数据-取费表'!B34</f>
        <v>0.1</v>
      </c>
      <c r="G36" s="304" t="s">
        <v>62</v>
      </c>
    </row>
    <row r="37" spans="1:7" s="302" customFormat="1" ht="13.5" customHeight="1">
      <c r="A37" s="951" t="s">
        <v>798</v>
      </c>
      <c r="B37" s="259" t="s">
        <v>118</v>
      </c>
      <c r="C37" s="293">
        <f>ROUND(E37*D37*F34/10000,0)</f>
        <v>277</v>
      </c>
      <c r="D37" s="261">
        <f>'数据-汇总表'!E3</f>
        <v>14581.819999999996</v>
      </c>
      <c r="E37" s="293">
        <f>'数据-取费表'!B35</f>
        <v>200</v>
      </c>
      <c r="F37" s="303"/>
      <c r="G37" s="305" t="s">
        <v>119</v>
      </c>
    </row>
    <row r="38" spans="1:7" ht="13.5" customHeight="1">
      <c r="A38" s="951" t="s">
        <v>799</v>
      </c>
      <c r="B38" s="259" t="s">
        <v>63</v>
      </c>
      <c r="C38" s="264">
        <f>ROUND(C34*F38,0)</f>
        <v>70</v>
      </c>
      <c r="D38" s="264"/>
      <c r="E38" s="264"/>
      <c r="F38" s="303">
        <f>'数据-取费表'!B36</f>
        <v>1.4999999999999999E-2</v>
      </c>
      <c r="G38" s="263" t="s">
        <v>117</v>
      </c>
    </row>
    <row r="39" spans="1:7" s="258" customFormat="1" ht="13.5" customHeight="1">
      <c r="A39" s="948" t="s">
        <v>783</v>
      </c>
      <c r="B39" s="254" t="s">
        <v>104</v>
      </c>
      <c r="C39" s="276">
        <f>ROUND(C33*F20,0)</f>
        <v>164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379</v>
      </c>
      <c r="D41" s="279">
        <f ca="1">C44</f>
        <v>1.2999999999999999E-3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368</v>
      </c>
      <c r="D42" s="282"/>
      <c r="E42" s="282"/>
      <c r="F42" s="283"/>
      <c r="G42" s="3139" t="s">
        <v>121</v>
      </c>
    </row>
    <row r="43" spans="1:7" ht="13.5" customHeight="1">
      <c r="A43" s="951" t="s">
        <v>792</v>
      </c>
      <c r="B43" s="259" t="s">
        <v>1061</v>
      </c>
      <c r="C43" s="282">
        <f ca="1">ROUND(IF('数据-取费表'!B22&lt;=1,C39*F22*'数据-取费表'!B21/2,C39*(POWER((1+F22),'数据-取费表'!B21/2)-1)),0)</f>
        <v>11</v>
      </c>
      <c r="D43" s="282"/>
      <c r="E43" s="282"/>
      <c r="F43" s="283"/>
      <c r="G43" s="3140"/>
    </row>
    <row r="44" spans="1:7" ht="13.5" customHeight="1">
      <c r="A44" s="951" t="s">
        <v>793</v>
      </c>
      <c r="B44" s="259" t="s">
        <v>1063</v>
      </c>
      <c r="C44" s="282">
        <f ca="1">ROUND(IF('数据-取费表'!B22&lt;=1,C40*F22*'数据-取费表'!B21/2,C40*(POWER((1+F22),'数据-取费表'!B21/2)-1)),4)</f>
        <v>1.2999999999999999E-3</v>
      </c>
      <c r="D44" s="282"/>
      <c r="E44" s="282"/>
      <c r="F44" s="283"/>
      <c r="G44" s="3141"/>
    </row>
    <row r="45" spans="1:7" s="258" customFormat="1" ht="13.5" customHeight="1">
      <c r="A45" s="948" t="s">
        <v>786</v>
      </c>
      <c r="B45" s="288" t="s">
        <v>112</v>
      </c>
      <c r="C45" s="289">
        <f>C46</f>
        <v>1184</v>
      </c>
      <c r="D45" s="279">
        <f>C47</f>
        <v>4.1999999999999997E-3</v>
      </c>
      <c r="E45" s="280" t="s">
        <v>129</v>
      </c>
      <c r="F45" s="290"/>
      <c r="G45" s="291" t="s">
        <v>1069</v>
      </c>
    </row>
    <row r="46" spans="1:7" s="258" customFormat="1" ht="13.5" customHeight="1">
      <c r="A46" s="951" t="s">
        <v>794</v>
      </c>
      <c r="B46" s="292" t="s">
        <v>1062</v>
      </c>
      <c r="C46" s="293">
        <f>ROUND((C33+C39)*F27,0)</f>
        <v>1184</v>
      </c>
      <c r="D46" s="307"/>
      <c r="E46" s="280"/>
      <c r="F46" s="290"/>
      <c r="G46" s="291"/>
    </row>
    <row r="47" spans="1:7" s="258" customFormat="1" ht="13.5" customHeight="1">
      <c r="A47" s="951" t="s">
        <v>792</v>
      </c>
      <c r="B47" s="292" t="s">
        <v>1064</v>
      </c>
      <c r="C47" s="282">
        <f>ROUND(C40*F27,4)</f>
        <v>4.1999999999999997E-3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7810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7810</v>
      </c>
      <c r="D51" s="276"/>
      <c r="E51" s="276"/>
      <c r="F51" s="308"/>
      <c r="G51" s="278" t="s">
        <v>64</v>
      </c>
    </row>
    <row r="52" spans="1:7" s="252" customFormat="1" ht="16.5" thickBot="1">
      <c r="A52" s="309" t="s">
        <v>65</v>
      </c>
      <c r="B52" s="310"/>
      <c r="C52" s="311">
        <f ca="1">C31+C51</f>
        <v>38915</v>
      </c>
      <c r="D52" s="310"/>
      <c r="E52" s="310"/>
      <c r="F52" s="310"/>
      <c r="G52" s="312"/>
    </row>
    <row r="55" spans="1:7" ht="15">
      <c r="B55" s="314" t="s">
        <v>66</v>
      </c>
      <c r="C55" s="315"/>
    </row>
    <row r="56" spans="1:7">
      <c r="B56" s="317" t="s">
        <v>67</v>
      </c>
      <c r="C56" s="318">
        <f ca="1">ROUND(C51/C52,3)</f>
        <v>0.20100000000000001</v>
      </c>
    </row>
    <row r="57" spans="1:7">
      <c r="B57" s="317" t="s">
        <v>68</v>
      </c>
      <c r="C57" s="319">
        <f ca="1">1-C56</f>
        <v>0.79899999999999993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868</v>
      </c>
      <c r="B1" s="327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43609</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4" t="s">
        <v>1634</v>
      </c>
      <c r="E3" s="1044" t="s">
        <v>1640</v>
      </c>
      <c r="F3" s="1044" t="s">
        <v>1634</v>
      </c>
      <c r="G3" s="1044" t="s">
        <v>1635</v>
      </c>
      <c r="H3" s="1044" t="s">
        <v>1634</v>
      </c>
      <c r="I3" s="1044" t="s">
        <v>1635</v>
      </c>
    </row>
    <row r="4" spans="1:9" ht="30">
      <c r="A4" s="1973" t="str">
        <f>项目基本情况!S2</f>
        <v>北京市出让国有建设用地使用权及在建建筑物房地产</v>
      </c>
      <c r="B4" s="1044">
        <f>项目基本情况!C17</f>
        <v>14581.819999999996</v>
      </c>
      <c r="C4" s="1044">
        <f>项目基本情况!C18</f>
        <v>0</v>
      </c>
      <c r="D4" s="1044" t="e">
        <f ca="1">结果表!D118</f>
        <v>#REF!</v>
      </c>
      <c r="E4" s="1044" t="e">
        <f ca="1">结果表!E118</f>
        <v>#REF!</v>
      </c>
      <c r="F4" s="1044" t="e">
        <f ca="1">结果表!F118</f>
        <v>#REF!</v>
      </c>
      <c r="G4" s="1044" t="e">
        <f ca="1">结果表!G118</f>
        <v>#REF!</v>
      </c>
      <c r="H4" s="1044">
        <f ca="1">结果表!H118</f>
        <v>84677</v>
      </c>
      <c r="I4" s="1044">
        <f ca="1">结果表!I118</f>
        <v>58070</v>
      </c>
    </row>
    <row r="5" spans="1:9" ht="30" customHeight="1">
      <c r="A5" s="2968" t="s">
        <v>1636</v>
      </c>
      <c r="B5" s="2968"/>
      <c r="C5" s="2968"/>
      <c r="D5" s="2969" t="e">
        <f ca="1">结果表!D119</f>
        <v>#REF!</v>
      </c>
      <c r="E5" s="2969"/>
      <c r="F5" s="2969" t="e">
        <f ca="1">结果表!F119</f>
        <v>#REF!</v>
      </c>
      <c r="G5" s="2969"/>
      <c r="H5" s="2969" t="str">
        <f ca="1">结果表!H119</f>
        <v>捌亿肆仟陆佰柒拾柒万元整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1636</v>
      </c>
      <c r="B7" s="2968"/>
      <c r="C7" s="2968"/>
      <c r="D7" s="2970" t="str">
        <f>结果表!D121</f>
        <v>零元整</v>
      </c>
      <c r="E7" s="2971"/>
      <c r="F7" s="2971"/>
      <c r="G7" s="2971"/>
      <c r="H7" s="2971"/>
      <c r="I7" s="2972"/>
    </row>
    <row r="8" spans="1:9" ht="15.75">
      <c r="A8" s="2967" t="str">
        <f>结果表!A122</f>
        <v>房地产抵押价值</v>
      </c>
      <c r="B8" s="2967"/>
      <c r="C8" s="2967"/>
      <c r="D8" s="2967">
        <f ca="1">结果表!D122</f>
        <v>84677</v>
      </c>
      <c r="E8" s="2967"/>
      <c r="F8" s="2967"/>
      <c r="G8" s="2967"/>
      <c r="H8" s="2967"/>
      <c r="I8" s="2967"/>
    </row>
    <row r="9" spans="1:9" ht="15">
      <c r="A9" s="2968" t="s">
        <v>1636</v>
      </c>
      <c r="B9" s="2968"/>
      <c r="C9" s="2968"/>
      <c r="D9" s="2969" t="str">
        <f ca="1">结果表!D123</f>
        <v>捌亿肆仟陆佰柒拾柒万元整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1636</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1636</v>
      </c>
      <c r="B13" s="2964"/>
      <c r="C13" s="2964"/>
      <c r="D13" s="2965" t="e">
        <f>结果表!D127</f>
        <v>#VALUE!</v>
      </c>
      <c r="E13" s="2965"/>
      <c r="F13" s="2965"/>
      <c r="G13" s="2965"/>
      <c r="H13" s="2965"/>
      <c r="I13" s="2965"/>
    </row>
    <row r="14" spans="1:9" ht="15" thickTop="1">
      <c r="A14" s="2966" t="s">
        <v>1641</v>
      </c>
      <c r="B14" s="2966"/>
      <c r="C14" s="2966"/>
      <c r="D14" s="2966"/>
      <c r="E14" s="2966"/>
      <c r="F14" s="2966"/>
      <c r="G14" s="2966"/>
      <c r="H14" s="2966"/>
      <c r="I14" s="296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1" t="s">
        <v>1658</v>
      </c>
      <c r="B1" s="2981"/>
      <c r="C1" s="2981"/>
      <c r="D1" s="2981"/>
    </row>
    <row r="2" spans="1:4" ht="18">
      <c r="A2" s="2982" t="s">
        <v>1642</v>
      </c>
      <c r="B2" s="2982"/>
      <c r="C2" s="2982"/>
      <c r="D2" s="2982"/>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2" t="s">
        <v>1648</v>
      </c>
      <c r="B6" s="2982"/>
      <c r="C6" s="2982"/>
      <c r="D6" s="298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3"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1652</v>
      </c>
      <c r="B16" s="2977"/>
      <c r="C16" s="2977"/>
      <c r="D16" s="2977"/>
    </row>
    <row r="17" spans="1:4" ht="144" customHeight="1">
      <c r="A17" s="2977" t="s">
        <v>1653</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1654</v>
      </c>
      <c r="B22" s="2979"/>
      <c r="C22" s="2979"/>
      <c r="D22" s="297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9" t="s">
        <v>1665</v>
      </c>
      <c r="B15" s="2984" t="s">
        <v>136</v>
      </c>
      <c r="C15" s="2985"/>
    </row>
    <row r="16" spans="1:7" ht="13.5">
      <c r="A16" s="2990"/>
      <c r="B16" s="2984" t="s">
        <v>69</v>
      </c>
      <c r="C16" s="2985"/>
    </row>
    <row r="17" spans="1:3" ht="13.5">
      <c r="A17" s="2990"/>
      <c r="B17" s="2987" t="s">
        <v>1666</v>
      </c>
      <c r="C17" s="2000" t="s">
        <v>1665</v>
      </c>
    </row>
    <row r="18" spans="1:3" ht="13.5">
      <c r="A18" s="2990"/>
      <c r="B18" s="2987"/>
      <c r="C18" s="2000" t="s">
        <v>1667</v>
      </c>
    </row>
    <row r="19" spans="1:3" ht="13.5">
      <c r="A19" s="2990"/>
      <c r="B19" s="2987"/>
      <c r="C19" s="2000" t="s">
        <v>1668</v>
      </c>
    </row>
    <row r="20" spans="1:3" ht="13.5">
      <c r="A20" s="2991"/>
      <c r="B20" s="2986" t="s">
        <v>1669</v>
      </c>
      <c r="C20" s="2985"/>
    </row>
    <row r="21" spans="1:3" ht="13.5">
      <c r="A21" s="2001" t="s">
        <v>1670</v>
      </c>
      <c r="B21" s="2002"/>
      <c r="C21" s="2003"/>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0" t="s">
        <v>1676</v>
      </c>
    </row>
    <row r="26" spans="1:3" ht="13.5">
      <c r="A26" s="2988"/>
      <c r="B26" s="2987"/>
      <c r="C26" s="2000" t="s">
        <v>1677</v>
      </c>
    </row>
    <row r="27" spans="1:3" ht="13.5">
      <c r="A27" s="2988"/>
      <c r="B27" s="2987"/>
      <c r="C27" s="2000" t="s">
        <v>1678</v>
      </c>
    </row>
    <row r="28" spans="1:3" ht="13.5">
      <c r="A28" s="2988"/>
      <c r="B28" s="2987"/>
      <c r="C28" s="2000" t="s">
        <v>1679</v>
      </c>
    </row>
    <row r="29" spans="1:3" ht="13.5">
      <c r="A29" s="2988"/>
      <c r="B29" s="2987"/>
      <c r="C29" s="2000" t="s">
        <v>1680</v>
      </c>
    </row>
    <row r="30" spans="1:3" ht="13.5">
      <c r="A30" s="2988"/>
      <c r="B30" s="2987"/>
      <c r="C30" s="2000" t="s">
        <v>1681</v>
      </c>
    </row>
    <row r="31" spans="1:3" ht="13.5">
      <c r="A31" s="2988"/>
      <c r="B31" s="2987"/>
      <c r="C31" s="2000" t="s">
        <v>1682</v>
      </c>
    </row>
    <row r="32" spans="1:3" ht="13.5">
      <c r="A32" s="2988"/>
      <c r="B32" s="2987"/>
      <c r="C32" s="2000" t="s">
        <v>1683</v>
      </c>
    </row>
    <row r="33" spans="1:3" ht="13.5">
      <c r="A33" s="2988"/>
      <c r="B33" s="2987"/>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3047</v>
      </c>
      <c r="B14" s="1022">
        <f ca="1">IF(C14&lt;B2,"已过期",1120040230)</f>
        <v>1120040230</v>
      </c>
      <c r="C14" s="2348">
        <v>43835</v>
      </c>
      <c r="D14" s="2351" t="s">
        <v>3047</v>
      </c>
      <c r="E14" s="1022">
        <f ca="1">IF(F14&lt;B2,"已过期",98030020)</f>
        <v>98030020</v>
      </c>
      <c r="F14" s="1030">
        <v>47118</v>
      </c>
    </row>
    <row r="15" spans="1:6" ht="24" customHeight="1">
      <c r="A15" s="1703" t="s">
        <v>3048</v>
      </c>
      <c r="B15" s="1022">
        <f ca="1">IF(C15&lt;B2,"已过期",1120070085)</f>
        <v>1120070085</v>
      </c>
      <c r="C15" s="2348">
        <v>43814</v>
      </c>
      <c r="D15" s="2352" t="s">
        <v>3048</v>
      </c>
      <c r="E15" s="1022">
        <f ca="1">IF(F15&lt;B2,"已过期",2004110128)</f>
        <v>2004110128</v>
      </c>
      <c r="F15" s="1023">
        <v>47118</v>
      </c>
    </row>
    <row r="16" spans="1:6" ht="24" customHeight="1">
      <c r="A16" s="1702" t="s">
        <v>3049</v>
      </c>
      <c r="B16" s="1022">
        <f ca="1">IF(C16&lt;B2,"已过期",1120140022)</f>
        <v>1120140022</v>
      </c>
      <c r="C16" s="2931">
        <v>44029</v>
      </c>
      <c r="D16" s="2351" t="s">
        <v>3049</v>
      </c>
      <c r="E16" s="1022">
        <f ca="1">IF(F16&lt;B2,"已过期",2008110059)</f>
        <v>2008110059</v>
      </c>
      <c r="F16" s="1030">
        <v>47177</v>
      </c>
    </row>
    <row r="17" spans="1:7" ht="24" customHeight="1">
      <c r="A17" s="1702"/>
      <c r="B17" s="1022"/>
      <c r="C17" s="2348"/>
      <c r="D17" s="2351" t="s">
        <v>3050</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2" t="s">
        <v>843</v>
      </c>
      <c r="B25" s="2992"/>
      <c r="C25" s="2992"/>
      <c r="D25" s="2992"/>
      <c r="E25" s="2992"/>
      <c r="F25" s="2992"/>
      <c r="G25" s="2992"/>
    </row>
    <row r="26" spans="1:7" s="1025" customFormat="1" ht="24" customHeight="1">
      <c r="A26" s="2993" t="s">
        <v>844</v>
      </c>
      <c r="B26" s="2993"/>
      <c r="C26" s="2994"/>
      <c r="D26" s="2995" t="s">
        <v>845</v>
      </c>
      <c r="E26" s="2993"/>
      <c r="F26" s="299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信息</vt:lpstr>
      <vt:lpstr>数据-取费表</vt:lpstr>
      <vt:lpstr>估价对象房地状况</vt:lpstr>
      <vt:lpstr>系统读取表</vt:lpstr>
      <vt:lpstr>结果表</vt:lpstr>
      <vt:lpstr>成本法</vt:lpstr>
      <vt:lpstr>成本法 (元)</vt:lpstr>
      <vt:lpstr>土地比较法-住宅、综合</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2019-05-24T09:27:04Z</dcterms:modified>
</cp:coreProperties>
</file>