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2290" windowHeight="5565"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抵押物清单"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地价位置" sheetId="80" r:id="rId47"/>
    <sheet name="租赁台账" sheetId="81"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4" i="81" l="1"/>
  <c r="N18" i="1"/>
  <c r="D192" i="82"/>
  <c r="I13" i="3" l="1"/>
  <c r="D200" i="82"/>
  <c r="D199" i="82"/>
  <c r="K26" i="1" l="1"/>
  <c r="J49" i="15"/>
  <c r="N6" i="1"/>
  <c r="M26" i="1" l="1"/>
  <c r="N20" i="1"/>
  <c r="H54" i="81" l="1"/>
  <c r="H4" i="81"/>
  <c r="D3" i="4"/>
  <c r="I53" i="81"/>
  <c r="H53" i="81"/>
  <c r="I52" i="81"/>
  <c r="H52" i="81"/>
  <c r="I51" i="81"/>
  <c r="H51" i="81"/>
  <c r="I50" i="81"/>
  <c r="H50" i="81"/>
  <c r="I49" i="81"/>
  <c r="H49" i="81"/>
  <c r="I48" i="81"/>
  <c r="H48" i="81"/>
  <c r="I47" i="81"/>
  <c r="H47" i="81"/>
  <c r="I46" i="81"/>
  <c r="H46" i="81"/>
  <c r="I45" i="81"/>
  <c r="H45" i="81"/>
  <c r="I44" i="81"/>
  <c r="H44" i="81"/>
  <c r="I43" i="81"/>
  <c r="H43" i="81"/>
  <c r="I42" i="81"/>
  <c r="H42" i="81"/>
  <c r="I41" i="81"/>
  <c r="H41" i="81"/>
  <c r="I40" i="81"/>
  <c r="H40" i="81"/>
  <c r="I39" i="81"/>
  <c r="H39" i="81"/>
  <c r="I38" i="81"/>
  <c r="H38" i="81"/>
  <c r="I37" i="81"/>
  <c r="H37" i="81"/>
  <c r="F37" i="81"/>
  <c r="F55" i="81" s="1"/>
  <c r="I36" i="81"/>
  <c r="H36" i="81"/>
  <c r="I35" i="81"/>
  <c r="H35" i="81"/>
  <c r="I34" i="81"/>
  <c r="H34" i="81"/>
  <c r="I33" i="81"/>
  <c r="H33" i="81"/>
  <c r="I32" i="81"/>
  <c r="H32" i="81"/>
  <c r="I31" i="81"/>
  <c r="H31" i="81"/>
  <c r="I30" i="81"/>
  <c r="H30" i="81"/>
  <c r="I29" i="81"/>
  <c r="H29" i="81"/>
  <c r="I28" i="81"/>
  <c r="H28" i="81"/>
  <c r="I27" i="81"/>
  <c r="H27" i="81"/>
  <c r="I26" i="81"/>
  <c r="H26" i="81"/>
  <c r="I25" i="81"/>
  <c r="H25" i="81"/>
  <c r="I24" i="81"/>
  <c r="H24" i="81"/>
  <c r="I23" i="81"/>
  <c r="H23" i="81"/>
  <c r="I22" i="81"/>
  <c r="H22" i="81"/>
  <c r="H21" i="81"/>
  <c r="I20" i="81"/>
  <c r="H20" i="81"/>
  <c r="I19" i="81"/>
  <c r="H19" i="81"/>
  <c r="I18" i="81"/>
  <c r="H18" i="81"/>
  <c r="I17" i="81"/>
  <c r="H17" i="81"/>
  <c r="I16" i="81"/>
  <c r="H16" i="81"/>
  <c r="I15" i="81"/>
  <c r="H15" i="81"/>
  <c r="I14" i="81"/>
  <c r="H14" i="81"/>
  <c r="I13" i="81"/>
  <c r="H13" i="81"/>
  <c r="I12" i="81"/>
  <c r="H12" i="81"/>
  <c r="I11" i="81"/>
  <c r="H11" i="81"/>
  <c r="I10" i="81"/>
  <c r="H10" i="81"/>
  <c r="I9" i="81"/>
  <c r="H9" i="81"/>
  <c r="I8" i="81"/>
  <c r="H8" i="81"/>
  <c r="I7" i="81"/>
  <c r="H7" i="81"/>
  <c r="I6" i="81"/>
  <c r="H6" i="81"/>
  <c r="I5" i="81"/>
  <c r="H5" i="81"/>
  <c r="I4" i="81"/>
  <c r="F54" i="81" l="1"/>
  <c r="O7" i="79"/>
  <c r="V7" i="79" s="1"/>
  <c r="N7" i="79"/>
  <c r="U7" i="79" s="1"/>
  <c r="M7" i="79"/>
  <c r="P7" i="79" s="1"/>
  <c r="L7" i="79"/>
  <c r="S7" i="79" s="1"/>
  <c r="K7" i="79"/>
  <c r="R7" i="79" s="1"/>
  <c r="I7" i="79"/>
  <c r="U29" i="79"/>
  <c r="N29" i="79"/>
  <c r="M29" i="79"/>
  <c r="P29" i="79" s="1"/>
  <c r="L29" i="79"/>
  <c r="S29" i="79" s="1"/>
  <c r="I29" i="79"/>
  <c r="T7" i="79" l="1"/>
  <c r="W7" i="79" s="1"/>
  <c r="T29" i="79"/>
  <c r="W29" i="79" s="1"/>
  <c r="E12" i="80"/>
  <c r="O8" i="68" l="1"/>
  <c r="Y6" i="1" l="1"/>
  <c r="I28" i="79" l="1"/>
  <c r="N28" i="79"/>
  <c r="M28" i="79"/>
  <c r="P28" i="79" s="1"/>
  <c r="L28" i="79"/>
  <c r="P6" i="79"/>
  <c r="O6" i="79"/>
  <c r="N6" i="79"/>
  <c r="M6" i="79"/>
  <c r="L6" i="79"/>
  <c r="K6" i="79"/>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S34" i="79"/>
  <c r="T35" i="79"/>
  <c r="W35" i="79" s="1"/>
  <c r="T37" i="79"/>
  <c r="W37" i="79" s="1"/>
  <c r="T39" i="79"/>
  <c r="W39" i="79" s="1"/>
  <c r="S33" i="79"/>
  <c r="S31" i="79"/>
  <c r="S32" i="79"/>
  <c r="S30" i="79"/>
  <c r="U33" i="79"/>
  <c r="U31" i="79"/>
  <c r="U32" i="79"/>
  <c r="U30" i="79"/>
  <c r="T36" i="79"/>
  <c r="W36" i="79" s="1"/>
  <c r="T38" i="79"/>
  <c r="W38" i="79" s="1"/>
  <c r="S10" i="79"/>
  <c r="S11" i="79"/>
  <c r="S6" i="79"/>
  <c r="U10" i="79"/>
  <c r="U11" i="79"/>
  <c r="U6" i="79"/>
  <c r="P15" i="79"/>
  <c r="T15" i="79"/>
  <c r="W15" i="79" s="1"/>
  <c r="R10" i="79"/>
  <c r="R11" i="79"/>
  <c r="R6" i="79"/>
  <c r="T10" i="79"/>
  <c r="W10" i="79" s="1"/>
  <c r="T11" i="79"/>
  <c r="W11" i="79" s="1"/>
  <c r="T6" i="79"/>
  <c r="W6" i="79" s="1"/>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G22" i="69"/>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15"/>
  <c r="M23" i="67"/>
  <c r="F38" i="15"/>
  <c r="E10" i="76"/>
  <c r="M9" i="15"/>
  <c r="F7" i="15"/>
  <c r="E7" i="76"/>
  <c r="M8" i="67"/>
  <c r="F6" i="73"/>
  <c r="M9" i="67"/>
  <c r="M22" i="67"/>
  <c r="E8" i="76"/>
  <c r="F4" i="73"/>
  <c r="F36" i="67"/>
  <c r="F6" i="15"/>
  <c r="F5" i="73"/>
  <c r="F42" i="67"/>
  <c r="F43" i="67"/>
  <c r="M22" i="15"/>
  <c r="F9" i="15"/>
  <c r="M8" i="15"/>
  <c r="L47" i="67"/>
  <c r="E12" i="76"/>
  <c r="F7" i="73"/>
  <c r="M23" i="15"/>
  <c r="E9" i="76"/>
  <c r="J15" i="67"/>
  <c r="E11" i="76"/>
  <c r="F8" i="67"/>
  <c r="F13" i="15"/>
  <c r="M28" i="15"/>
  <c r="B8" i="76"/>
  <c r="B11" i="76"/>
  <c r="M26" i="67"/>
  <c r="F13" i="67"/>
  <c r="F38" i="67"/>
  <c r="M29" i="15"/>
  <c r="C76" i="67"/>
  <c r="B9" i="76"/>
  <c r="E2" i="68"/>
  <c r="B10" i="76"/>
  <c r="F16" i="67"/>
  <c r="E2" i="69"/>
  <c r="M29" i="67"/>
  <c r="M6" i="67"/>
  <c r="M28" i="67"/>
  <c r="M6" i="15"/>
  <c r="F9" i="67"/>
  <c r="B12" i="76"/>
  <c r="B7" i="76"/>
  <c r="F16" i="15"/>
  <c r="F36" i="15"/>
  <c r="M24" i="67"/>
  <c r="B13" i="76"/>
  <c r="F37" i="67"/>
  <c r="J15" i="15"/>
  <c r="AO13" i="1"/>
  <c r="F20" i="31"/>
  <c r="F42" i="15"/>
  <c r="F43" i="15"/>
  <c r="E13" i="76"/>
  <c r="F6" i="67"/>
  <c r="F37" i="15"/>
  <c r="F40" i="15"/>
  <c r="M24" i="15"/>
  <c r="F7" i="67"/>
  <c r="M26" i="15"/>
  <c r="F26" i="67"/>
  <c r="L47" i="15"/>
  <c r="F8" i="15"/>
  <c r="F3" i="73"/>
  <c r="F40" i="67"/>
  <c r="C76" i="15"/>
  <c r="C18" i="9" l="1"/>
  <c r="D18" i="9" s="1"/>
  <c r="J1" i="73"/>
  <c r="F6" i="1"/>
  <c r="I24" i="43" s="1"/>
  <c r="C24" i="43" s="1"/>
  <c r="BL5" i="3"/>
  <c r="AZ14" i="3"/>
  <c r="BA5" i="3"/>
  <c r="H69" i="43"/>
  <c r="H67" i="43"/>
  <c r="H50" i="43"/>
  <c r="G22" i="11"/>
  <c r="E1" i="73"/>
  <c r="G26" i="12"/>
  <c r="G22" i="68"/>
  <c r="G5" i="3"/>
  <c r="B3" i="3" s="1"/>
  <c r="E259" i="3" s="1"/>
  <c r="G6" i="1"/>
  <c r="D22" i="15"/>
  <c r="D23" i="15"/>
  <c r="D56" i="43"/>
  <c r="D53" i="43"/>
  <c r="D52" i="43"/>
  <c r="M18" i="67"/>
  <c r="F30" i="11"/>
  <c r="C48" i="11" s="1"/>
  <c r="M18" i="15"/>
  <c r="F54" i="9"/>
  <c r="F52" i="9"/>
  <c r="D68" i="9"/>
  <c r="F30" i="69"/>
  <c r="F48" i="69" s="1"/>
  <c r="F31" i="12"/>
  <c r="C31" i="12" s="1"/>
  <c r="F32" i="15"/>
  <c r="F60" i="15" s="1"/>
  <c r="F30" i="68"/>
  <c r="F48" i="68" s="1"/>
  <c r="F28" i="15"/>
  <c r="C28" i="15" s="1"/>
  <c r="F32" i="67"/>
  <c r="F60" i="67" s="1"/>
  <c r="F28" i="67"/>
  <c r="C28" i="67" s="1"/>
  <c r="C40" i="69"/>
  <c r="C21" i="68"/>
  <c r="E19" i="11"/>
  <c r="E19" i="68"/>
  <c r="E360" i="3"/>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L19" i="6"/>
  <c r="L27" i="6"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25" i="3"/>
  <c r="E530" i="3"/>
  <c r="E553" i="3"/>
  <c r="N6" i="3"/>
  <c r="AJ6" i="3"/>
  <c r="E509" i="3"/>
  <c r="E569" i="3"/>
  <c r="E359" i="3"/>
  <c r="E247" i="3"/>
  <c r="E97" i="3"/>
  <c r="E311" i="3"/>
  <c r="E358" i="3"/>
  <c r="E570" i="3"/>
  <c r="E551" i="3"/>
  <c r="E506" i="3"/>
  <c r="E407" i="3"/>
  <c r="E338" i="3"/>
  <c r="E335" i="3"/>
  <c r="E294" i="3"/>
  <c r="E215" i="3"/>
  <c r="E298" i="3"/>
  <c r="E189" i="3"/>
  <c r="E169" i="3"/>
  <c r="E130" i="3"/>
  <c r="E237" i="3"/>
  <c r="E114" i="3"/>
  <c r="E278" i="3"/>
  <c r="E415" i="3"/>
  <c r="E563" i="3"/>
  <c r="E565" i="3"/>
  <c r="E172" i="3"/>
  <c r="E213" i="3"/>
  <c r="E260" i="3"/>
  <c r="E17" i="3"/>
  <c r="E550" i="3"/>
  <c r="E535" i="3"/>
  <c r="E117" i="3"/>
  <c r="E161" i="3"/>
  <c r="E221" i="3"/>
  <c r="E135" i="3"/>
  <c r="E254" i="3"/>
  <c r="E61" i="3"/>
  <c r="E159" i="3"/>
  <c r="E245" i="3"/>
  <c r="E263" i="3"/>
  <c r="E382" i="3"/>
  <c r="E423" i="3"/>
  <c r="E402" i="3"/>
  <c r="AI6" i="3"/>
  <c r="AN6" i="3"/>
  <c r="E518" i="3"/>
  <c r="E353" i="3"/>
  <c r="E293" i="3"/>
  <c r="E246" i="3"/>
  <c r="E336" i="3"/>
  <c r="X6" i="3"/>
  <c r="AA6"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H26"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F27" i="69"/>
  <c r="C36" i="69"/>
  <c r="D9" i="68"/>
  <c r="D6" i="73"/>
  <c r="L48" i="15"/>
  <c r="D5" i="73"/>
  <c r="D3" i="73"/>
  <c r="L48" i="67"/>
  <c r="D7" i="73"/>
  <c r="D4" i="73"/>
  <c r="E59" i="40" l="1"/>
  <c r="E583" i="3"/>
  <c r="E280" i="3"/>
  <c r="E385" i="3"/>
  <c r="E578" i="3"/>
  <c r="E303" i="3"/>
  <c r="E191" i="3"/>
  <c r="E290" i="3"/>
  <c r="E302" i="3"/>
  <c r="E445" i="3"/>
  <c r="E395" i="3"/>
  <c r="E304" i="3"/>
  <c r="E69" i="3"/>
  <c r="E230" i="3"/>
  <c r="E321" i="3"/>
  <c r="AB6" i="3"/>
  <c r="S6" i="3"/>
  <c r="E229" i="3"/>
  <c r="E579" i="3"/>
  <c r="E282" i="3"/>
  <c r="E334" i="3"/>
  <c r="E478" i="3"/>
  <c r="E347" i="3"/>
  <c r="E399" i="3"/>
  <c r="E124" i="3"/>
  <c r="E495" i="3"/>
  <c r="E586" i="3"/>
  <c r="E350" i="3"/>
  <c r="E301" i="3"/>
  <c r="E134" i="3"/>
  <c r="E91" i="3"/>
  <c r="E180" i="3"/>
  <c r="E503" i="3"/>
  <c r="E361" i="3"/>
  <c r="E183" i="3"/>
  <c r="E528" i="3"/>
  <c r="E261" i="3"/>
  <c r="E185" i="3"/>
  <c r="E216" i="3"/>
  <c r="E231" i="3"/>
  <c r="E320" i="3"/>
  <c r="E418" i="3"/>
  <c r="M6" i="3"/>
  <c r="E559" i="3"/>
  <c r="E390" i="3"/>
  <c r="E201" i="3"/>
  <c r="E396" i="3"/>
  <c r="E574" i="3"/>
  <c r="E388" i="3"/>
  <c r="E305" i="3"/>
  <c r="E526" i="3"/>
  <c r="E450" i="3"/>
  <c r="E387" i="3"/>
  <c r="V6" i="3"/>
  <c r="E523" i="3"/>
  <c r="E514" i="3"/>
  <c r="E151" i="3"/>
  <c r="E285" i="3"/>
  <c r="E431" i="3"/>
  <c r="E516" i="3"/>
  <c r="E508" i="3"/>
  <c r="E268" i="3"/>
  <c r="E175" i="3"/>
  <c r="E121" i="3"/>
  <c r="E217" i="3"/>
  <c r="E480" i="3"/>
  <c r="E295" i="3"/>
  <c r="E546" i="3"/>
  <c r="E31" i="3"/>
  <c r="E193" i="3"/>
  <c r="E30" i="3"/>
  <c r="E166" i="3"/>
  <c r="E547" i="3"/>
  <c r="E150" i="3"/>
  <c r="E314" i="3"/>
  <c r="E380" i="3"/>
  <c r="E439" i="3"/>
  <c r="E538" i="3"/>
  <c r="E561" i="3"/>
  <c r="AR6" i="3"/>
  <c r="E533" i="3"/>
  <c r="E270" i="3"/>
  <c r="E143" i="3"/>
  <c r="E337" i="3"/>
  <c r="E410" i="3"/>
  <c r="E555" i="3"/>
  <c r="E239" i="3"/>
  <c r="E322" i="3"/>
  <c r="E343" i="3"/>
  <c r="E366" i="3"/>
  <c r="E316" i="3"/>
  <c r="E88" i="3"/>
  <c r="E271" i="3"/>
  <c r="E527" i="3"/>
  <c r="I54" i="15"/>
  <c r="L58" i="15"/>
  <c r="Q73" i="15" s="1"/>
  <c r="J53" i="15"/>
  <c r="L56" i="15" s="1"/>
  <c r="J57" i="15"/>
  <c r="J55" i="15" s="1"/>
  <c r="J58" i="15" s="1"/>
  <c r="Q50" i="15" s="1"/>
  <c r="L56" i="67"/>
  <c r="I54" i="67"/>
  <c r="L58" i="67"/>
  <c r="J53" i="67"/>
  <c r="J57" i="67"/>
  <c r="J55" i="67" s="1"/>
  <c r="J58" i="67" s="1"/>
  <c r="Q50" i="67" s="1"/>
  <c r="E29" i="3"/>
  <c r="AM6" i="3"/>
  <c r="E317" i="3"/>
  <c r="E291" i="3"/>
  <c r="E272" i="3"/>
  <c r="E126" i="3"/>
  <c r="E92" i="3"/>
  <c r="E71" i="3"/>
  <c r="E476" i="3"/>
  <c r="E505" i="3"/>
  <c r="E515" i="3"/>
  <c r="E269" i="3"/>
  <c r="E318" i="3"/>
  <c r="E111" i="3"/>
  <c r="E571" i="3"/>
  <c r="E458" i="3"/>
  <c r="E45" i="3"/>
  <c r="E85" i="3"/>
  <c r="E243" i="3"/>
  <c r="E109" i="3"/>
  <c r="E572" i="3"/>
  <c r="E377" i="3"/>
  <c r="E273" i="3"/>
  <c r="E211" i="3"/>
  <c r="E182" i="3"/>
  <c r="E70" i="3"/>
  <c r="E28" i="3"/>
  <c r="E403" i="3"/>
  <c r="E477" i="3"/>
  <c r="E585" i="3"/>
  <c r="E549" i="3"/>
  <c r="E351" i="3"/>
  <c r="E72" i="3"/>
  <c r="E562" i="3"/>
  <c r="E573" i="3"/>
  <c r="E99" i="3"/>
  <c r="E453" i="3"/>
  <c r="E174" i="3"/>
  <c r="O6" i="3"/>
  <c r="E328" i="3"/>
  <c r="E426" i="3"/>
  <c r="E153" i="3"/>
  <c r="E501" i="3"/>
  <c r="E319" i="3"/>
  <c r="E53" i="3"/>
  <c r="E441" i="3"/>
  <c r="E44" i="3"/>
  <c r="E384" i="3"/>
  <c r="E331" i="3"/>
  <c r="E210" i="3"/>
  <c r="E186" i="3"/>
  <c r="E162" i="3"/>
  <c r="E27" i="3"/>
  <c r="E447" i="3"/>
  <c r="AS6" i="3"/>
  <c r="E414" i="3"/>
  <c r="E107" i="3"/>
  <c r="E567" i="3"/>
  <c r="E279" i="3"/>
  <c r="E433" i="3"/>
  <c r="E457" i="3"/>
  <c r="E519" i="3"/>
  <c r="E511" i="3"/>
  <c r="E253" i="3"/>
  <c r="E487"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97" i="3"/>
  <c r="E494" i="3"/>
  <c r="AL6" i="3"/>
  <c r="AC6" i="3" s="1"/>
  <c r="E324" i="3"/>
  <c r="AH6"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34" i="3"/>
  <c r="E26" i="3"/>
  <c r="E428" i="3"/>
  <c r="E16" i="3"/>
  <c r="E417"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469" i="3"/>
  <c r="E198" i="3"/>
  <c r="E96" i="3"/>
  <c r="E575" i="3"/>
  <c r="E187" i="3"/>
  <c r="E205" i="3"/>
  <c r="E173" i="3"/>
  <c r="T6" i="3"/>
  <c r="E512" i="3"/>
  <c r="E556" i="3"/>
  <c r="E452" i="3"/>
  <c r="E104" i="3"/>
  <c r="E139" i="3"/>
  <c r="E332" i="3"/>
  <c r="E42" i="3"/>
  <c r="E482" i="3"/>
  <c r="E78" i="3"/>
  <c r="E220" i="3"/>
  <c r="E383" i="3"/>
  <c r="E148" i="3"/>
  <c r="E542" i="3"/>
  <c r="E422" i="3"/>
  <c r="E554" i="3"/>
  <c r="E39" i="3"/>
  <c r="E202" i="3"/>
  <c r="E296" i="3"/>
  <c r="E369" i="3"/>
  <c r="E405" i="3"/>
  <c r="E408" i="3"/>
  <c r="E497" i="3"/>
  <c r="E470" i="3"/>
  <c r="E41" i="3"/>
  <c r="E225" i="3"/>
  <c r="E391" i="3"/>
  <c r="E94" i="3"/>
  <c r="E412" i="3"/>
  <c r="E129" i="3"/>
  <c r="E275" i="3"/>
  <c r="E342" i="3"/>
  <c r="E167" i="3"/>
  <c r="E543" i="3"/>
  <c r="E449" i="3"/>
  <c r="E413" i="3"/>
  <c r="E25" i="3"/>
  <c r="E258" i="3"/>
  <c r="E140" i="3"/>
  <c r="E525" i="3"/>
  <c r="E456" i="3"/>
  <c r="E451" i="3"/>
  <c r="E13" i="3"/>
  <c r="E420" i="3"/>
  <c r="E115" i="3"/>
  <c r="E281" i="3"/>
  <c r="E356" i="3"/>
  <c r="E75" i="3"/>
  <c r="E18" i="3"/>
  <c r="E190" i="3"/>
  <c r="E235" i="3"/>
  <c r="E522" i="3"/>
  <c r="E105" i="3"/>
  <c r="E442" i="3"/>
  <c r="E374" i="3"/>
  <c r="E483" i="3"/>
  <c r="E95" i="3"/>
  <c r="E510" i="3"/>
  <c r="E539" i="3"/>
  <c r="E188" i="3"/>
  <c r="E116" i="3"/>
  <c r="E312" i="3"/>
  <c r="E499" i="3"/>
  <c r="E502" i="3"/>
  <c r="E486" i="3"/>
  <c r="E398" i="3"/>
  <c r="E459" i="3"/>
  <c r="I3" i="6"/>
  <c r="J6" i="3"/>
  <c r="E419" i="3"/>
  <c r="E520" i="3"/>
  <c r="E479" i="3"/>
  <c r="E37" i="3"/>
  <c r="E178" i="3"/>
  <c r="E155" i="3"/>
  <c r="E297" i="3"/>
  <c r="E292" i="3"/>
  <c r="E378" i="3"/>
  <c r="E372" i="3"/>
  <c r="E544" i="3"/>
  <c r="E110" i="3"/>
  <c r="E540" i="3"/>
  <c r="E484" i="3"/>
  <c r="E446" i="3"/>
  <c r="E79" i="3"/>
  <c r="E46" i="3"/>
  <c r="E138" i="3"/>
  <c r="E137" i="3"/>
  <c r="E200" i="3"/>
  <c r="E209" i="3"/>
  <c r="E299" i="3"/>
  <c r="E371" i="3"/>
  <c r="E354" i="3"/>
  <c r="AQ6" i="3"/>
  <c r="E52" i="3"/>
  <c r="E36" i="3"/>
  <c r="E112" i="3"/>
  <c r="E123" i="3"/>
  <c r="E147" i="3"/>
  <c r="E289" i="3"/>
  <c r="E340" i="3"/>
  <c r="E364" i="3"/>
  <c r="E50" i="3"/>
  <c r="E20" i="3"/>
  <c r="E62" i="3"/>
  <c r="E176" i="3"/>
  <c r="E218" i="3"/>
  <c r="E265" i="3"/>
  <c r="E365" i="3"/>
  <c r="E524" i="3"/>
  <c r="E101" i="3"/>
  <c r="E165" i="3"/>
  <c r="E199" i="3"/>
  <c r="E393" i="3"/>
  <c r="E564" i="3"/>
  <c r="E466" i="3"/>
  <c r="E430" i="3"/>
  <c r="E566" i="3"/>
  <c r="E435" i="3"/>
  <c r="E40" i="3"/>
  <c r="E57" i="3"/>
  <c r="E192" i="3"/>
  <c r="E348" i="3"/>
  <c r="E389" i="3"/>
  <c r="E43" i="3"/>
  <c r="E409" i="3"/>
  <c r="E455" i="3"/>
  <c r="E65" i="3"/>
  <c r="E142" i="3"/>
  <c r="E219" i="3"/>
  <c r="E300" i="3"/>
  <c r="E392" i="3"/>
  <c r="E84" i="3"/>
  <c r="E33" i="3"/>
  <c r="E184" i="3"/>
  <c r="E233" i="3"/>
  <c r="E381" i="3"/>
  <c r="E81" i="3"/>
  <c r="E264" i="3"/>
  <c r="E309" i="3"/>
  <c r="E149" i="3"/>
  <c r="E421" i="3"/>
  <c r="E490" i="3"/>
  <c r="E582" i="3"/>
  <c r="E401" i="3"/>
  <c r="E152" i="3"/>
  <c r="E226" i="3"/>
  <c r="E333" i="3"/>
  <c r="E58" i="3"/>
  <c r="E521" i="3"/>
  <c r="E64" i="3"/>
  <c r="E170" i="3"/>
  <c r="E248" i="3"/>
  <c r="E386" i="3"/>
  <c r="E23" i="3"/>
  <c r="E67" i="3"/>
  <c r="E144" i="3"/>
  <c r="E355" i="3"/>
  <c r="E68" i="3"/>
  <c r="E118" i="3"/>
  <c r="E513" i="3"/>
  <c r="E536" i="3"/>
  <c r="E223" i="3"/>
  <c r="E141" i="3"/>
  <c r="AD6" i="3"/>
  <c r="R6" i="3"/>
  <c r="E427" i="3"/>
  <c r="E507" i="3"/>
  <c r="E416" i="3"/>
  <c r="E255" i="3"/>
  <c r="AP6" i="3"/>
  <c r="E498" i="3"/>
  <c r="E460" i="3"/>
  <c r="E436" i="3"/>
  <c r="E56" i="3"/>
  <c r="E108" i="3"/>
  <c r="E119" i="3"/>
  <c r="E240" i="3"/>
  <c r="E241" i="3"/>
  <c r="E346" i="3"/>
  <c r="E349" i="3"/>
  <c r="E504" i="3"/>
  <c r="E60" i="3"/>
  <c r="E59" i="3"/>
  <c r="E462" i="3"/>
  <c r="E15" i="3"/>
  <c r="E467" i="3"/>
  <c r="E98" i="3"/>
  <c r="E100" i="3"/>
  <c r="E160" i="3"/>
  <c r="E163" i="3"/>
  <c r="E234" i="3"/>
  <c r="E249" i="3"/>
  <c r="E307" i="3"/>
  <c r="E325" i="3"/>
  <c r="E492" i="3"/>
  <c r="E35" i="3"/>
  <c r="E86" i="3"/>
  <c r="E34" i="3"/>
  <c r="E49" i="3"/>
  <c r="E206" i="3"/>
  <c r="E232" i="3"/>
  <c r="E251" i="3"/>
  <c r="E370" i="3"/>
  <c r="AF6" i="3"/>
  <c r="E102" i="3"/>
  <c r="E80" i="3"/>
  <c r="E113" i="3"/>
  <c r="E158" i="3"/>
  <c r="E287" i="3"/>
  <c r="E308" i="3"/>
  <c r="E326" i="3"/>
  <c r="E22" i="3"/>
  <c r="E83" i="3"/>
  <c r="E329" i="3"/>
  <c r="E244" i="3"/>
  <c r="E212" i="3"/>
  <c r="E286" i="3"/>
  <c r="E493" i="3"/>
  <c r="E552" i="3"/>
  <c r="E464" i="3"/>
  <c r="E541" i="3"/>
  <c r="E440" i="3"/>
  <c r="E376" i="3"/>
  <c r="E500" i="3"/>
  <c r="E517" i="3"/>
  <c r="E491" i="3"/>
  <c r="E463" i="3"/>
  <c r="E90" i="3"/>
  <c r="E131" i="3"/>
  <c r="E132" i="3"/>
  <c r="E242" i="3"/>
  <c r="E276" i="3"/>
  <c r="E363" i="3"/>
  <c r="E375" i="3"/>
  <c r="L6" i="3"/>
  <c r="E76" i="3"/>
  <c r="E488" i="3"/>
  <c r="E473" i="3"/>
  <c r="E425" i="3"/>
  <c r="E47" i="3"/>
  <c r="E38" i="3"/>
  <c r="E103" i="3"/>
  <c r="E195" i="3"/>
  <c r="E194" i="3"/>
  <c r="E267" i="3"/>
  <c r="E266" i="3"/>
  <c r="E339" i="3"/>
  <c r="E310" i="3"/>
  <c r="E584" i="3"/>
  <c r="E66" i="3"/>
  <c r="E24" i="3"/>
  <c r="E48" i="3"/>
  <c r="E87" i="3"/>
  <c r="E127" i="3"/>
  <c r="E250" i="3"/>
  <c r="E284" i="3"/>
  <c r="E341" i="3"/>
  <c r="Y6" i="3"/>
  <c r="H6" i="3" s="1"/>
  <c r="E51" i="3"/>
  <c r="E19" i="3"/>
  <c r="E154" i="3"/>
  <c r="E179" i="3"/>
  <c r="E222" i="3"/>
  <c r="E323" i="3"/>
  <c r="E373" i="3"/>
  <c r="E82" i="3"/>
  <c r="E63" i="3"/>
  <c r="E283" i="3"/>
  <c r="E21" i="3"/>
  <c r="H7" i="36"/>
  <c r="J7" i="37"/>
  <c r="AC7" i="37" s="1"/>
  <c r="V42" i="37" s="1"/>
  <c r="I42" i="37" s="1"/>
  <c r="G26" i="43"/>
  <c r="N94" i="46"/>
  <c r="J26" i="43"/>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Q52" i="15"/>
  <c r="J18" i="67"/>
  <c r="C32" i="15"/>
  <c r="F1" i="67"/>
  <c r="Q52" i="67"/>
  <c r="Q61" i="67"/>
  <c r="Q74" i="67"/>
  <c r="Q74" i="15"/>
  <c r="Q61" i="15"/>
  <c r="AE11" i="1"/>
  <c r="AE9" i="1"/>
  <c r="F27" i="68"/>
  <c r="AE7" i="1"/>
  <c r="AE8" i="1"/>
  <c r="AE12" i="1"/>
  <c r="AE10" i="1"/>
  <c r="G1" i="73"/>
  <c r="B40" i="1" l="1"/>
  <c r="L36" i="43" s="1"/>
  <c r="Q36" i="43" s="1"/>
  <c r="F1" i="15"/>
  <c r="C88" i="9"/>
  <c r="F56" i="81"/>
  <c r="F57" i="81" s="1"/>
  <c r="F40" i="6"/>
  <c r="K25" i="1"/>
  <c r="Q60" i="15"/>
  <c r="W7" i="37"/>
  <c r="D33" i="43"/>
  <c r="D1" i="43" s="1"/>
  <c r="E65" i="39"/>
  <c r="L37" i="43"/>
  <c r="P36" i="43"/>
  <c r="N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AE6" i="1"/>
  <c r="F41" i="15"/>
  <c r="F41" i="67"/>
  <c r="M36" i="43" l="1"/>
  <c r="B14" i="74"/>
  <c r="B1" i="74" s="1"/>
  <c r="O36" i="43"/>
  <c r="M25" i="1"/>
  <c r="M24" i="1" s="1"/>
  <c r="L24" i="1" s="1"/>
  <c r="K24" i="1"/>
  <c r="C6" i="69"/>
  <c r="C7" i="69" s="1"/>
  <c r="C89" i="9"/>
  <c r="C87" i="9" s="1"/>
  <c r="F69" i="67"/>
  <c r="G54" i="34"/>
  <c r="H54" i="34" s="1"/>
  <c r="D116" i="43"/>
  <c r="P37" i="43"/>
  <c r="M37" i="43"/>
  <c r="Q37" i="43"/>
  <c r="O37" i="43"/>
  <c r="N37"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D10" i="68"/>
  <c r="P8" i="68" s="1"/>
  <c r="C17" i="67"/>
  <c r="C17" i="15"/>
  <c r="K28" i="1" l="1"/>
  <c r="M28" i="1" s="1"/>
  <c r="K29" i="1"/>
  <c r="K27" i="1"/>
  <c r="M27" i="1" s="1"/>
  <c r="M29" i="1" s="1"/>
  <c r="L29" i="1" s="1"/>
  <c r="L6" i="1" s="1"/>
  <c r="C7" i="68"/>
  <c r="M5" i="68"/>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16" i="67"/>
  <c r="E6" i="76"/>
  <c r="B6" i="76"/>
  <c r="C14" i="67"/>
  <c r="C18" i="67" l="1"/>
  <c r="C15" i="67"/>
  <c r="M6" i="1"/>
  <c r="C34" i="69"/>
  <c r="C18" i="12"/>
  <c r="D8" i="71"/>
  <c r="C7" i="71"/>
  <c r="C19" i="67"/>
  <c r="C20" i="67" s="1"/>
  <c r="C26" i="67" s="1"/>
  <c r="T16" i="1"/>
  <c r="C36" i="11"/>
  <c r="C37" i="11"/>
  <c r="C23" i="12"/>
  <c r="C14" i="12"/>
  <c r="C16" i="12" s="1"/>
  <c r="H19" i="6"/>
  <c r="S19" i="6"/>
  <c r="S27" i="6" s="1"/>
  <c r="I27" i="6"/>
  <c r="C19" i="68"/>
  <c r="D37" i="68"/>
  <c r="C37" i="68" s="1"/>
  <c r="C19" i="69"/>
  <c r="C24" i="69" s="1"/>
  <c r="D37" i="69"/>
  <c r="C37" i="69" s="1"/>
  <c r="I5" i="6"/>
  <c r="I6" i="6"/>
  <c r="C23" i="69"/>
  <c r="E2" i="76"/>
  <c r="B2" i="76"/>
  <c r="I69" i="39"/>
  <c r="J67" i="39"/>
  <c r="D9" i="71"/>
  <c r="I63" i="40"/>
  <c r="H65" i="40"/>
  <c r="I58" i="21"/>
  <c r="J58" i="21" s="1"/>
  <c r="K58" i="21" s="1"/>
  <c r="L58" i="21" s="1"/>
  <c r="M58" i="21" s="1"/>
  <c r="N58" i="21" s="1"/>
  <c r="O58" i="21" s="1"/>
  <c r="H7" i="21" s="1"/>
  <c r="J48" i="35"/>
  <c r="C14" i="15"/>
  <c r="C16" i="15"/>
  <c r="C18" i="15" l="1"/>
  <c r="C15" i="15"/>
  <c r="C35" i="69"/>
  <c r="C38" i="69"/>
  <c r="O6" i="1"/>
  <c r="O16" i="1" s="1"/>
  <c r="M16" i="1"/>
  <c r="N16" i="1"/>
  <c r="C21" i="12"/>
  <c r="C22" i="12" s="1"/>
  <c r="F7" i="21"/>
  <c r="S7" i="21" s="1"/>
  <c r="J7" i="21"/>
  <c r="AC7" i="21" s="1"/>
  <c r="V48" i="21" s="1"/>
  <c r="I48" i="21" s="1"/>
  <c r="D7" i="71"/>
  <c r="C6" i="71"/>
  <c r="C23" i="67"/>
  <c r="C29" i="67" s="1"/>
  <c r="J59" i="67" s="1"/>
  <c r="J60" i="67" s="1"/>
  <c r="Q48" i="67" s="1"/>
  <c r="C19" i="15"/>
  <c r="C20" i="15" s="1"/>
  <c r="C26" i="15" s="1"/>
  <c r="H27" i="6"/>
  <c r="R19" i="6"/>
  <c r="C20" i="69"/>
  <c r="C28" i="69" s="1"/>
  <c r="C27" i="69" s="1"/>
  <c r="C20" i="68"/>
  <c r="C28" i="68" s="1"/>
  <c r="C27" i="68" s="1"/>
  <c r="C24" i="68"/>
  <c r="B3" i="76"/>
  <c r="J69" i="39"/>
  <c r="K67" i="39"/>
  <c r="U7" i="21"/>
  <c r="AB7" i="21"/>
  <c r="T48" i="21" s="1"/>
  <c r="G48" i="21" s="1"/>
  <c r="J63" i="40"/>
  <c r="I65" i="40"/>
  <c r="K48" i="35"/>
  <c r="L48" i="35" s="1"/>
  <c r="M48" i="35" s="1"/>
  <c r="N48" i="35" s="1"/>
  <c r="O48" i="35" s="1"/>
  <c r="H7" i="35" s="1"/>
  <c r="C30" i="12" l="1"/>
  <c r="C28" i="12" s="1"/>
  <c r="C33" i="69"/>
  <c r="C39" i="69" s="1"/>
  <c r="C27" i="12"/>
  <c r="C25" i="12" s="1"/>
  <c r="C32" i="12" s="1"/>
  <c r="B2" i="12" s="1"/>
  <c r="B3" i="12" s="1"/>
  <c r="C42" i="69"/>
  <c r="F50" i="69"/>
  <c r="F50" i="11"/>
  <c r="F50" i="68"/>
  <c r="L16" i="1"/>
  <c r="C34" i="68"/>
  <c r="C34" i="11"/>
  <c r="W7" i="21"/>
  <c r="AA7" i="21"/>
  <c r="R48" i="21" s="1"/>
  <c r="J7" i="35"/>
  <c r="W7" i="35" s="1"/>
  <c r="D6" i="71"/>
  <c r="C5" i="71"/>
  <c r="Q49" i="67"/>
  <c r="J14" i="67"/>
  <c r="J13" i="67" s="1"/>
  <c r="J23" i="67" s="1"/>
  <c r="C36" i="67"/>
  <c r="C57" i="67"/>
  <c r="C64" i="67" s="1"/>
  <c r="C13" i="67"/>
  <c r="Q70" i="67" s="1"/>
  <c r="C61" i="67"/>
  <c r="C23" i="15"/>
  <c r="C29" i="15" s="1"/>
  <c r="R27" i="6"/>
  <c r="R6" i="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F35" i="67"/>
  <c r="M21" i="15"/>
  <c r="F35" i="15"/>
  <c r="M21" i="67"/>
  <c r="C43" i="69" l="1"/>
  <c r="C41" i="69" s="1"/>
  <c r="C46" i="69"/>
  <c r="C45" i="69" s="1"/>
  <c r="C38" i="11"/>
  <c r="C35" i="11"/>
  <c r="C33" i="11" s="1"/>
  <c r="C35" i="68"/>
  <c r="C38" i="68"/>
  <c r="AC7" i="35"/>
  <c r="V38" i="35" s="1"/>
  <c r="I38" i="35" s="1"/>
  <c r="D5" i="71"/>
  <c r="M24" i="43"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9" l="1"/>
  <c r="C51" i="69" s="1"/>
  <c r="C52" i="69" s="1"/>
  <c r="B2" i="69" s="1"/>
  <c r="C33" i="68"/>
  <c r="C42" i="68"/>
  <c r="C39" i="68"/>
  <c r="C91" i="9"/>
  <c r="C39" i="11"/>
  <c r="C43" i="11" s="1"/>
  <c r="C42" i="11"/>
  <c r="B3" i="69"/>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1" i="11" l="1"/>
  <c r="C92" i="9"/>
  <c r="C94" i="9"/>
  <c r="C46" i="68"/>
  <c r="C45" i="68" s="1"/>
  <c r="C43" i="68"/>
  <c r="C46" i="11"/>
  <c r="C45" i="11" s="1"/>
  <c r="C49" i="11" s="1"/>
  <c r="C51" i="11" s="1"/>
  <c r="C41" i="68"/>
  <c r="C80" i="67"/>
  <c r="C79" i="67" s="1"/>
  <c r="C40" i="67"/>
  <c r="C45" i="67"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49" i="68" l="1"/>
  <c r="C51" i="68" s="1"/>
  <c r="C52" i="11"/>
  <c r="B2" i="11" s="1"/>
  <c r="B3" i="11" s="1"/>
  <c r="C52" i="68"/>
  <c r="B2" i="68" s="1"/>
  <c r="Q69" i="15"/>
  <c r="Q68" i="15" s="1"/>
  <c r="I38"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D2" i="35"/>
  <c r="C19" i="9"/>
  <c r="C56" i="11" l="1"/>
  <c r="C57" i="11" s="1"/>
  <c r="C57" i="68"/>
  <c r="C56" i="68" s="1"/>
  <c r="C21" i="9"/>
  <c r="C102" i="9"/>
  <c r="B3" i="68"/>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12" i="1"/>
  <c r="AO11" i="1"/>
  <c r="AO7" i="1"/>
  <c r="AO8" i="1"/>
  <c r="AO9" i="1"/>
  <c r="AO10"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35" i="9"/>
  <c r="D34" i="9"/>
  <c r="D19" i="9"/>
  <c r="B6" i="70" l="1"/>
  <c r="B3" i="15"/>
  <c r="D102" i="9"/>
  <c r="G19" i="9"/>
  <c r="G21" i="9" s="1"/>
  <c r="D21" i="9"/>
  <c r="D22"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H118" i="9"/>
  <c r="F118" i="9"/>
  <c r="F119" i="9" s="1"/>
  <c r="F5" i="52" s="1"/>
  <c r="B53" i="72" s="1"/>
  <c r="C104" i="9" l="1"/>
  <c r="D14" i="74"/>
  <c r="J118" i="9"/>
  <c r="K118" i="9"/>
  <c r="D4" i="52"/>
  <c r="B47" i="72" s="1"/>
  <c r="H101" i="9"/>
  <c r="H107" i="9" s="1"/>
  <c r="D119" i="9"/>
  <c r="D5" i="52" s="1"/>
  <c r="B49" i="72" s="1"/>
  <c r="H119" i="9"/>
  <c r="H5" i="52" s="1"/>
  <c r="H4" i="52"/>
  <c r="G118" i="9"/>
  <c r="G4" i="52" s="1"/>
  <c r="B52" i="72" s="1"/>
  <c r="I118" i="9"/>
  <c r="F4" i="52"/>
  <c r="B51" i="72" s="1"/>
  <c r="E14" i="74" l="1"/>
  <c r="B5" i="74"/>
  <c r="D5" i="74" s="1"/>
  <c r="F14" i="74"/>
  <c r="D122" i="9"/>
  <c r="M49" i="9"/>
  <c r="D13" i="53"/>
  <c r="D14" i="53" s="1"/>
  <c r="B32" i="72" s="1"/>
  <c r="D5" i="53"/>
  <c r="D6" i="53" s="1"/>
  <c r="B22" i="72" s="1"/>
  <c r="D45" i="9"/>
  <c r="D55" i="9" s="1"/>
  <c r="M53" i="9" s="1"/>
  <c r="M48" i="9"/>
  <c r="C105" i="9"/>
  <c r="E118" i="9"/>
  <c r="E4" i="52" s="1"/>
  <c r="B48" i="72" s="1"/>
  <c r="I4" i="52"/>
  <c r="H102" i="9"/>
  <c r="D123" i="9" l="1"/>
  <c r="D9" i="52" s="1"/>
  <c r="G14" i="74"/>
  <c r="B6" i="74" s="1"/>
  <c r="D6" i="74" s="1"/>
  <c r="D8" i="52"/>
  <c r="B30" i="72"/>
  <c r="L65" i="9"/>
  <c r="M65" i="9" s="1"/>
  <c r="L67" i="9"/>
  <c r="M67" i="9" s="1"/>
  <c r="L66" i="9"/>
  <c r="M66" i="9" s="1"/>
  <c r="L64" i="9"/>
  <c r="M64" i="9" s="1"/>
  <c r="L68" i="9"/>
  <c r="M68" i="9" s="1"/>
  <c r="L63" i="9"/>
  <c r="M63" i="9" s="1"/>
  <c r="C72" i="9"/>
  <c r="C78" i="9"/>
  <c r="C73" i="9" s="1"/>
  <c r="D53" i="9"/>
  <c r="D48" i="9" s="1"/>
  <c r="M52" i="9" s="1"/>
  <c r="C64" i="9"/>
  <c r="C63" i="9" s="1"/>
  <c r="C67" i="9" s="1"/>
  <c r="C68" i="9" s="1"/>
  <c r="D54" i="9" s="1"/>
  <c r="D52" i="9"/>
  <c r="C85" i="9"/>
  <c r="B20" i="72"/>
  <c r="C93" i="9"/>
  <c r="C86" i="9" s="1"/>
  <c r="D7" i="53"/>
  <c r="B21" i="72" s="1"/>
  <c r="C5" i="74"/>
  <c r="H108" i="9"/>
  <c r="C79" i="9" l="1"/>
  <c r="C80" i="9" s="1"/>
  <c r="E80" i="9" s="1"/>
  <c r="E81" i="9" s="1"/>
  <c r="M69" i="9"/>
  <c r="N69" i="9" s="1"/>
  <c r="D59" i="9"/>
  <c r="M55" i="9" s="1"/>
  <c r="C95" i="9"/>
  <c r="C96" i="9" s="1"/>
  <c r="E96" i="9" s="1"/>
  <c r="E97" i="9" s="1"/>
  <c r="C81" i="9"/>
  <c r="D15" i="53"/>
  <c r="B31" i="72" s="1"/>
  <c r="C6" i="74"/>
  <c r="C97" i="9" l="1"/>
  <c r="D58" i="9" s="1"/>
  <c r="D56" i="9" s="1"/>
  <c r="M54" i="9" s="1"/>
  <c r="N57" i="9" s="1"/>
  <c r="P57" i="9" l="1"/>
  <c r="N58" i="9"/>
  <c r="N59" i="9"/>
  <c r="H111" i="9" s="1"/>
  <c r="D126" i="9" l="1"/>
  <c r="I14" i="74" s="1"/>
  <c r="B8" i="74" s="1"/>
  <c r="D8" i="74" s="1"/>
  <c r="D19" i="53"/>
  <c r="N61" i="9"/>
  <c r="H112" i="9" s="1"/>
  <c r="N60" i="9"/>
  <c r="C8" i="74" l="1"/>
  <c r="D21" i="53"/>
  <c r="B39" i="72" s="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马斯媛</author>
  </authors>
  <commentList>
    <comment ref="G28" authorId="0">
      <text>
        <r>
          <rPr>
            <sz val="9"/>
            <rFont val="宋体"/>
            <family val="3"/>
            <charset val="134"/>
          </rPr>
          <t xml:space="preserve">
2020.02.16起调整为8.8
</t>
        </r>
      </text>
    </comment>
    <comment ref="G29" authorId="0">
      <text>
        <r>
          <rPr>
            <sz val="9"/>
            <rFont val="宋体"/>
            <family val="3"/>
            <charset val="134"/>
          </rPr>
          <t xml:space="preserve">
2020.02.16起调整为8.8</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<sst xmlns="http://schemas.openxmlformats.org/spreadsheetml/2006/main" count="8580" uniqueCount="3782">
  <si>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</si>
  <si>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</si>
  <si>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</si>
  <si>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</si>
  <si>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</si>
  <si>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</si>
  <si>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</si>
  <si>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</si>
  <si>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</si>
  <si>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</si>
  <si>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</si>
  <si>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</si>
  <si>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</si>
  <si>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</si>
  <si>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</si>
  <si>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</si>
  <si>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</si>
  <si>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</si>
  <si>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</si>
  <si>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</si>
  <si>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</si>
  <si>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</si>
  <si>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</si>
  <si>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</si>
  <si>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</si>
  <si>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</si>
  <si>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</si>
  <si>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</si>
  <si>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</si>
  <si>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</si>
  <si>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</si>
  <si>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</si>
  <si>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</si>
  <si>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</si>
  <si>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</si>
  <si>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</si>
  <si>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</si>
  <si>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</si>
  <si>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</si>
  <si>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</si>
  <si>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</si>
  <si>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</si>
  <si>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</si>
  <si>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</si>
  <si>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</si>
  <si>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</si>
  <si>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</si>
  <si>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</si>
  <si>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</si>
  <si>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</si>
  <si>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</si>
  <si>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</si>
  <si>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</si>
  <si>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</si>
  <si>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</si>
  <si>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</si>
  <si>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</si>
  <si>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</si>
  <si>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</si>
  <si>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</si>
  <si>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</si>
  <si>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</si>
  <si>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</si>
  <si>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</si>
  <si>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</si>
  <si>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</si>
  <si>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</si>
  <si>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</si>
  <si>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</si>
  <si>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</si>
  <si>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</si>
  <si>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</si>
  <si>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</si>
  <si>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</si>
  <si>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</si>
  <si>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</si>
  <si>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</si>
  <si>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</si>
  <si>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</si>
  <si>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</si>
  <si>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</si>
  <si>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</si>
  <si>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</si>
  <si>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</si>
  <si>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</si>
  <si>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</si>
  <si>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</si>
  <si>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</si>
  <si>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</si>
  <si>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</si>
  <si>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</si>
  <si>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</si>
  <si>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</si>
  <si>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</si>
  <si>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</si>
  <si>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</si>
  <si>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</si>
  <si>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</si>
  <si>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</si>
  <si>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</si>
  <si>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</si>
  <si>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</si>
  <si>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</si>
  <si>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</si>
  <si>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</si>
  <si>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</si>
  <si>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</si>
  <si>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</si>
  <si>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</si>
  <si>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</si>
  <si>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</si>
  <si>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</si>
  <si>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</si>
  <si>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</si>
  <si>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</si>
  <si>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</si>
  <si>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</si>
  <si>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</si>
  <si>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</si>
  <si>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</si>
  <si>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</si>
  <si>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</si>
  <si>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</si>
  <si>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</si>
  <si>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</si>
  <si>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</si>
  <si>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</si>
  <si>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</si>
  <si>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</si>
  <si>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</si>
  <si>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</si>
  <si>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</si>
  <si>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</si>
  <si>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</si>
  <si>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</si>
  <si>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</si>
  <si>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</si>
  <si>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</si>
  <si>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</si>
  <si>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</si>
  <si>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</si>
  <si>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</si>
  <si>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</si>
  <si>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</si>
  <si>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</si>
  <si>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</si>
  <si>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</si>
  <si>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</si>
  <si>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</si>
  <si>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</si>
  <si>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</si>
  <si>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</si>
  <si>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</si>
  <si>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</si>
  <si>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</si>
  <si>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</si>
  <si>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</si>
  <si>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</si>
  <si>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</si>
  <si>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</si>
  <si>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</si>
  <si>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</si>
  <si>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</si>
  <si>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</si>
  <si>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</si>
  <si>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</si>
  <si>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</si>
  <si>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</si>
  <si>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</si>
  <si>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</si>
  <si>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</si>
  <si>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</si>
  <si>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</si>
  <si>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</si>
  <si>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</si>
  <si>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</si>
  <si>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</si>
  <si>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</si>
  <si>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</si>
  <si>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</si>
  <si>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</si>
  <si>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</si>
  <si>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</si>
  <si>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</si>
  <si>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</si>
  <si>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</si>
  <si>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</si>
  <si>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</si>
  <si>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</si>
  <si>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</si>
  <si>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</si>
  <si>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</si>
  <si>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</si>
  <si>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</si>
  <si>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</si>
  <si>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</si>
  <si>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</si>
  <si>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</si>
  <si>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</si>
  <si>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</si>
  <si>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</si>
  <si>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</si>
  <si>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</si>
  <si>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</si>
  <si>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</si>
  <si>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</si>
  <si>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</si>
  <si>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</si>
  <si>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</si>
  <si>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</si>
  <si>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</si>
  <si>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</si>
  <si>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</si>
  <si>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</si>
  <si>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</si>
  <si>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</si>
  <si>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</si>
  <si>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</si>
  <si>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</si>
  <si>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</si>
  <si>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</si>
  <si>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</si>
  <si>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</si>
  <si>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</si>
  <si>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</si>
  <si>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</si>
  <si>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</si>
  <si>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</si>
  <si>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</si>
  <si>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</si>
  <si>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</si>
  <si>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</si>
  <si>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</si>
  <si>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</si>
  <si>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</si>
  <si>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</si>
  <si>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</si>
  <si>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</si>
  <si>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</si>
  <si>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</si>
  <si>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</si>
  <si>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</si>
  <si>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</si>
  <si>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</si>
  <si>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</si>
  <si>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</si>
  <si>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</si>
  <si>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</si>
  <si>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</si>
  <si>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</si>
  <si>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</si>
  <si>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</si>
  <si>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</si>
  <si>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</si>
  <si>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</si>
  <si>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</si>
  <si>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</si>
  <si>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</si>
  <si>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</si>
  <si>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</si>
  <si>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</si>
  <si>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</si>
  <si>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</si>
  <si>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</si>
  <si>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</si>
  <si>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</si>
  <si>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</si>
  <si>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</si>
  <si>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</si>
  <si>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</si>
  <si>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</si>
  <si>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</si>
  <si>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</si>
  <si>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</si>
  <si>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</si>
  <si>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</si>
  <si>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</si>
  <si>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</si>
  <si>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</si>
  <si>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</si>
  <si>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</si>
  <si>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</si>
  <si>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</si>
  <si>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</si>
  <si>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</si>
  <si>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</si>
  <si>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</si>
  <si>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</si>
  <si>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</si>
  <si>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</si>
  <si>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</si>
  <si>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</si>
  <si>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</si>
  <si>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</si>
  <si>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</si>
  <si>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</si>
  <si>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</si>
  <si>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</si>
  <si>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</si>
  <si>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</si>
  <si>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</si>
  <si>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</si>
  <si>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</si>
  <si>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</si>
  <si>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</si>
  <si>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</si>
  <si>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</si>
  <si>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</si>
  <si>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</si>
  <si>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</si>
  <si>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</si>
  <si>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</si>
  <si>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</si>
  <si>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</si>
  <si>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</si>
  <si>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</si>
  <si>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</si>
  <si>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</si>
  <si>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</si>
  <si>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</si>
  <si>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</si>
  <si>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</si>
  <si>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</si>
  <si>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</si>
  <si>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</si>
  <si>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</si>
  <si>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</si>
  <si>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</si>
  <si>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</si>
  <si>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</si>
  <si>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</si>
  <si>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</si>
  <si>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</si>
  <si>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</si>
  <si>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</si>
  <si>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</si>
  <si>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</si>
  <si>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</si>
  <si>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</si>
  <si>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</si>
  <si>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</si>
  <si>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</si>
  <si>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</si>
  <si>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</si>
  <si>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</si>
  <si>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</si>
  <si>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</si>
  <si>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</si>
  <si>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</si>
  <si>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</si>
  <si>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</si>
  <si>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</si>
  <si>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</si>
  <si>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</si>
  <si>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</si>
  <si>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</si>
  <si>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</si>
  <si>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</si>
  <si>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</si>
  <si>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</si>
  <si>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</si>
  <si>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</si>
  <si>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</si>
  <si>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</si>
  <si>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</si>
  <si>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</si>
  <si>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</si>
  <si>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</si>
  <si>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</si>
  <si>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</si>
  <si>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</si>
  <si>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</si>
  <si>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</si>
  <si>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</si>
  <si>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</si>
  <si>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</si>
  <si>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</si>
  <si>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</si>
  <si>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</si>
  <si>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</si>
  <si>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</si>
  <si>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</si>
  <si>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</si>
  <si>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</si>
  <si>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</si>
  <si>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</si>
  <si>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</si>
  <si>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</si>
  <si>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</si>
  <si>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</si>
  <si>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</si>
  <si>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</si>
  <si>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</si>
  <si>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</si>
  <si>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</si>
  <si>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</si>
  <si>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</si>
  <si>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</si>
  <si>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</si>
  <si>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</si>
  <si>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</si>
  <si>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</si>
  <si>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</si>
  <si>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</si>
  <si>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</si>
  <si>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</si>
  <si>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</si>
  <si>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</si>
  <si>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</si>
  <si>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</si>
  <si>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</si>
  <si>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</si>
  <si>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</si>
  <si>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</si>
  <si>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</si>
  <si>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</si>
  <si>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</si>
  <si>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</si>
  <si>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</si>
  <si>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</si>
  <si>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</si>
  <si>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</si>
  <si>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</si>
  <si>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</si>
  <si>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</si>
  <si>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</si>
  <si>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</si>
  <si>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</si>
  <si>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</si>
  <si>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</si>
  <si>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</si>
  <si>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</si>
  <si>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</si>
  <si>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</si>
  <si>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</si>
  <si>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</si>
  <si>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</si>
  <si>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</si>
  <si>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</si>
  <si>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</si>
  <si>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</si>
  <si>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</si>
  <si>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</si>
  <si>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</si>
  <si>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</si>
  <si>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</si>
  <si>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</si>
  <si>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</si>
  <si>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</si>
  <si>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</si>
  <si>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</si>
  <si>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</si>
  <si>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</si>
  <si>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</si>
  <si>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</si>
  <si>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</si>
  <si>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</si>
  <si>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</si>
  <si>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</si>
  <si>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</si>
  <si>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</si>
  <si>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</si>
  <si>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</si>
  <si>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</si>
  <si>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</si>
  <si>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</si>
  <si>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</si>
  <si>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</si>
  <si>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</si>
  <si>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</si>
  <si>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</si>
  <si>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</si>
  <si>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</si>
  <si>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</si>
  <si>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</si>
  <si>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</si>
  <si>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</si>
  <si>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</si>
  <si>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</si>
  <si>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</si>
  <si>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</si>
  <si>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</si>
  <si>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</si>
  <si>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</si>
  <si>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</si>
  <si>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</si>
  <si>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</si>
  <si>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</si>
  <si>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</si>
  <si>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</si>
  <si>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</si>
  <si>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</si>
  <si>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</si>
  <si>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</si>
  <si>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</si>
  <si>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</si>
  <si>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</si>
  <si>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</si>
  <si>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</si>
  <si>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</si>
  <si>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</si>
  <si>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</si>
  <si>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</si>
  <si>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</si>
  <si>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</si>
  <si>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</si>
  <si>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</si>
  <si>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</si>
  <si>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</si>
  <si>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</si>
  <si>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</si>
  <si>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</si>
  <si>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</si>
  <si>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</si>
  <si>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</si>
  <si>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</si>
  <si>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</si>
  <si>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</si>
  <si>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</si>
  <si>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</si>
  <si>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</si>
  <si>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</si>
  <si>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</si>
  <si>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</si>
  <si>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</si>
  <si>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</si>
  <si>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</si>
  <si>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</si>
  <si>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</si>
  <si>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</si>
  <si>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</si>
  <si>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</si>
  <si>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</si>
  <si>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</si>
  <si>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</si>
  <si>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</si>
  <si>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</si>
  <si>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</si>
  <si>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</si>
  <si>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</si>
  <si>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</si>
  <si>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</si>
  <si>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</si>
  <si>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</si>
  <si>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</si>
  <si>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</si>
  <si>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</si>
  <si>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</si>
  <si>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</si>
  <si>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</si>
  <si>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</si>
  <si>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</si>
  <si>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</si>
  <si>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</si>
  <si>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</si>
  <si>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</si>
  <si>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</si>
  <si>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</si>
  <si>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</si>
  <si>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</si>
  <si>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</si>
  <si>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</si>
  <si>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</si>
  <si>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</si>
  <si>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</si>
  <si>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</si>
  <si>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</si>
  <si>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</si>
  <si>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</si>
  <si>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</si>
  <si>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</si>
  <si>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</si>
  <si>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</si>
  <si>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</si>
  <si>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</si>
  <si>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</si>
  <si>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</si>
  <si>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</si>
  <si>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</si>
  <si>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</si>
  <si>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</si>
  <si>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</si>
  <si>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</si>
  <si>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</si>
  <si>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</si>
  <si>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</si>
  <si>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</si>
  <si>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</si>
  <si>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</si>
  <si>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</si>
  <si>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</si>
  <si>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</si>
  <si>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</si>
  <si>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</si>
  <si>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</si>
  <si>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</si>
  <si>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</si>
  <si>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</si>
  <si>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</si>
  <si>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</si>
  <si>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</si>
  <si>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</si>
  <si>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</si>
  <si>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</si>
  <si>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</si>
  <si>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</si>
  <si>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</si>
  <si>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</si>
  <si>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</si>
  <si>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</si>
  <si>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</si>
  <si>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</si>
  <si>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</si>
  <si>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</si>
  <si>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</si>
  <si>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</si>
  <si>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</si>
  <si>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</si>
  <si>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</si>
  <si>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</si>
  <si>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</si>
  <si>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</si>
  <si>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</si>
  <si>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</si>
  <si>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</si>
  <si>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</si>
  <si>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</si>
  <si>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</si>
  <si>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</si>
  <si>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</si>
  <si>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</si>
  <si>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</si>
  <si>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</si>
  <si>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</si>
  <si>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</si>
  <si>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</si>
  <si>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</si>
  <si>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</si>
  <si>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</si>
  <si>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</si>
  <si>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</si>
  <si>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</si>
  <si>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</si>
  <si>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</si>
  <si>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</si>
  <si>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</si>
  <si>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</si>
  <si>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</si>
  <si>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</si>
  <si>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</si>
  <si>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</si>
  <si>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</si>
  <si>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</si>
  <si>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</si>
  <si>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</si>
  <si>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</si>
  <si>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</si>
  <si>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</si>
  <si>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</si>
  <si>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</si>
  <si>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</si>
  <si>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</si>
  <si>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</si>
  <si>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</si>
  <si>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</si>
  <si>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</si>
  <si>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</si>
  <si>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</si>
  <si>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</si>
  <si>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</si>
  <si>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</si>
  <si>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</si>
  <si>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</si>
  <si>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</si>
  <si>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</si>
  <si>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</si>
  <si>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</si>
  <si>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</si>
  <si>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</si>
  <si>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</si>
  <si>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</si>
  <si>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</si>
  <si>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</si>
  <si>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</si>
  <si>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</si>
  <si>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</si>
  <si>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</si>
  <si>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</si>
  <si>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</si>
  <si>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</si>
  <si>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</si>
  <si>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</si>
  <si>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</si>
  <si>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</si>
  <si>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</si>
  <si>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</si>
  <si>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</si>
  <si>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</si>
  <si>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</si>
  <si>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</si>
  <si>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</si>
  <si>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</si>
  <si>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</si>
  <si>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</si>
  <si>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</si>
  <si>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</si>
  <si>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</si>
  <si>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</si>
  <si>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</si>
  <si>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</si>
  <si>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</si>
  <si>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</si>
  <si>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</si>
  <si>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</si>
  <si>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</si>
  <si>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</si>
  <si>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</si>
  <si>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</si>
  <si>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</si>
  <si>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</si>
  <si>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</si>
  <si>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</si>
  <si>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</si>
  <si>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</si>
  <si>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</si>
  <si>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</si>
  <si>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</si>
  <si>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</si>
  <si>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</si>
  <si>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</si>
  <si>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</si>
  <si>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</si>
  <si>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</si>
  <si>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</si>
  <si>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</si>
  <si>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</si>
  <si>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</si>
  <si>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</si>
  <si>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</si>
  <si>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</si>
  <si>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</si>
  <si>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</si>
  <si>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</si>
  <si>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</si>
  <si>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</si>
  <si>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</si>
  <si>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</si>
  <si>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</si>
  <si>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</si>
  <si>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</si>
  <si>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</si>
  <si>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</si>
  <si>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</si>
  <si>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</si>
  <si>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</si>
  <si>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</si>
  <si>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</si>
  <si>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</si>
  <si>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</si>
  <si>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</si>
  <si>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</si>
  <si>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</si>
  <si>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</si>
  <si>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</si>
  <si>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</si>
  <si>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</si>
  <si>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</si>
  <si>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</si>
  <si>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</si>
  <si>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</si>
  <si>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</si>
  <si>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</si>
  <si>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</si>
  <si>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</si>
  <si>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</si>
  <si>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</si>
  <si>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</si>
  <si>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</si>
  <si>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</si>
  <si>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</si>
  <si>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</si>
  <si>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</si>
  <si>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</si>
  <si>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</si>
  <si>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</si>
  <si>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</si>
  <si>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</si>
  <si>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</si>
  <si>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</si>
  <si>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</si>
  <si>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</si>
  <si>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</si>
  <si>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</si>
  <si>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</si>
  <si>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</si>
  <si>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</si>
  <si>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</si>
  <si>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</si>
  <si>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</si>
  <si>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</si>
  <si>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</si>
  <si>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</si>
  <si>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</si>
  <si>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</si>
  <si>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</si>
  <si>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</si>
  <si>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</si>
  <si>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</si>
  <si>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</si>
  <si>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</si>
  <si>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</si>
  <si>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</si>
  <si>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</si>
  <si>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</si>
  <si>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</si>
  <si>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</si>
  <si>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</si>
  <si>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</si>
  <si>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</si>
  <si>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</si>
  <si>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</si>
  <si>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</si>
  <si>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</si>
  <si>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</si>
  <si>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</si>
  <si>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</si>
  <si>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</si>
  <si>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</si>
  <si>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</si>
  <si>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</si>
  <si>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</si>
  <si>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</si>
  <si>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</si>
  <si>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</si>
  <si>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</si>
  <si>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</si>
  <si>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</si>
  <si>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</si>
  <si>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</si>
  <si>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</si>
  <si>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</si>
  <si>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</si>
  <si>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</si>
  <si>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</si>
  <si>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</si>
  <si>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</si>
  <si>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</si>
  <si>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</si>
  <si>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</si>
  <si>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</si>
  <si>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</si>
  <si>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</si>
  <si>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</si>
  <si>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</si>
  <si>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</si>
  <si>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</si>
  <si>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</si>
  <si>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</si>
  <si>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</si>
  <si>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</si>
  <si>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</si>
  <si>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</si>
  <si>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</si>
  <si>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</si>
  <si>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</si>
  <si>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</si>
  <si>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</si>
  <si>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</si>
  <si>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</si>
  <si>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</si>
  <si>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</si>
  <si>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</si>
  <si>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</si>
  <si>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</si>
  <si>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</si>
  <si>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</si>
  <si>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</si>
  <si>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</si>
  <si>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</si>
  <si>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</si>
  <si>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</si>
  <si>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</si>
  <si>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</si>
  <si>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</si>
  <si>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</si>
  <si>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</si>
  <si>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</si>
  <si>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</si>
  <si>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</si>
  <si>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</si>
  <si>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</si>
  <si>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</si>
  <si>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</si>
  <si>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</si>
  <si>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</si>
  <si>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</si>
  <si>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</si>
  <si>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</si>
  <si>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</si>
  <si>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</si>
  <si>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</si>
  <si>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</si>
  <si>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</si>
  <si>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</si>
  <si>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</si>
  <si>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</si>
  <si>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</si>
  <si>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</si>
  <si>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</si>
  <si>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</si>
  <si>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</si>
  <si>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</si>
  <si>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</si>
  <si>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</si>
  <si>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</si>
  <si>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</si>
  <si>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</si>
  <si>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</si>
  <si>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</si>
  <si>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</si>
  <si>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</si>
  <si>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</si>
  <si>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</si>
  <si>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</si>
  <si>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</si>
  <si>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</si>
  <si>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</si>
  <si>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</si>
  <si>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</si>
  <si>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</si>
  <si>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</si>
  <si>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</si>
  <si>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</si>
  <si>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</si>
  <si>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</si>
  <si>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</si>
  <si>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</si>
  <si>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</si>
  <si>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</si>
  <si>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</si>
  <si>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</si>
  <si>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</si>
  <si>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</si>
  <si>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</si>
  <si>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</si>
  <si>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</si>
  <si>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</si>
  <si>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</si>
  <si>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</si>
  <si>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</si>
  <si>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</si>
  <si>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</si>
  <si>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</si>
  <si>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</si>
  <si>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</si>
  <si>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</si>
  <si>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</si>
  <si>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</si>
  <si>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</si>
  <si>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</si>
  <si>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</si>
  <si>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</si>
  <si>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</si>
  <si>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</si>
  <si>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</si>
  <si>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</si>
  <si>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</si>
  <si>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</si>
  <si>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</si>
  <si>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</si>
  <si>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</si>
  <si>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</si>
  <si>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</si>
  <si>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</si>
  <si>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</si>
  <si>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</si>
  <si>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</si>
  <si>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</si>
  <si>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</si>
  <si>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</si>
  <si>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</si>
  <si>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</si>
  <si>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</si>
  <si>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</si>
  <si>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</si>
  <si>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</si>
  <si>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</si>
  <si>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</si>
  <si>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</si>
  <si>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</si>
  <si>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</si>
  <si>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</si>
  <si>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</si>
  <si>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</si>
  <si>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</si>
  <si>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</si>
  <si>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</si>
  <si>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</si>
  <si>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</si>
  <si>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</si>
  <si>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</si>
  <si>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</si>
  <si>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</si>
  <si>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</si>
  <si>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</si>
  <si>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</si>
  <si>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</si>
  <si>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</si>
  <si>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</si>
  <si>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</si>
  <si>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</si>
  <si>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</si>
  <si>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</si>
  <si>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</si>
  <si>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</si>
  <si>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</si>
  <si>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</si>
  <si>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</si>
  <si>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</si>
  <si>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</si>
  <si>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</si>
  <si>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</si>
  <si>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</si>
  <si>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</si>
  <si>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</si>
  <si>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</si>
  <si>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</si>
  <si>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</si>
  <si>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</si>
  <si>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</si>
  <si>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</si>
  <si>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</si>
  <si>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</si>
  <si>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</si>
  <si>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</si>
  <si>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</si>
  <si>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</si>
  <si>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</si>
  <si>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</si>
  <si>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</si>
  <si>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</si>
  <si>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</si>
  <si>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</si>
  <si>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</si>
  <si>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</si>
  <si>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</si>
  <si>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</si>
  <si>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</si>
  <si>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</si>
  <si>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</si>
  <si>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</si>
  <si>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</si>
  <si>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</si>
  <si>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</si>
  <si>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</si>
  <si>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</si>
  <si>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</si>
  <si>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</si>
  <si>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</si>
  <si>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</si>
  <si>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</si>
  <si>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</si>
  <si>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</si>
  <si>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</si>
  <si>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</si>
  <si>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</si>
  <si>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</si>
  <si>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</si>
  <si>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</si>
  <si>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</si>
  <si>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</si>
  <si>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</si>
  <si>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</si>
  <si>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</si>
  <si>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</si>
  <si>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</si>
  <si>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</si>
  <si>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</si>
  <si>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</si>
  <si>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</si>
  <si>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</si>
  <si>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</si>
  <si>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</si>
  <si>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</si>
  <si>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</si>
  <si>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</si>
  <si>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</si>
  <si>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</si>
  <si>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</si>
  <si>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</si>
  <si>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</si>
  <si>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</si>
  <si>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</si>
  <si>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</si>
  <si>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</si>
  <si>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</si>
  <si>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</si>
  <si>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</si>
  <si>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</si>
  <si>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</si>
  <si>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</si>
  <si>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</si>
  <si>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</si>
  <si>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</si>
  <si>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</si>
  <si>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</si>
  <si>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</si>
  <si>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</si>
  <si>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</si>
  <si>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</si>
  <si>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</si>
  <si>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</si>
  <si>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</si>
  <si>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</si>
  <si>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</si>
  <si>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</si>
  <si>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</si>
  <si>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</si>
  <si>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</si>
  <si>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</si>
  <si>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</si>
  <si>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</si>
  <si>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</si>
  <si>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</si>
  <si>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</si>
  <si>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</si>
  <si>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</si>
  <si>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</si>
  <si>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</si>
  <si>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</si>
  <si>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</si>
  <si>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</si>
  <si>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</si>
  <si>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</si>
  <si>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</si>
  <si>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</si>
  <si>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</si>
  <si>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</si>
  <si>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</si>
  <si>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</si>
  <si>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</si>
  <si>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</si>
  <si>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</si>
  <si>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</si>
  <si>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</si>
  <si>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</si>
  <si>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</si>
  <si>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</si>
  <si>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</si>
  <si>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</si>
  <si>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</si>
  <si>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</si>
  <si>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</si>
  <si>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</si>
  <si>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</si>
  <si>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</si>
  <si>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</si>
  <si>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</si>
  <si>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</si>
  <si>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</si>
  <si>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</si>
  <si>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</si>
  <si>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</si>
  <si>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</si>
  <si>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</si>
  <si>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</si>
  <si>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</si>
  <si>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</si>
  <si>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</si>
  <si>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</si>
  <si>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</si>
  <si>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</si>
  <si>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</si>
  <si>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</si>
  <si>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</si>
  <si>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</si>
  <si>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</si>
  <si>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</si>
  <si>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</si>
  <si>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</si>
  <si>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</si>
  <si>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</si>
  <si>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</si>
  <si>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</si>
  <si>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</si>
  <si>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</si>
  <si>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</si>
  <si>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</si>
  <si>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</si>
  <si>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</si>
  <si>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</si>
  <si>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</si>
  <si>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</si>
  <si>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</si>
  <si>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</si>
  <si>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</si>
  <si>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</si>
  <si>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</si>
  <si>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</si>
  <si>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</si>
  <si>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</si>
  <si>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</si>
  <si>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</si>
  <si>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</si>
  <si>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</si>
  <si>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</si>
  <si>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</si>
  <si>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</si>
  <si>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</si>
  <si>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</si>
  <si>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</si>
  <si>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</si>
  <si>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</si>
  <si>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</si>
  <si>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</si>
  <si>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</si>
  <si>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</si>
  <si>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</si>
  <si>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</si>
  <si>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</si>
  <si>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</si>
  <si>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</si>
  <si>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</si>
  <si>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</si>
  <si>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</si>
  <si>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</si>
  <si>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</si>
  <si>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</si>
  <si>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</si>
  <si>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</si>
  <si>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</si>
  <si>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</si>
  <si>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</si>
  <si>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</si>
  <si>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</si>
  <si>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</si>
  <si>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</si>
  <si>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</si>
  <si>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</si>
  <si>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</si>
  <si>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</si>
  <si>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</si>
  <si>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</si>
  <si>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</si>
  <si>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</si>
  <si>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</si>
  <si>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</si>
  <si>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</si>
  <si>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</si>
  <si>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</si>
  <si>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</si>
  <si>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</si>
  <si>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</si>
  <si>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</si>
  <si>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</si>
  <si>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</si>
  <si>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</si>
  <si>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</si>
  <si>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</si>
  <si>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</si>
  <si>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</si>
  <si>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</si>
  <si>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</si>
  <si>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</si>
  <si>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</si>
  <si>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</si>
  <si>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</si>
  <si>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</si>
  <si>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</si>
  <si>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</si>
  <si>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</si>
  <si>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</si>
  <si>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</si>
  <si>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</si>
  <si>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</si>
  <si>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</si>
  <si>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</si>
  <si>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</si>
  <si>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</si>
  <si>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</si>
  <si>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</si>
  <si>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</si>
  <si>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</si>
  <si>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</si>
  <si>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</si>
  <si>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</si>
  <si>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</si>
  <si>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</si>
  <si>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</si>
  <si>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</si>
  <si>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</si>
  <si>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</si>
  <si>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</si>
  <si>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</si>
  <si>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</si>
  <si>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</si>
  <si>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</si>
  <si>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</si>
  <si>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</si>
  <si>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</si>
  <si>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</si>
  <si>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</si>
  <si>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</si>
  <si>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</si>
  <si>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</si>
  <si>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</si>
  <si>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</si>
  <si>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</si>
  <si>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</si>
  <si>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</si>
  <si>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</si>
  <si>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</si>
  <si>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</si>
  <si>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</si>
  <si>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</si>
  <si>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</si>
  <si>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</si>
  <si>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</si>
  <si>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</si>
  <si>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</si>
  <si>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</si>
  <si>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</si>
  <si>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</si>
  <si>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</si>
  <si>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</si>
  <si>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</si>
  <si>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</si>
  <si>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</si>
  <si>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</si>
  <si>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</si>
  <si>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</si>
  <si>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</si>
  <si>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</si>
  <si>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</si>
  <si>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</si>
  <si>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</si>
  <si>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</si>
  <si>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</si>
  <si>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</si>
  <si>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</si>
  <si>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</si>
  <si>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</si>
  <si>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</si>
  <si>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</si>
  <si>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</si>
  <si>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</si>
  <si>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</si>
  <si>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</si>
  <si>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</si>
  <si>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</si>
  <si>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</si>
  <si>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</si>
  <si>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</si>
  <si>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</si>
  <si>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</si>
  <si>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</si>
  <si>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</si>
  <si>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</si>
  <si>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</si>
  <si>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</si>
  <si>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</si>
  <si>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</si>
  <si>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</si>
  <si>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</si>
  <si>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</si>
  <si>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</si>
  <si>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</si>
  <si>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</si>
  <si>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</si>
  <si>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</si>
  <si>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</si>
  <si>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</si>
  <si>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</si>
  <si>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</si>
  <si>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</si>
  <si>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</si>
  <si>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</si>
  <si>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</si>
  <si>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</si>
  <si>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</si>
  <si>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</si>
  <si>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</si>
  <si>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</si>
  <si>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</si>
  <si>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</si>
  <si>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</si>
  <si>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</si>
  <si>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</si>
  <si>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</si>
  <si>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</si>
  <si>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</si>
  <si>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</si>
  <si>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</si>
  <si>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</si>
  <si>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</si>
  <si>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</si>
  <si>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</si>
  <si>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</si>
  <si>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</si>
  <si>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</si>
  <si>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</si>
  <si>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</si>
  <si>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</si>
  <si>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</si>
  <si>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</si>
  <si>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</si>
  <si>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</si>
  <si>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</si>
  <si>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</si>
  <si>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</si>
  <si>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</si>
  <si>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</si>
  <si>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</si>
  <si>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</si>
  <si>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</si>
  <si>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</si>
  <si>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</si>
  <si>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</si>
  <si>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</si>
  <si>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</si>
  <si>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</si>
  <si>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</si>
  <si>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</si>
  <si>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</si>
  <si>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</si>
  <si>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</si>
  <si>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</si>
  <si>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</si>
  <si>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</si>
  <si>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</si>
  <si>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</si>
  <si>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</si>
  <si>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</si>
  <si>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</si>
  <si>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</si>
  <si>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</si>
  <si>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</si>
  <si>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</si>
  <si>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</si>
  <si>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</si>
  <si>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</si>
  <si>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</si>
  <si>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</si>
  <si>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</si>
  <si>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</si>
  <si>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</si>
  <si>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</si>
  <si>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</si>
  <si>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</si>
  <si>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</si>
  <si>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</si>
  <si>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</si>
  <si>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</si>
  <si>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</si>
  <si>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</si>
  <si>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</si>
  <si>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</si>
  <si>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</si>
  <si>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</si>
  <si>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</si>
  <si>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</si>
  <si>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</si>
  <si>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</si>
  <si>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</si>
  <si>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</si>
  <si>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</si>
  <si>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</si>
  <si>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</si>
  <si>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</si>
  <si>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</si>
  <si>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</si>
  <si>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</si>
  <si>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</si>
  <si>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</si>
  <si>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</si>
  <si>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</si>
  <si>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</si>
  <si>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</si>
  <si>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</si>
  <si>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</si>
  <si>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</si>
  <si>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</si>
  <si>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</si>
  <si>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</si>
  <si>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</si>
  <si>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</si>
  <si>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</si>
  <si>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</si>
  <si>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</si>
  <si>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</si>
  <si>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</si>
  <si>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</si>
  <si>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</si>
  <si>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</si>
  <si>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</si>
  <si>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</si>
  <si>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</si>
  <si>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</si>
  <si>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</si>
  <si>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</si>
  <si>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</si>
  <si>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</si>
  <si>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</si>
  <si>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</si>
  <si>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</si>
  <si>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</si>
  <si>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</si>
  <si>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</si>
  <si>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</si>
  <si>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</si>
  <si>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</si>
  <si>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</si>
  <si>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</si>
  <si>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</si>
  <si>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</si>
  <si>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</si>
  <si>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</si>
  <si>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</si>
  <si>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</si>
  <si>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</si>
  <si>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</si>
  <si>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</si>
  <si>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</si>
  <si>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</si>
  <si>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</si>
  <si>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</si>
  <si>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</si>
  <si>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</si>
  <si>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</si>
  <si>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</si>
  <si>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</si>
  <si>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</si>
  <si>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</si>
  <si>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</si>
  <si>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</si>
  <si>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</si>
  <si>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</si>
  <si>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</si>
  <si>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</si>
  <si>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</si>
  <si>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</si>
  <si>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</si>
  <si>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</si>
  <si>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</si>
  <si>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</si>
  <si>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</si>
  <si>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</si>
  <si>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</si>
  <si>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</si>
  <si>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</si>
  <si>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</si>
  <si>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</si>
  <si>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</si>
  <si>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</si>
  <si>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</si>
  <si>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</si>
  <si>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</si>
  <si>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</si>
  <si>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</si>
  <si>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</si>
  <si>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</si>
  <si>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</si>
  <si>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</si>
  <si>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</si>
  <si>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</si>
  <si>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</si>
  <si>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</si>
  <si>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</si>
  <si>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</si>
  <si>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</si>
  <si>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</si>
  <si>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</si>
  <si>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</si>
  <si>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</si>
  <si>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</si>
  <si>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</si>
  <si>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</si>
  <si>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</si>
  <si>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</si>
  <si>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</si>
  <si>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</si>
  <si>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</si>
  <si>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</si>
  <si>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</si>
  <si>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</si>
  <si>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</si>
  <si>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</si>
  <si>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</si>
  <si>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</si>
  <si>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</si>
  <si>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</si>
  <si>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</si>
  <si>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</si>
  <si>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</si>
  <si>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</si>
  <si>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</si>
  <si>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</si>
  <si>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</si>
  <si>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</si>
  <si>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</si>
  <si>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</si>
  <si>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</si>
  <si>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</si>
  <si>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</si>
  <si>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</si>
  <si>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</si>
  <si>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</si>
  <si>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</si>
  <si>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</si>
  <si>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</si>
  <si>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</si>
  <si>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</si>
  <si>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</si>
  <si>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</si>
  <si>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</si>
  <si>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</si>
  <si>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</si>
  <si>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</si>
  <si>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</si>
  <si>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</si>
  <si>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</si>
  <si>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</si>
  <si>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</si>
  <si>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</si>
  <si>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</si>
  <si>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</si>
  <si>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</si>
  <si>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</si>
  <si>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</si>
  <si>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</si>
  <si>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</si>
  <si>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</si>
  <si>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</si>
  <si>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</si>
  <si>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</si>
  <si>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</si>
  <si>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</si>
  <si>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</si>
  <si>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</si>
  <si>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</si>
  <si>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</si>
  <si>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</si>
  <si>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</si>
  <si>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</si>
  <si>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</si>
  <si>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</si>
  <si>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</si>
  <si>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</si>
  <si>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</si>
  <si>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</si>
  <si>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</si>
  <si>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</si>
  <si>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</si>
  <si>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</si>
  <si>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</si>
  <si>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</si>
  <si>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</si>
  <si>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</si>
  <si>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</si>
  <si>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</si>
  <si>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</si>
  <si>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</si>
  <si>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</si>
  <si>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</si>
  <si>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</si>
  <si>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</si>
  <si>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</si>
  <si>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</si>
  <si>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</si>
  <si>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</si>
  <si>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</si>
  <si>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</si>
  <si>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</si>
  <si>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</si>
  <si>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</si>
  <si>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</si>
  <si>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</si>
  <si>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</si>
  <si>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</si>
  <si>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</si>
  <si>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</si>
  <si>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</si>
  <si>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</si>
  <si>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</si>
  <si>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</si>
  <si>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</si>
  <si>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</si>
  <si>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</si>
  <si>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</si>
  <si>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</si>
  <si>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</si>
  <si>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</si>
  <si>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</si>
  <si>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</si>
  <si>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</si>
  <si>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</si>
  <si>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</si>
  <si>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</si>
  <si>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</si>
  <si>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</si>
  <si>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</si>
  <si>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</si>
  <si>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</si>
  <si>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</si>
  <si>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</si>
  <si>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</si>
  <si>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</si>
  <si>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</si>
  <si>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</si>
  <si>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</si>
  <si>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</si>
  <si>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</si>
  <si>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</si>
  <si>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</si>
  <si>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</si>
  <si>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</si>
  <si>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</si>
  <si>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</si>
  <si>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</si>
  <si>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</si>
  <si>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</si>
  <si>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</si>
  <si>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</si>
  <si>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</si>
  <si>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</si>
  <si>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</si>
  <si>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</si>
  <si>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</si>
  <si>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</si>
  <si>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</si>
  <si>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</si>
  <si>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</si>
  <si>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</si>
  <si>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</si>
  <si>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</si>
  <si>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</si>
  <si>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</si>
  <si>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</si>
  <si>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</si>
  <si>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</si>
  <si>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</si>
  <si>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</si>
  <si>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</si>
  <si>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</si>
  <si>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</si>
  <si>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</si>
  <si>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</si>
  <si>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</si>
  <si>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</si>
  <si>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</si>
  <si>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</si>
  <si>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</si>
  <si>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</si>
  <si>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</si>
  <si>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</si>
  <si>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</si>
  <si>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</si>
  <si>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</si>
  <si>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</si>
  <si>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</si>
  <si>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</si>
  <si>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</si>
  <si>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</si>
  <si>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</si>
  <si>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</si>
  <si>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</si>
  <si>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</si>
  <si>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</si>
  <si>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</si>
  <si>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</si>
  <si>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</si>
  <si>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</si>
  <si>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</si>
  <si>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</si>
  <si>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</si>
  <si>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</si>
  <si>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</si>
  <si>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</si>
  <si>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</si>
  <si>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</si>
  <si>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</si>
  <si>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</si>
  <si>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</si>
  <si>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</si>
  <si>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</si>
  <si>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</si>
  <si>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</si>
  <si>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</si>
  <si>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</si>
  <si>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</si>
  <si>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</si>
  <si>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</si>
  <si>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</si>
  <si>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</si>
  <si>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</si>
  <si>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</si>
  <si>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</si>
  <si>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</si>
  <si>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</si>
  <si>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</si>
  <si>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</si>
  <si>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</si>
  <si>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</si>
  <si>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</si>
  <si>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</si>
  <si>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</si>
  <si>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</si>
  <si>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</si>
  <si>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</si>
  <si>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</si>
  <si>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</si>
  <si>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</si>
  <si>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</si>
  <si>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</si>
  <si>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</si>
  <si>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</si>
  <si>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</si>
  <si>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</si>
  <si>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</si>
  <si>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</si>
  <si>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</si>
  <si>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</si>
  <si>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</si>
  <si>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</si>
  <si>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</si>
  <si>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</si>
  <si>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</si>
  <si>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</si>
  <si>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</si>
  <si>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</si>
  <si>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</si>
  <si>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</si>
  <si>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</si>
  <si>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</si>
  <si>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</si>
  <si>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</si>
  <si>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</si>
  <si>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</si>
  <si>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</si>
  <si>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</si>
  <si>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</si>
  <si>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</si>
  <si>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</si>
  <si>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</si>
  <si>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</si>
  <si>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</si>
  <si>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</si>
  <si>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</si>
  <si>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</si>
  <si>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</si>
  <si>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</si>
  <si>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</si>
  <si>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</si>
  <si>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</si>
  <si>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</si>
  <si>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</si>
  <si>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</si>
  <si>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</si>
  <si>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</si>
  <si>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</si>
  <si>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</si>
  <si>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</si>
  <si>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</si>
  <si>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</si>
  <si>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</si>
  <si>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</si>
  <si>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</si>
  <si>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</si>
  <si>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</si>
  <si>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</si>
  <si>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</si>
  <si>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</si>
  <si>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</si>
  <si>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</si>
  <si>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</si>
  <si>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</si>
  <si>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</si>
  <si>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</si>
  <si>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</si>
  <si>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</si>
  <si>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</si>
  <si>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</si>
  <si>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</si>
  <si>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</si>
  <si>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</si>
  <si>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</si>
  <si>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</si>
  <si>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</si>
  <si>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</si>
  <si>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</si>
  <si>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</si>
  <si>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</si>
  <si>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</si>
  <si>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</si>
  <si>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</si>
  <si>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</si>
  <si>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</si>
  <si>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</si>
  <si>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</si>
  <si>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</si>
  <si>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</si>
  <si>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</si>
  <si>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</si>
  <si>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</si>
  <si>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</si>
  <si>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</si>
  <si>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</si>
  <si>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</si>
  <si>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</si>
  <si>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</si>
  <si>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</si>
  <si>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</si>
  <si>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</si>
  <si>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</si>
  <si>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</si>
  <si>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</si>
  <si>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</si>
  <si>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</si>
  <si>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</si>
  <si>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</si>
  <si>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</si>
  <si>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</si>
  <si>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</si>
  <si>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</si>
  <si>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</si>
  <si>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</si>
  <si>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</si>
  <si>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</si>
  <si>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</si>
  <si>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</si>
  <si>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</si>
  <si>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</si>
  <si>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</si>
  <si>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</si>
  <si>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</si>
  <si>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</si>
  <si>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</si>
  <si>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</si>
  <si>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</si>
  <si>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</si>
  <si>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</si>
  <si>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</si>
  <si>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</si>
  <si>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</si>
  <si>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</si>
  <si>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</si>
  <si>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</si>
  <si>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</si>
  <si>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</si>
  <si>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</si>
  <si>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</si>
  <si>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</si>
  <si>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</si>
  <si>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</si>
  <si>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</si>
  <si>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</si>
  <si>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</si>
  <si>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</si>
  <si>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</si>
  <si>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</si>
  <si>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</si>
  <si>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</si>
  <si>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</si>
  <si>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</si>
  <si>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</si>
  <si>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</si>
  <si>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</si>
  <si>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</si>
  <si>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</si>
  <si>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</si>
  <si>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</si>
  <si>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</si>
  <si>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</si>
  <si>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</si>
  <si>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</si>
  <si>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</si>
  <si>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</si>
  <si>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</si>
  <si>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</si>
  <si>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</si>
  <si>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</si>
  <si>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</si>
  <si>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</si>
  <si>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</si>
  <si>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</si>
  <si>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</si>
  <si>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</si>
  <si>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</si>
  <si>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</si>
  <si>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</si>
  <si>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</si>
  <si>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</si>
  <si>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</si>
  <si>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</si>
  <si>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</si>
  <si>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</si>
  <si>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</si>
  <si>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</si>
  <si>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</si>
  <si>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</si>
  <si>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</si>
  <si>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</si>
  <si>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</si>
  <si>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</si>
  <si>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</si>
  <si>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</si>
  <si>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</si>
  <si>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</si>
  <si>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</si>
  <si>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</si>
  <si>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</si>
  <si>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</si>
  <si>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</si>
  <si>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</si>
  <si>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</si>
  <si>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</si>
  <si>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</si>
  <si>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</si>
  <si>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</si>
  <si>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</si>
  <si>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</si>
  <si>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</si>
  <si>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</si>
  <si>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</si>
  <si>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</si>
  <si>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</si>
  <si>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</si>
  <si>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</si>
  <si>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</si>
  <si>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</si>
  <si>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</si>
  <si>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</si>
  <si>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</si>
  <si>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</si>
  <si>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</si>
  <si>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</si>
  <si>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</si>
  <si>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</si>
  <si>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</si>
  <si>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</si>
  <si>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</si>
  <si>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</si>
  <si>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</si>
  <si>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</si>
  <si>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</si>
  <si>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</si>
  <si>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</si>
  <si>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</si>
  <si>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</si>
  <si>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</si>
  <si>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</si>
  <si>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</si>
  <si>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</si>
  <si>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</si>
  <si>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</si>
  <si>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</si>
  <si>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</si>
  <si>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</si>
  <si>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</si>
  <si>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</si>
  <si>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</si>
  <si>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</si>
  <si>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</si>
  <si>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</si>
  <si>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</si>
  <si>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</si>
  <si>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</si>
  <si>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</si>
  <si>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</si>
  <si>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</si>
  <si>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</si>
  <si>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</si>
  <si>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</si>
  <si>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</si>
  <si>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</si>
  <si>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</si>
  <si>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</si>
  <si>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</si>
  <si>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</si>
  <si>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</si>
  <si>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</si>
  <si>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</si>
  <si>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</si>
  <si>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</si>
  <si>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</si>
  <si>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</si>
  <si>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</si>
  <si>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</si>
  <si>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</si>
  <si>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</si>
  <si>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</si>
  <si>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</si>
  <si>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</si>
  <si>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</si>
  <si>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</si>
  <si>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</si>
  <si>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</si>
  <si>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</si>
  <si>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</si>
  <si>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</si>
  <si>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</si>
  <si>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</si>
  <si>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</si>
  <si>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</si>
  <si>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</si>
  <si>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</si>
  <si>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</si>
  <si>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</si>
  <si>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</si>
  <si>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</si>
  <si>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</si>
  <si>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</si>
  <si>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</si>
  <si>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</si>
  <si>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</si>
  <si>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</si>
  <si>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</si>
  <si>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</si>
  <si>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</si>
  <si>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</si>
  <si>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</si>
  <si>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</si>
  <si>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</si>
  <si>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</si>
  <si>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</si>
  <si>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</si>
  <si>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</si>
  <si>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</si>
  <si>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</si>
  <si>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</si>
  <si>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</si>
  <si>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</si>
  <si>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</si>
  <si>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</si>
  <si>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</si>
  <si>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</si>
  <si>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</si>
  <si>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</si>
  <si>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</si>
  <si>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</si>
  <si>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</si>
  <si>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</si>
  <si>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</si>
  <si>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</si>
  <si>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</si>
  <si>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</si>
  <si>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</si>
  <si>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</si>
  <si>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</si>
  <si>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</si>
  <si>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</si>
  <si>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</si>
  <si>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</si>
  <si>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</si>
  <si>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</si>
  <si>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</si>
  <si>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</si>
  <si>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</si>
  <si>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</si>
  <si>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</si>
  <si>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</si>
  <si>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</si>
  <si>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</si>
  <si>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</si>
  <si>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</si>
  <si>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</si>
  <si>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</si>
  <si>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</si>
  <si>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</si>
  <si>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</si>
  <si>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</si>
  <si>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</si>
  <si>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</si>
  <si>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</si>
  <si>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</si>
  <si>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</si>
  <si>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</si>
  <si>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</si>
  <si>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</si>
  <si>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</si>
  <si>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</si>
  <si>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</si>
  <si>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</si>
  <si>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</si>
  <si>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</si>
  <si>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</si>
  <si>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</si>
  <si>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</si>
  <si>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</si>
  <si>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</si>
  <si>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</si>
  <si>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</si>
  <si>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</si>
  <si>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</si>
  <si>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</si>
  <si>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</si>
  <si>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</si>
  <si>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</si>
  <si>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</si>
  <si>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</si>
  <si>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</si>
  <si>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</si>
  <si>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</si>
  <si>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</si>
  <si>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</si>
  <si>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</si>
  <si>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</si>
  <si>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</si>
  <si>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</si>
  <si>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</si>
  <si>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</si>
  <si>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</si>
  <si>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</si>
  <si>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</si>
  <si>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</si>
  <si>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</si>
  <si>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</si>
  <si>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</si>
  <si>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</si>
  <si>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</si>
  <si>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</si>
  <si>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</si>
  <si>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</si>
  <si>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</si>
  <si>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</si>
  <si>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</si>
  <si>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</si>
  <si>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</si>
  <si>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</si>
  <si>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</si>
  <si>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</si>
  <si>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</si>
  <si>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</si>
  <si>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</si>
  <si>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</si>
  <si>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</si>
  <si>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</si>
  <si>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</si>
  <si>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</si>
  <si>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</si>
  <si>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</si>
  <si>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</si>
  <si>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</si>
  <si>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</si>
  <si>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</si>
  <si>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</si>
  <si>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</si>
  <si>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</si>
  <si>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</si>
  <si>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</si>
  <si>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</si>
  <si>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</si>
  <si>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</si>
  <si>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</si>
  <si>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</si>
  <si>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</si>
  <si>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</si>
  <si>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</si>
  <si>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</si>
  <si>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</si>
  <si>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</si>
  <si>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</si>
  <si>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</si>
  <si>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</si>
  <si>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</si>
  <si>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</si>
  <si>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</si>
  <si>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</si>
  <si>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</si>
  <si>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</si>
  <si>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</si>
  <si>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</si>
  <si>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</si>
  <si>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</si>
  <si>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</si>
  <si>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</si>
  <si>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</si>
  <si>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</si>
  <si>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</si>
  <si>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</si>
  <si>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</si>
  <si>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</si>
  <si>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</si>
  <si>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</si>
  <si>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</si>
  <si>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</si>
  <si>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</si>
  <si>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</si>
  <si>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</si>
  <si>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</si>
  <si>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</si>
  <si>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</si>
  <si>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</si>
  <si>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</si>
  <si>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</si>
  <si>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</si>
  <si>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</si>
  <si>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</si>
  <si>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</si>
  <si>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</si>
  <si>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</si>
  <si>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</si>
  <si>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</si>
  <si>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</si>
  <si>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</si>
  <si>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</si>
  <si>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</si>
  <si>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</si>
  <si>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</si>
  <si>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</si>
  <si>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</si>
  <si>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</si>
  <si>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</si>
  <si>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</si>
  <si>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</si>
  <si>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</si>
  <si>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</si>
  <si>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</si>
  <si>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</si>
  <si>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</si>
  <si>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</si>
  <si>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</si>
  <si>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</si>
  <si>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</si>
  <si>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</si>
  <si>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</si>
  <si>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</si>
  <si>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</si>
  <si>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</si>
  <si>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</si>
  <si>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</si>
  <si>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</si>
  <si>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</si>
  <si>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</si>
  <si>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</si>
  <si>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</si>
  <si>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</si>
  <si>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</si>
  <si>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</si>
  <si>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</si>
  <si>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</si>
  <si>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</si>
  <si>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</si>
  <si>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</si>
  <si>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</si>
  <si>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</si>
  <si>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</si>
  <si>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</si>
  <si>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</si>
  <si>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</si>
  <si>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</si>
  <si>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</si>
  <si>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</si>
  <si>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</si>
  <si>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</si>
  <si>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</si>
  <si>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</si>
  <si>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</si>
  <si>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</si>
  <si>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</si>
  <si>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</si>
  <si>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</si>
  <si>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</si>
  <si>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</si>
  <si>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</si>
  <si>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</si>
  <si>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</si>
  <si>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</si>
  <si>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</si>
  <si>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</si>
  <si>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</si>
  <si>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</si>
  <si>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</si>
  <si>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</si>
  <si>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</si>
  <si>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</si>
  <si>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</si>
  <si>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</si>
  <si>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</si>
  <si>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</si>
  <si>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</si>
  <si>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</si>
  <si>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</si>
  <si>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</si>
  <si>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</si>
  <si>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</si>
  <si>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</si>
  <si>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</si>
  <si>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</si>
  <si>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</si>
  <si>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</si>
  <si>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</si>
  <si>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</si>
  <si>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</si>
  <si>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</si>
  <si>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</si>
  <si>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</si>
  <si>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</si>
  <si>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</si>
  <si>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</si>
  <si>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</si>
  <si>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</si>
  <si>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</si>
  <si>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</si>
  <si>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</si>
  <si>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</si>
  <si>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</si>
  <si>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</si>
  <si>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</si>
  <si>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</si>
  <si>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</si>
  <si>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</si>
  <si>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</si>
  <si>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</si>
  <si>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</si>
  <si>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</si>
  <si>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</si>
  <si>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</si>
  <si>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</si>
  <si>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</si>
  <si>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</si>
  <si>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</si>
  <si>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</si>
  <si>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</si>
  <si>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</si>
  <si>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</si>
  <si>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</si>
  <si>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</si>
  <si>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</si>
  <si>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</si>
  <si>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</si>
  <si>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</si>
  <si>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</si>
  <si>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</si>
  <si>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</si>
  <si>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</si>
  <si>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</si>
  <si>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</si>
  <si>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</si>
  <si>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</si>
  <si>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</si>
  <si>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</si>
  <si>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</si>
  <si>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</si>
  <si>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</si>
  <si>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</si>
  <si>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</si>
  <si>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</si>
  <si>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</si>
  <si>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</si>
  <si>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</si>
  <si>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</si>
  <si>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</si>
  <si>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</si>
  <si>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</si>
  <si>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</si>
  <si>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</si>
  <si>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</si>
  <si>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</si>
  <si>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</si>
  <si>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</si>
  <si>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</si>
  <si>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</si>
  <si>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</si>
  <si>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</si>
  <si>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</si>
  <si>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</si>
  <si>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</si>
  <si>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</si>
  <si>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</si>
  <si>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</si>
  <si>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</si>
  <si>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</si>
  <si>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</si>
  <si>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</si>
  <si>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</si>
  <si>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</si>
  <si>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</si>
  <si>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</si>
  <si>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</si>
  <si>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</si>
  <si>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</si>
  <si>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</si>
  <si>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</si>
  <si>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</si>
  <si>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</si>
  <si>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</si>
  <si>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</si>
  <si>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</si>
  <si>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</si>
  <si>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</si>
  <si>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</si>
  <si>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</si>
  <si>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</si>
  <si>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</si>
  <si>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</si>
  <si>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</si>
  <si>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</si>
  <si>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</si>
  <si>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</si>
  <si>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</si>
  <si>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</si>
  <si>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</si>
  <si>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</si>
  <si>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</si>
  <si>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</si>
  <si>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</si>
  <si>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</si>
  <si>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</si>
  <si>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</si>
  <si>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</si>
  <si>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</si>
  <si>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</si>
  <si>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</si>
  <si>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</si>
  <si>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</si>
  <si>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</si>
  <si>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</si>
  <si>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</si>
  <si>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</si>
  <si>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</si>
  <si>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</si>
  <si>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</si>
  <si>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</si>
  <si>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</si>
  <si>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</si>
  <si>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</si>
  <si>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</si>
  <si>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</si>
  <si>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</si>
  <si>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</si>
  <si>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</si>
  <si>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</si>
  <si>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</si>
  <si>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</si>
  <si>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</si>
  <si>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</si>
  <si>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</si>
  <si>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</si>
  <si>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</si>
  <si>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</si>
  <si>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</si>
  <si>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</si>
  <si>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</si>
  <si>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</si>
  <si>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</si>
  <si>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</si>
  <si>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</si>
  <si>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</si>
  <si>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</si>
  <si>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</si>
  <si>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</si>
  <si>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</si>
  <si>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</si>
  <si>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</si>
  <si>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</si>
  <si>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</si>
  <si>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</si>
  <si>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</si>
  <si>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</si>
  <si>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</si>
  <si>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</si>
  <si>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</si>
  <si>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</si>
  <si>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</si>
  <si>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</si>
  <si>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</si>
  <si>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</si>
  <si>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</si>
  <si>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</si>
  <si>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</si>
  <si>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</si>
  <si>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</si>
  <si>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</si>
  <si>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</si>
  <si>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</si>
  <si>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</si>
  <si>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</si>
  <si>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</si>
  <si>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</si>
  <si>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</si>
  <si>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</si>
  <si>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</si>
  <si>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</si>
  <si>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</si>
  <si>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</si>
  <si>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</si>
  <si>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</si>
  <si>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</si>
  <si>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</si>
  <si>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</si>
  <si>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</si>
  <si>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</si>
  <si>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</si>
  <si>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</si>
  <si>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</si>
  <si>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</si>
  <si>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</si>
  <si>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</si>
  <si>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</si>
  <si>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</si>
  <si>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</si>
  <si>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</si>
  <si>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</si>
  <si>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</si>
  <si>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</si>
  <si>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</si>
  <si>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</si>
  <si>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</si>
  <si>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</si>
  <si>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</si>
  <si>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</si>
  <si>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</si>
  <si>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</si>
  <si>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</si>
  <si>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</si>
  <si>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</si>
  <si>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</si>
  <si>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</si>
  <si>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</si>
  <si>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</si>
  <si>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</si>
  <si>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</si>
  <si>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</si>
  <si>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</si>
  <si>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</si>
  <si>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</si>
  <si>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</si>
  <si>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</si>
  <si>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</si>
  <si>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</si>
  <si>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</si>
  <si>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</si>
  <si>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</si>
  <si>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</si>
  <si>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</si>
  <si>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</si>
  <si>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</si>
  <si>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</si>
  <si>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</si>
  <si>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</si>
  <si>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</si>
  <si>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</si>
  <si>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</si>
  <si>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</si>
  <si>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</si>
  <si>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</si>
  <si>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</si>
  <si>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</si>
  <si>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</si>
  <si>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</si>
  <si>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</si>
  <si>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</si>
  <si>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</si>
  <si>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</si>
  <si>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</si>
  <si>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</si>
  <si>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</si>
  <si>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</si>
  <si>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</si>
  <si>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</si>
  <si>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</si>
  <si>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</si>
  <si>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</si>
  <si>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</si>
  <si>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</si>
  <si>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</si>
  <si>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</si>
  <si>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</si>
  <si>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</si>
  <si>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</si>
  <si>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</si>
  <si>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</si>
  <si>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</si>
  <si>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</si>
  <si>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</si>
  <si>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</si>
  <si>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</si>
  <si>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</si>
  <si>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</si>
  <si>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</si>
  <si>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</si>
  <si>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</si>
  <si>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</si>
  <si>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</si>
  <si>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</si>
  <si>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</si>
  <si>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</si>
  <si>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</si>
  <si>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</si>
  <si>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</si>
  <si>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</si>
  <si>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</si>
  <si>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</si>
  <si>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</si>
  <si>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</si>
  <si>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</si>
  <si>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</si>
  <si>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</si>
  <si>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</si>
  <si>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</si>
  <si>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</si>
  <si>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</si>
  <si>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</si>
  <si>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</si>
  <si>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</si>
  <si>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</si>
  <si>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</si>
  <si>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</si>
  <si>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</si>
  <si>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</si>
  <si>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</si>
  <si>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</si>
  <si>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</si>
  <si>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</si>
  <si>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</si>
  <si>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</si>
  <si>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</si>
  <si>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</si>
  <si>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</si>
  <si>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</si>
  <si>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</si>
  <si>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</si>
  <si>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</si>
  <si>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</si>
  <si>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</si>
  <si>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</si>
  <si>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</si>
  <si>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</si>
  <si>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</si>
  <si>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</si>
  <si>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</si>
  <si>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</si>
  <si>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</si>
  <si>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</si>
  <si>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</si>
  <si>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</si>
  <si>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</si>
  <si>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</si>
  <si>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</si>
  <si>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</si>
  <si>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</si>
  <si>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</si>
  <si>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</si>
  <si>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</si>
  <si>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</si>
  <si>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</si>
  <si>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</si>
  <si>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</si>
  <si>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</si>
  <si>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</si>
  <si>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</si>
  <si>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</si>
  <si>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</si>
  <si>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</si>
  <si>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</si>
  <si>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</si>
  <si>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</si>
  <si>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</si>
  <si>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</si>
  <si>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</si>
  <si>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</si>
  <si>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</si>
  <si>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</si>
  <si>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</si>
  <si>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</si>
  <si>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</si>
  <si>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</si>
  <si>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</si>
  <si>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</si>
  <si>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</si>
  <si>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</si>
  <si>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</si>
  <si>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</si>
  <si>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</si>
  <si>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</si>
  <si>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</si>
  <si>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</si>
  <si>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</si>
  <si>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</si>
  <si>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</si>
  <si>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</si>
  <si>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</si>
  <si>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</si>
  <si>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</si>
  <si>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</si>
  <si>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</si>
  <si>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</si>
  <si>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</si>
  <si>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</si>
  <si>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</si>
  <si>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</si>
  <si>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</si>
  <si>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</si>
  <si>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</si>
  <si>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</si>
  <si>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</si>
  <si>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</si>
  <si>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</si>
  <si>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</si>
  <si>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</si>
  <si>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</si>
  <si>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</si>
  <si>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</si>
  <si>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</si>
  <si>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</si>
  <si>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</si>
  <si>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</si>
  <si>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</si>
  <si>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</si>
  <si>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</si>
  <si>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</si>
  <si>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</si>
  <si>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</si>
  <si>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</si>
  <si>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</si>
  <si>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</si>
  <si>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</si>
  <si>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</si>
  <si>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</si>
  <si>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</si>
  <si>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</si>
  <si>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</si>
  <si>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</si>
  <si>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</si>
  <si>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</si>
  <si>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</si>
  <si>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</si>
  <si>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</si>
  <si>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</si>
  <si>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</si>
  <si>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</si>
  <si>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</si>
  <si>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</si>
  <si>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</si>
  <si>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</si>
  <si>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</si>
  <si>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</si>
  <si>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</si>
  <si>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</si>
  <si>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</si>
  <si>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</si>
  <si>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</si>
  <si>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</si>
  <si>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</si>
  <si>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</si>
  <si>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</si>
  <si>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</si>
  <si>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</si>
  <si>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</si>
  <si>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</si>
  <si>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</si>
  <si>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</si>
  <si>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</si>
  <si>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</si>
  <si>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</si>
  <si>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</si>
  <si>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</si>
  <si>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</si>
  <si>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</si>
  <si>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</si>
  <si>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</si>
  <si>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</si>
  <si>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</si>
  <si>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</si>
  <si>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</si>
  <si>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</si>
  <si>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</si>
  <si>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</si>
  <si>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</si>
  <si>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</si>
  <si>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</si>
  <si>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</si>
  <si>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</si>
  <si>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</si>
  <si>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</si>
  <si>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</si>
  <si>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</si>
  <si>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</si>
  <si>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</si>
  <si>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</si>
  <si>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</si>
  <si>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</si>
  <si>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</si>
  <si>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</si>
  <si>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</si>
  <si>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</si>
  <si>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</si>
  <si>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</si>
  <si>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</si>
  <si>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</si>
  <si>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</si>
  <si>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</si>
  <si>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</si>
  <si>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</si>
  <si>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</si>
  <si>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</si>
  <si>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</si>
  <si>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</si>
  <si>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</si>
  <si>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</si>
  <si>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</si>
  <si>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</si>
  <si>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</si>
  <si>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</si>
  <si>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</si>
  <si>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</si>
  <si>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</si>
  <si>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</si>
  <si>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</si>
  <si>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</si>
  <si>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</si>
  <si>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</si>
  <si>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</si>
  <si>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</si>
  <si>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</si>
  <si>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</si>
  <si>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</si>
  <si>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</si>
  <si>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</si>
  <si>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</si>
  <si>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</si>
  <si>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</si>
  <si>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</si>
  <si>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</si>
  <si>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</si>
  <si>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</si>
  <si>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</si>
  <si>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</si>
  <si>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</si>
  <si>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</si>
  <si>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</si>
  <si>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</si>
  <si>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</si>
  <si>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</si>
  <si>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</si>
  <si>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</si>
  <si>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</si>
  <si>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</si>
  <si>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</si>
  <si>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</si>
  <si>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</si>
  <si>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</si>
  <si>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</si>
  <si>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</si>
  <si>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</si>
  <si>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</si>
  <si>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</si>
  <si>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</si>
  <si>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</si>
  <si>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</si>
  <si>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</si>
  <si>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</si>
  <si>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</si>
  <si>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</si>
  <si>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</si>
  <si>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</si>
  <si>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</si>
  <si>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</si>
  <si>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</si>
  <si>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</si>
  <si>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</si>
  <si>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</si>
  <si>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</si>
  <si>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</si>
  <si>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</si>
  <si>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</si>
  <si>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</si>
  <si>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</si>
  <si>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</si>
  <si>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</si>
  <si>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</si>
  <si>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</si>
  <si>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</si>
  <si>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</si>
  <si>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</si>
  <si>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</si>
  <si>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</si>
  <si>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</si>
  <si>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</si>
  <si>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</si>
  <si>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</si>
  <si>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</si>
  <si>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</si>
  <si>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</si>
  <si>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</si>
  <si>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</si>
  <si>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</si>
  <si>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</si>
  <si>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</si>
  <si>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</si>
  <si>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</si>
  <si>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</si>
  <si>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</si>
  <si>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</si>
  <si>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</si>
  <si>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</si>
  <si>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</si>
  <si>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</si>
  <si>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</si>
  <si>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</si>
  <si>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</si>
  <si>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</si>
  <si>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</si>
  <si>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</si>
  <si>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</si>
  <si>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</si>
  <si>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</si>
  <si>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</si>
  <si>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</si>
  <si>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</si>
  <si>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</si>
  <si>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</si>
  <si>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</si>
  <si>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</si>
  <si>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</si>
  <si>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</si>
  <si>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</si>
  <si>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</si>
  <si>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</si>
  <si>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</si>
  <si>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</si>
  <si>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</si>
  <si>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</si>
  <si>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</si>
  <si>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</si>
  <si>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</si>
  <si>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</si>
  <si>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</si>
  <si>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</si>
  <si>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</si>
  <si>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</si>
  <si>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</si>
  <si>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</si>
  <si>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</si>
  <si>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</si>
  <si>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</si>
  <si>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</si>
  <si>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</si>
  <si>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</si>
  <si>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</si>
  <si>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</si>
  <si>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</si>
  <si>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</si>
  <si>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</si>
  <si>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</si>
  <si>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</si>
  <si>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</si>
  <si>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</si>
  <si>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</si>
  <si>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</si>
  <si>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</si>
  <si>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</si>
  <si>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</si>
  <si>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</si>
  <si>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</si>
  <si>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</si>
  <si>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</si>
  <si>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</si>
  <si>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</si>
  <si>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</si>
  <si>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</si>
  <si>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</si>
  <si>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</si>
  <si>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</si>
  <si>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</si>
  <si>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</si>
  <si>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</si>
  <si>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</si>
  <si>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</si>
  <si>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</si>
  <si>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</si>
  <si>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</si>
  <si>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</si>
  <si>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</si>
  <si>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</si>
  <si>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</si>
  <si>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</si>
  <si>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</si>
  <si>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</si>
  <si>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</si>
  <si>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</si>
  <si>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</si>
  <si>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</si>
  <si>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</si>
  <si>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</si>
  <si>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</si>
  <si>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</si>
  <si>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</si>
  <si>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</si>
  <si>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</si>
  <si>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</si>
  <si>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</si>
  <si>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</si>
  <si>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</si>
  <si>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</si>
  <si>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</si>
  <si>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</si>
  <si>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</si>
  <si>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</si>
  <si>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</si>
  <si>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</si>
  <si>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</si>
  <si>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</si>
  <si>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</si>
  <si>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</si>
  <si>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</si>
  <si>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</si>
  <si>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</si>
  <si>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</si>
  <si>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</si>
  <si>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</si>
  <si>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</si>
  <si>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</si>
  <si>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</si>
  <si>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</si>
  <si>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</si>
  <si>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</si>
  <si>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</si>
  <si>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</si>
  <si>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</si>
  <si>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</si>
  <si>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</si>
  <si>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</si>
  <si>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</si>
  <si>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</si>
  <si>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</si>
  <si>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</si>
  <si>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</si>
  <si>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</si>
  <si>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</si>
  <si>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</si>
  <si>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</si>
  <si>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</si>
  <si>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</si>
  <si>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</si>
  <si>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</si>
  <si>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</si>
  <si>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</si>
  <si>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</si>
  <si>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</si>
  <si>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</si>
  <si>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</si>
  <si>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</si>
  <si>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</si>
  <si>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</si>
  <si>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</si>
  <si>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</si>
  <si>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</si>
  <si>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</si>
  <si>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</si>
  <si>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</si>
  <si>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</si>
  <si>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</si>
  <si>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</si>
  <si>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</si>
  <si>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</si>
  <si>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</si>
  <si>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</si>
  <si>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</si>
  <si>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</si>
  <si>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</si>
  <si>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</si>
  <si>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</si>
  <si>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</si>
  <si>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</si>
  <si>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</si>
  <si>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</si>
  <si>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</si>
  <si>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</si>
  <si>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</si>
  <si>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</si>
  <si>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</si>
  <si>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</si>
  <si>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</si>
  <si>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</si>
  <si>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</si>
  <si>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</si>
  <si>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</si>
  <si>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</si>
  <si>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</si>
  <si>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</si>
  <si>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</si>
  <si>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</si>
  <si>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</si>
  <si>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</si>
  <si>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</si>
  <si>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</si>
  <si>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</si>
  <si>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</si>
  <si>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</si>
  <si>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</si>
  <si>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</si>
  <si>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</si>
  <si>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</si>
  <si>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</si>
  <si>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</si>
  <si>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</si>
  <si>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</si>
  <si>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</si>
  <si>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</si>
  <si>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</si>
  <si>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</si>
  <si>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</si>
  <si>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</si>
  <si>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</si>
  <si>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</si>
  <si>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</si>
  <si>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</si>
  <si>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</si>
  <si>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</si>
  <si>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</si>
  <si>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</si>
  <si>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</si>
  <si>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</si>
  <si>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</si>
  <si>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</si>
  <si>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</si>
  <si>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</si>
  <si>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</si>
  <si>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</si>
  <si>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</si>
  <si>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</si>
  <si>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</si>
  <si>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</si>
  <si>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</si>
  <si>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</si>
  <si>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</si>
  <si>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</si>
  <si>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</si>
  <si>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</si>
  <si>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</si>
  <si>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</si>
  <si>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</si>
  <si>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</si>
  <si>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</si>
  <si>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</si>
  <si>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</si>
  <si>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</si>
  <si>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</si>
  <si>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</si>
  <si>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</si>
  <si>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</si>
  <si>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</si>
  <si>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</si>
  <si>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</si>
  <si>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</si>
  <si>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</si>
  <si>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</si>
  <si>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</si>
  <si>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</si>
  <si>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</si>
  <si>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</si>
  <si>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</si>
  <si>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</si>
  <si>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</si>
  <si>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</si>
  <si>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</si>
  <si>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</si>
  <si>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</si>
  <si>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</si>
  <si>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</si>
  <si>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</si>
  <si>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</si>
  <si>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</si>
  <si>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</si>
  <si>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</si>
  <si>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</si>
  <si>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</si>
  <si>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</si>
  <si>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</si>
  <si>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</si>
  <si>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</si>
  <si>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</si>
  <si>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</si>
  <si>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</si>
  <si>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</si>
  <si>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</si>
  <si>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</si>
  <si>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</si>
  <si>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</si>
  <si>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</si>
  <si>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</si>
  <si>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</si>
  <si>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</si>
  <si>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</si>
  <si>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</si>
  <si>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</si>
  <si>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</si>
  <si>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</si>
  <si>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</si>
  <si>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</si>
  <si>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</si>
  <si>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</si>
  <si>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</si>
  <si>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</si>
  <si>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</si>
  <si>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</si>
  <si>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</si>
  <si>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</si>
  <si>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</si>
  <si>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</si>
  <si>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</si>
  <si>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</si>
  <si>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</si>
  <si>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</si>
  <si>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</si>
  <si>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</si>
  <si>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</si>
  <si>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</si>
  <si>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</si>
  <si>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</si>
  <si>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</si>
  <si>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</si>
  <si>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</si>
  <si>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</si>
  <si>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</si>
  <si>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</si>
  <si>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</si>
  <si>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</si>
  <si>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</si>
  <si>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</si>
  <si>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</si>
  <si>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</si>
  <si>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</si>
  <si>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</si>
  <si>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</si>
  <si>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</si>
  <si>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</si>
  <si>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</si>
  <si>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</si>
  <si>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</si>
  <si>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</si>
  <si>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</si>
  <si>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</si>
  <si>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</si>
  <si>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</si>
  <si>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</si>
  <si>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</si>
  <si>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</si>
  <si>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</si>
  <si>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</si>
  <si>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</si>
  <si>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</si>
  <si>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</si>
  <si>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</si>
  <si>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</si>
  <si>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</si>
  <si>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</si>
  <si>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</si>
  <si>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</si>
  <si>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</si>
  <si>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</si>
  <si>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</si>
  <si>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</si>
  <si>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</si>
  <si>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</si>
  <si>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</si>
  <si>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</si>
  <si>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</si>
  <si>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</si>
  <si>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</si>
  <si>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</si>
  <si>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</si>
  <si>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</si>
  <si>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</si>
  <si>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</si>
  <si>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</si>
  <si>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</si>
  <si>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</si>
  <si>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</si>
  <si>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</si>
  <si>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</si>
  <si>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</si>
  <si>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</si>
  <si>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</si>
  <si>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</si>
  <si>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</si>
  <si>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</si>
  <si>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抵押</t>
  </si>
  <si>
    <t>北京市</t>
  </si>
  <si>
    <t>是</t>
  </si>
  <si>
    <t>地上</t>
  </si>
  <si>
    <t>2008</t>
    <phoneticPr fontId="6" type="noConversion"/>
  </si>
  <si>
    <t>成新度</t>
  </si>
  <si>
    <t>自定义容积率</t>
  </si>
  <si>
    <t>不临65条商业街</t>
  </si>
  <si>
    <t>通路</t>
  </si>
  <si>
    <t>通电</t>
  </si>
  <si>
    <t>通讯</t>
  </si>
  <si>
    <t>通上水</t>
  </si>
  <si>
    <t>通下水</t>
  </si>
  <si>
    <t>平整</t>
  </si>
  <si>
    <t>较好</t>
  </si>
  <si>
    <t>好</t>
  </si>
  <si>
    <t>未包含在土地购买价格中</t>
  </si>
  <si>
    <t>已包含在土地取得成本中</t>
  </si>
  <si>
    <t>押一</t>
  </si>
  <si>
    <t>钢混</t>
  </si>
  <si>
    <t>非生产用房</t>
  </si>
  <si>
    <t>办公</t>
    <phoneticPr fontId="7" type="noConversion"/>
  </si>
  <si>
    <t>容积率修正</t>
  </si>
  <si>
    <t>商务金融用地</t>
  </si>
  <si>
    <t>与级别开发程度一致</t>
  </si>
  <si>
    <t>部分缴纳</t>
  </si>
  <si>
    <t>成本法</t>
  </si>
  <si>
    <t>收益法</t>
  </si>
  <si>
    <t>总价</t>
  </si>
  <si>
    <t>成本比率</t>
  </si>
  <si>
    <t>建筑物价值</t>
  </si>
  <si>
    <r>
      <t>3-23</t>
    </r>
    <r>
      <rPr>
        <sz val="10"/>
        <color indexed="8"/>
        <rFont val="宋体"/>
        <family val="3"/>
        <charset val="134"/>
      </rPr>
      <t>层部分</t>
    </r>
    <phoneticPr fontId="3" type="noConversion"/>
  </si>
  <si>
    <t>朝阳区朝外大街乙12号</t>
    <phoneticPr fontId="6" type="noConversion"/>
  </si>
  <si>
    <t>中心城区</t>
  </si>
  <si>
    <t>否</t>
  </si>
  <si>
    <t>情况3</t>
  </si>
  <si>
    <t>正常</t>
  </si>
  <si>
    <t>自行开发建设</t>
  </si>
  <si>
    <t>非个人房产</t>
  </si>
  <si>
    <t>房地产抵押价值</t>
  </si>
  <si>
    <t>2023-4</t>
    <phoneticPr fontId="3" type="noConversion"/>
  </si>
  <si>
    <t>2023-4</t>
    <phoneticPr fontId="3" type="noConversion"/>
  </si>
  <si>
    <t>企业</t>
  </si>
  <si>
    <t>2023年9月昆泰国际大厦客户资料</t>
  </si>
  <si>
    <t>序号</t>
  </si>
  <si>
    <t>房间号</t>
  </si>
  <si>
    <t>客户名称</t>
  </si>
  <si>
    <t>租赁期限</t>
  </si>
  <si>
    <t>年份</t>
  </si>
  <si>
    <t>租赁面积
(平米)</t>
  </si>
  <si>
    <t>合同单价
(平米/天)</t>
  </si>
  <si>
    <t>日租金</t>
  </si>
  <si>
    <t>租金（元/月）</t>
  </si>
  <si>
    <t>301-305</t>
  </si>
  <si>
    <t>鹏博士电信传媒集团股份有限公司</t>
  </si>
  <si>
    <t>2021.12.18-2024.12.17</t>
  </si>
  <si>
    <t>京港利汇商业运营管理（北京）有限公司</t>
  </si>
  <si>
    <t>2022.07.18-2024.12.17</t>
  </si>
  <si>
    <t>307-311</t>
  </si>
  <si>
    <t>鹏博士电信传媒集团股份有限公司北京技术开发分公司</t>
  </si>
  <si>
    <t>312-316</t>
  </si>
  <si>
    <t>北京鹏博士大数据科技有限公司</t>
  </si>
  <si>
    <t>501-516</t>
  </si>
  <si>
    <t>国家管网集团新疆煤制天然气外输管道有限责任公司</t>
  </si>
  <si>
    <t>2021.08.01-2024.07.31</t>
  </si>
  <si>
    <t>602-603</t>
  </si>
  <si>
    <t>北京昆泰控股集团有限公司</t>
  </si>
  <si>
    <t>2023.08.21-2023.12.31</t>
  </si>
  <si>
    <t>603A-606</t>
  </si>
  <si>
    <t>北京亿鑫商务咨询有限公司</t>
  </si>
  <si>
    <t>2023.05.01-2024.04.30</t>
  </si>
  <si>
    <t>611-612B\1001\1003A\1615\1803-05</t>
  </si>
  <si>
    <t>2021.03.10-2023.03.09</t>
  </si>
  <si>
    <t>701-707、715</t>
  </si>
  <si>
    <t>石化盈科信息技术有限责任公司上海分公司</t>
  </si>
  <si>
    <t>2022.10.25-2024.10.24</t>
  </si>
  <si>
    <t>上海力德人才服务有限公司北京分公司</t>
  </si>
  <si>
    <t>2022.10.17-2025.10.16</t>
  </si>
  <si>
    <t>1002-1003</t>
  </si>
  <si>
    <t>北京集易行科技有限公司</t>
  </si>
  <si>
    <t>2022.10.20-2024.10.19</t>
  </si>
  <si>
    <t xml:space="preserve">哈金森工业橡胶制品（苏州）有限公司 </t>
  </si>
  <si>
    <t>2021.05.22-2023.07.21 2023.07.22-2025.09.21</t>
  </si>
  <si>
    <t>1101、1115</t>
  </si>
  <si>
    <t>2023.06.25-2023.12.24</t>
  </si>
  <si>
    <t>1102-03</t>
  </si>
  <si>
    <t>2023.3.15-2024.3.14</t>
  </si>
  <si>
    <t>1103A-1106</t>
  </si>
  <si>
    <t>汇鑫宇航（北京）金融服务外包有限公司</t>
  </si>
  <si>
    <t>2023.06.15-2025.06.14</t>
  </si>
  <si>
    <t>湘财证券股份有限公司北京朝外大街证券营业部</t>
  </si>
  <si>
    <t>2020.11.23-2023.11.22</t>
  </si>
  <si>
    <t>1108-1109空</t>
  </si>
  <si>
    <t>北京CCCIS信息技术有限公司</t>
  </si>
  <si>
    <t>2022.11.05-2025.11.04</t>
  </si>
  <si>
    <t>北京自贸试验区朝阳投资有限公司</t>
  </si>
  <si>
    <t>2022.03.15-2023.03.14 2023.03.15-2024.03.14</t>
  </si>
  <si>
    <t>1111-1112A</t>
  </si>
  <si>
    <t>不二越（中国）有限公司</t>
  </si>
  <si>
    <t>2019.07.23—2022.07.23 2022.07.24-2023.07.23 2023.07.24-2024.07.23</t>
  </si>
  <si>
    <t>1112B</t>
  </si>
  <si>
    <t>阳光信用保证保险股份有限公司</t>
  </si>
  <si>
    <t>2021.12.30-2022.12.29 2022.12.31-2023.12.20</t>
  </si>
  <si>
    <t>北京北方鑫亿金融服务外包有限公司</t>
  </si>
  <si>
    <t>2023.08.20-2024.08.19</t>
  </si>
  <si>
    <t>1201-1202A、1212A-1215</t>
  </si>
  <si>
    <t>明亚保险经纪股份有限公司</t>
  </si>
  <si>
    <t>2021.12.10-2024.12.09</t>
  </si>
  <si>
    <t>1202B、1208-12</t>
  </si>
  <si>
    <t>2021.12.01-2024.11.30</t>
  </si>
  <si>
    <t>1203-07</t>
  </si>
  <si>
    <t>2021.11.01-2024.10.31</t>
  </si>
  <si>
    <t>1501-06、1512A-16</t>
  </si>
  <si>
    <t>精鼎医药研究开发（上海）有限公司</t>
  </si>
  <si>
    <t>2018.02.16-2020.02.15    2020.02.16-2021.02.15、2021.02.16-2023.02.15 2023.2.16-2025.2.15</t>
  </si>
  <si>
    <t>1510-1511</t>
  </si>
  <si>
    <t>山东康桥（北京）律师事务所</t>
  </si>
  <si>
    <t>2021.10.15-2023.10.14</t>
  </si>
  <si>
    <t>盛视科技股份有限公司北京分公司</t>
  </si>
  <si>
    <t>2021.12.20-2023.12.09</t>
  </si>
  <si>
    <t>北京力众智诚科技有限公司</t>
  </si>
  <si>
    <t>2022.07.01-2024.06.30</t>
  </si>
  <si>
    <t>1603A</t>
  </si>
  <si>
    <t>北京盈通祥业商业管理有限公司</t>
  </si>
  <si>
    <t>2023.2.25-2024.2.24</t>
  </si>
  <si>
    <t>1605A</t>
  </si>
  <si>
    <t>北京鸿盛奥业国际咨询有限公司</t>
  </si>
  <si>
    <t>2023.06.01-2025.05.31</t>
  </si>
  <si>
    <t>1605B</t>
  </si>
  <si>
    <t>北京安家乐享国际物业管理有限公司</t>
  </si>
  <si>
    <t>1606B</t>
  </si>
  <si>
    <t>北京新诚环球国际咨询有限公司</t>
  </si>
  <si>
    <t>1606A</t>
  </si>
  <si>
    <t>北京瑞鸿天宇投资咨询有限公司</t>
  </si>
  <si>
    <t>北京瑞鸿天宇国际信息咨询有限公司</t>
  </si>
  <si>
    <t>1608-1610</t>
  </si>
  <si>
    <t>北京众鑫助代信息技术有限公司</t>
  </si>
  <si>
    <t>2023.06.25-2024.06.24</t>
  </si>
  <si>
    <t>1616\1816\2216\2316\2616、1016</t>
  </si>
  <si>
    <t>北京昆泰房地产开发集团有限公司</t>
  </si>
  <si>
    <t>1701-03</t>
  </si>
  <si>
    <t>北京天天丁香园科技有限公司</t>
  </si>
  <si>
    <t>2023.06.10-2024.06.09</t>
  </si>
  <si>
    <t>北京金朝房地产发展有限公司</t>
  </si>
  <si>
    <t>2023.04.28-2023.10.27</t>
  </si>
  <si>
    <t>2023.09.25-2024.09.24</t>
  </si>
  <si>
    <t>2023.4.1-2024.6.30</t>
  </si>
  <si>
    <t>北京盛鼎昊业科技有限公司</t>
  </si>
  <si>
    <t>1903A</t>
  </si>
  <si>
    <t>信华投资咨询（广州）有限公司</t>
  </si>
  <si>
    <t>2023.08.10-2025.08.09</t>
  </si>
  <si>
    <t>北京红太阳药业有限公司</t>
  </si>
  <si>
    <t>2015.12.01-2021.11.30 2022.12.1-2023.11.30</t>
  </si>
  <si>
    <t>沃歌斯（北京）餐饮管理有限公司</t>
  </si>
  <si>
    <t>2020.12.31-2023.12.30</t>
  </si>
  <si>
    <t>2401、2412B、2415</t>
  </si>
  <si>
    <t>阳光财产保险股份有限公司北京分公司</t>
  </si>
  <si>
    <t>2021.12.28-2024.12.27</t>
  </si>
  <si>
    <t>2402-2403</t>
  </si>
  <si>
    <t>万辰时越（北京）服饰有限公司</t>
  </si>
  <si>
    <t>2023.04.15-2025.04.14</t>
  </si>
  <si>
    <t>2405-2408空</t>
  </si>
  <si>
    <t>北京东方天安科技有限公司</t>
  </si>
  <si>
    <t>布拉德福德教育咨询（北京）有限公司朝阳分公司/布拉德福德教育咨询（北京）有限公司</t>
  </si>
  <si>
    <t>2016.09.01-2023.08.31 2023.09.01-2025.08.31</t>
  </si>
  <si>
    <t>2410-2411</t>
  </si>
  <si>
    <t>瑞达期货股份有限公司北京分公司</t>
  </si>
  <si>
    <t>2023.05.21-2025.05.20</t>
  </si>
  <si>
    <t>富加宜连接器（上海）有限公司</t>
  </si>
  <si>
    <t>2019.10.08-2023.10.07</t>
  </si>
  <si>
    <t>合计</t>
  </si>
  <si>
    <t>直线</t>
    <phoneticPr fontId="3" type="noConversion"/>
  </si>
  <si>
    <t>观察</t>
    <phoneticPr fontId="3" type="noConversion"/>
  </si>
  <si>
    <t>综合</t>
    <phoneticPr fontId="3" type="noConversion"/>
  </si>
  <si>
    <t>建安取值</t>
    <phoneticPr fontId="134" type="noConversion"/>
  </si>
  <si>
    <t>单方建安</t>
    <phoneticPr fontId="3" type="noConversion"/>
  </si>
  <si>
    <t>合计</t>
    <phoneticPr fontId="3" type="noConversion"/>
  </si>
  <si>
    <t>主体</t>
    <phoneticPr fontId="3" type="noConversion"/>
  </si>
  <si>
    <t>地上</t>
    <phoneticPr fontId="3" type="noConversion"/>
  </si>
  <si>
    <t>装修</t>
    <phoneticPr fontId="3" type="noConversion"/>
  </si>
  <si>
    <t>设备</t>
    <phoneticPr fontId="3" type="noConversion"/>
  </si>
  <si>
    <t>综合平均</t>
  </si>
  <si>
    <t>仅含出让金</t>
  </si>
  <si>
    <t>出租面积</t>
    <phoneticPr fontId="134" type="noConversion"/>
  </si>
  <si>
    <t>总建筑面积</t>
    <phoneticPr fontId="134" type="noConversion"/>
  </si>
  <si>
    <t>出租率</t>
    <phoneticPr fontId="134" type="noConversion"/>
  </si>
  <si>
    <t>通热</t>
  </si>
  <si>
    <t>燃气</t>
  </si>
  <si>
    <t>——</t>
    <phoneticPr fontId="134" type="noConversion"/>
  </si>
  <si>
    <t>0-301</t>
  </si>
  <si>
    <t>0-302</t>
  </si>
  <si>
    <t>0-303</t>
  </si>
  <si>
    <t>0-303A</t>
  </si>
  <si>
    <t>0-305</t>
  </si>
  <si>
    <t>0-306</t>
  </si>
  <si>
    <t>0-307</t>
  </si>
  <si>
    <t>0-308</t>
  </si>
  <si>
    <t>0-309</t>
  </si>
  <si>
    <t>0-310</t>
  </si>
  <si>
    <t>0-311</t>
  </si>
  <si>
    <t>0-312</t>
  </si>
  <si>
    <t>0-312A</t>
  </si>
  <si>
    <t>0-312B</t>
  </si>
  <si>
    <t>0-315</t>
  </si>
  <si>
    <t>0-316</t>
  </si>
  <si>
    <t>0-501</t>
  </si>
  <si>
    <t>0-502</t>
  </si>
  <si>
    <t>0-503</t>
  </si>
  <si>
    <t>0-503A</t>
  </si>
  <si>
    <t>0-505</t>
  </si>
  <si>
    <t>0-506</t>
  </si>
  <si>
    <t>0-507</t>
  </si>
  <si>
    <t>0-508</t>
  </si>
  <si>
    <t>0-509</t>
  </si>
  <si>
    <t>0-510</t>
  </si>
  <si>
    <t>0-511</t>
  </si>
  <si>
    <t>0-512</t>
  </si>
  <si>
    <t>0-512A</t>
  </si>
  <si>
    <t>0-512B</t>
  </si>
  <si>
    <t>0-515</t>
  </si>
  <si>
    <t>0-516</t>
  </si>
  <si>
    <t>0-601</t>
  </si>
  <si>
    <t>0-602</t>
  </si>
  <si>
    <t>0-603</t>
  </si>
  <si>
    <t>0-603A</t>
  </si>
  <si>
    <t>0-605</t>
  </si>
  <si>
    <t>0-606</t>
  </si>
  <si>
    <t>0-607</t>
  </si>
  <si>
    <t>0-608</t>
  </si>
  <si>
    <t>0-609</t>
  </si>
  <si>
    <t>0-610</t>
  </si>
  <si>
    <t>0-611</t>
  </si>
  <si>
    <t>0-612</t>
  </si>
  <si>
    <t>0-612A</t>
  </si>
  <si>
    <t>0-612B</t>
  </si>
  <si>
    <t>0-615</t>
  </si>
  <si>
    <t>0-701</t>
  </si>
  <si>
    <t>0-702</t>
  </si>
  <si>
    <t>0-703</t>
  </si>
  <si>
    <t>0-703A</t>
  </si>
  <si>
    <t>0-705</t>
  </si>
  <si>
    <t>0-706</t>
  </si>
  <si>
    <t>0-707</t>
  </si>
  <si>
    <t>0-715</t>
  </si>
  <si>
    <t>0-801</t>
  </si>
  <si>
    <t>0-903A</t>
  </si>
  <si>
    <t>0-912A</t>
  </si>
  <si>
    <t>0-915</t>
  </si>
  <si>
    <t>0-1001</t>
  </si>
  <si>
    <t>0-1002</t>
  </si>
  <si>
    <t>0-1003</t>
  </si>
  <si>
    <t>0-1003A</t>
  </si>
  <si>
    <t>0-1006</t>
  </si>
  <si>
    <t>0-1016</t>
  </si>
  <si>
    <t>0-1101</t>
  </si>
  <si>
    <t>0-1102</t>
  </si>
  <si>
    <t>0-1103</t>
  </si>
  <si>
    <t>0-1103A</t>
  </si>
  <si>
    <t>0-1105</t>
  </si>
  <si>
    <t>0-1106</t>
  </si>
  <si>
    <t>0-1107</t>
  </si>
  <si>
    <t>0-1108</t>
  </si>
  <si>
    <t>0-1109</t>
  </si>
  <si>
    <t>0-1110</t>
  </si>
  <si>
    <t>0-1111</t>
  </si>
  <si>
    <t>0-1112</t>
  </si>
  <si>
    <t>0-1112A</t>
  </si>
  <si>
    <t>0-1112B</t>
  </si>
  <si>
    <t>0-1115</t>
  </si>
  <si>
    <t>0-1116</t>
  </si>
  <si>
    <t>0-1201</t>
  </si>
  <si>
    <t>0-1202</t>
  </si>
  <si>
    <t>0-1203</t>
  </si>
  <si>
    <t>0-1203A</t>
  </si>
  <si>
    <t>0-1205</t>
  </si>
  <si>
    <t>0-1206</t>
  </si>
  <si>
    <t>0-1207</t>
  </si>
  <si>
    <t>0-1208</t>
  </si>
  <si>
    <t>0-1209</t>
  </si>
  <si>
    <t>0-1210</t>
  </si>
  <si>
    <t>0-1211</t>
  </si>
  <si>
    <t>0-1212</t>
  </si>
  <si>
    <t>0-1212A</t>
  </si>
  <si>
    <t>0-1212B</t>
  </si>
  <si>
    <t>0-1215</t>
  </si>
  <si>
    <t>0-1501</t>
  </si>
  <si>
    <t>0-1502</t>
  </si>
  <si>
    <t>0-1503</t>
  </si>
  <si>
    <t>0-1503A</t>
  </si>
  <si>
    <t>0-1505</t>
  </si>
  <si>
    <t>0-1506</t>
  </si>
  <si>
    <t>0-1507</t>
  </si>
  <si>
    <t>0-1508</t>
  </si>
  <si>
    <t>0-1509</t>
  </si>
  <si>
    <t>0-1510</t>
  </si>
  <si>
    <t>0-1511</t>
  </si>
  <si>
    <t>0-1512</t>
  </si>
  <si>
    <t>0-1512A</t>
  </si>
  <si>
    <t>0-1512B</t>
  </si>
  <si>
    <t>0-1515</t>
  </si>
  <si>
    <t>0-1516</t>
  </si>
  <si>
    <t>0-1601</t>
  </si>
  <si>
    <t>0-1602</t>
  </si>
  <si>
    <t>0-1603</t>
  </si>
  <si>
    <t>0-1603A</t>
  </si>
  <si>
    <t>0-1605</t>
  </si>
  <si>
    <t>0-1606</t>
  </si>
  <si>
    <t>0-1607</t>
  </si>
  <si>
    <t>0-1608</t>
  </si>
  <si>
    <t>0-1609</t>
  </si>
  <si>
    <t>0-1610</t>
  </si>
  <si>
    <t>0-1611</t>
  </si>
  <si>
    <t>0-1612</t>
  </si>
  <si>
    <t>0-1612A</t>
  </si>
  <si>
    <t>0-1612B</t>
  </si>
  <si>
    <t>0-1615</t>
  </si>
  <si>
    <t>0-1616</t>
  </si>
  <si>
    <t>0-1701</t>
  </si>
  <si>
    <t>0-1702</t>
  </si>
  <si>
    <t>0-1703</t>
  </si>
  <si>
    <t>0-1703A</t>
  </si>
  <si>
    <t>0-1705</t>
  </si>
  <si>
    <t>0-1712</t>
  </si>
  <si>
    <t>0-1712A</t>
  </si>
  <si>
    <t>0-1801</t>
  </si>
  <si>
    <t>0-1802</t>
  </si>
  <si>
    <t>0-1803</t>
  </si>
  <si>
    <t>0-1803A</t>
  </si>
  <si>
    <t>0-1805</t>
  </si>
  <si>
    <t>0-1812A</t>
  </si>
  <si>
    <t>0-1815</t>
  </si>
  <si>
    <t>0-1816</t>
  </si>
  <si>
    <t>0-1901</t>
  </si>
  <si>
    <t>0-1902</t>
  </si>
  <si>
    <t>0-1903</t>
  </si>
  <si>
    <t>0-1903A</t>
  </si>
  <si>
    <t>0-1916</t>
  </si>
  <si>
    <t>0-2116</t>
  </si>
  <si>
    <t>0-2212B</t>
  </si>
  <si>
    <t>0-2216</t>
  </si>
  <si>
    <t>0-2303A</t>
  </si>
  <si>
    <t>0-2312B</t>
  </si>
  <si>
    <t>0-2315</t>
  </si>
  <si>
    <t>0-2316</t>
  </si>
  <si>
    <t>0-2401</t>
  </si>
  <si>
    <t>0-2402</t>
  </si>
  <si>
    <t>0-2403</t>
  </si>
  <si>
    <t>0-2403A</t>
  </si>
  <si>
    <t>0-2405</t>
  </si>
  <si>
    <t>0-2406</t>
  </si>
  <si>
    <t>0-2407</t>
  </si>
  <si>
    <t>0-2408</t>
  </si>
  <si>
    <t>0-2409</t>
  </si>
  <si>
    <t>0-2410</t>
  </si>
  <si>
    <t>0-2411</t>
  </si>
  <si>
    <t>0-2412</t>
  </si>
  <si>
    <t>0-2412A</t>
  </si>
  <si>
    <t>0-2412B</t>
  </si>
  <si>
    <t>0-2415</t>
  </si>
  <si>
    <t>0-2416</t>
  </si>
  <si>
    <t>0-2501</t>
  </si>
  <si>
    <t>0-2502</t>
  </si>
  <si>
    <t>0-2503</t>
  </si>
  <si>
    <t>0-2503A</t>
  </si>
  <si>
    <t>0-2505</t>
  </si>
  <si>
    <t>0-2506</t>
  </si>
  <si>
    <t>0-2507</t>
  </si>
  <si>
    <t>0-2508</t>
  </si>
  <si>
    <t>0-2509</t>
  </si>
  <si>
    <t>0-2510</t>
  </si>
  <si>
    <t>0-2511</t>
  </si>
  <si>
    <t>0-2512</t>
  </si>
  <si>
    <t>0-2512A</t>
  </si>
  <si>
    <t>0-2512B</t>
  </si>
  <si>
    <t>0-2515</t>
  </si>
  <si>
    <t>0-2516</t>
  </si>
  <si>
    <t>0-2612A</t>
  </si>
  <si>
    <t>0-2616</t>
  </si>
  <si>
    <t>1216</t>
    <phoneticPr fontId="134" type="noConversion"/>
  </si>
  <si>
    <t>1716</t>
    <phoneticPr fontId="134" type="noConversion"/>
  </si>
  <si>
    <t>616</t>
    <phoneticPr fontId="134" type="noConversion"/>
  </si>
  <si>
    <t>716</t>
    <phoneticPr fontId="134" type="noConversion"/>
  </si>
  <si>
    <t>916</t>
    <phoneticPr fontId="134" type="noConversion"/>
  </si>
  <si>
    <r>
      <rPr>
        <sz val="10"/>
        <rFont val="华文细黑"/>
        <family val="3"/>
        <charset val="134"/>
      </rPr>
      <t>序号</t>
    </r>
  </si>
  <si>
    <r>
      <rPr>
        <sz val="10"/>
        <rFont val="华文细黑"/>
        <family val="3"/>
        <charset val="134"/>
      </rPr>
      <t>所在楼层</t>
    </r>
    <phoneticPr fontId="134" type="noConversion"/>
  </si>
  <si>
    <r>
      <rPr>
        <sz val="10"/>
        <rFont val="华文细黑"/>
        <family val="3"/>
        <charset val="134"/>
      </rPr>
      <t>房号</t>
    </r>
    <phoneticPr fontId="134" type="noConversion"/>
  </si>
  <si>
    <r>
      <rPr>
        <sz val="10"/>
        <rFont val="华文细黑"/>
        <family val="3"/>
        <charset val="134"/>
      </rPr>
      <t>建筑面积</t>
    </r>
    <r>
      <rPr>
        <sz val="10"/>
        <rFont val="Arial"/>
        <family val="2"/>
      </rPr>
      <t>(m)</t>
    </r>
  </si>
  <si>
    <r>
      <rPr>
        <sz val="10"/>
        <rFont val="华文细黑"/>
        <family val="3"/>
        <charset val="134"/>
      </rPr>
      <t>规划用途</t>
    </r>
  </si>
  <si>
    <r>
      <rPr>
        <sz val="10"/>
        <rFont val="华文细黑"/>
        <family val="3"/>
        <charset val="134"/>
      </rPr>
      <t>实际用途</t>
    </r>
  </si>
  <si>
    <r>
      <rPr>
        <sz val="10"/>
        <rFont val="华文细黑"/>
        <family val="3"/>
        <charset val="134"/>
      </rPr>
      <t>写字楼</t>
    </r>
  </si>
  <si>
    <r>
      <rPr>
        <sz val="10"/>
        <rFont val="华文细黑"/>
        <family val="3"/>
        <charset val="134"/>
      </rPr>
      <t>办公</t>
    </r>
  </si>
  <si>
    <r>
      <rPr>
        <sz val="10"/>
        <rFont val="华文细黑"/>
        <family val="3"/>
        <charset val="134"/>
      </rPr>
      <t>写字楼</t>
    </r>
    <phoneticPr fontId="134" type="noConversion"/>
  </si>
  <si>
    <r>
      <rPr>
        <sz val="10"/>
        <rFont val="华文细黑"/>
        <family val="3"/>
        <charset val="134"/>
      </rPr>
      <t>写字楼</t>
    </r>
    <r>
      <rPr>
        <sz val="10"/>
        <rFont val="Arial"/>
        <family val="2"/>
      </rPr>
      <t xml:space="preserve">      </t>
    </r>
    <r>
      <rPr>
        <b/>
        <sz val="10"/>
        <rFont val="宋体"/>
        <family val="3"/>
        <charset val="134"/>
      </rPr>
      <t>办公</t>
    </r>
    <phoneticPr fontId="134" type="noConversion"/>
  </si>
  <si>
    <r>
      <rPr>
        <sz val="10"/>
        <rFont val="华文细黑"/>
        <family val="3"/>
        <charset val="134"/>
      </rPr>
      <t>写字楼</t>
    </r>
    <r>
      <rPr>
        <sz val="10"/>
        <rFont val="Arial"/>
        <family val="2"/>
      </rPr>
      <t xml:space="preserve">      </t>
    </r>
    <r>
      <rPr>
        <sz val="10"/>
        <rFont val="宋体"/>
        <family val="3"/>
        <charset val="134"/>
      </rPr>
      <t>办公</t>
    </r>
    <phoneticPr fontId="134" type="noConversion"/>
  </si>
  <si>
    <r>
      <rPr>
        <sz val="10"/>
        <rFont val="华文细黑"/>
        <family val="3"/>
        <charset val="134"/>
      </rPr>
      <t>办公用房</t>
    </r>
    <phoneticPr fontId="134" type="noConversion"/>
  </si>
  <si>
    <r>
      <rPr>
        <sz val="10"/>
        <rFont val="华文细黑"/>
        <family val="3"/>
        <charset val="134"/>
      </rPr>
      <t>办公用房</t>
    </r>
    <r>
      <rPr>
        <sz val="10"/>
        <rFont val="Arial"/>
        <family val="2"/>
      </rPr>
      <t xml:space="preserve"> </t>
    </r>
    <r>
      <rPr>
        <b/>
        <sz val="10"/>
        <rFont val="宋体"/>
        <family val="3"/>
        <charset val="134"/>
      </rPr>
      <t>办公用房</t>
    </r>
    <r>
      <rPr>
        <sz val="10"/>
        <rFont val="Arial"/>
        <family val="2"/>
      </rPr>
      <t xml:space="preserve"> </t>
    </r>
    <r>
      <rPr>
        <b/>
        <sz val="10"/>
        <rFont val="宋体"/>
        <family val="3"/>
        <charset val="134"/>
      </rPr>
      <t>办公用房</t>
    </r>
    <r>
      <rPr>
        <sz val="10"/>
        <rFont val="Arial"/>
        <family val="2"/>
      </rPr>
      <t xml:space="preserve"> </t>
    </r>
    <r>
      <rPr>
        <b/>
        <sz val="10"/>
        <rFont val="宋体"/>
        <family val="3"/>
        <charset val="134"/>
      </rPr>
      <t>办公用房</t>
    </r>
    <phoneticPr fontId="134" type="noConversion"/>
  </si>
  <si>
    <r>
      <rPr>
        <sz val="10"/>
        <rFont val="华文细黑"/>
        <family val="3"/>
        <charset val="134"/>
      </rPr>
      <t>办公用房</t>
    </r>
    <r>
      <rPr>
        <sz val="10"/>
        <rFont val="Arial"/>
        <family val="2"/>
      </rPr>
      <t xml:space="preserve"> </t>
    </r>
    <r>
      <rPr>
        <sz val="10"/>
        <rFont val="华文细黑"/>
        <family val="3"/>
        <charset val="134"/>
      </rPr>
      <t>办公用房</t>
    </r>
    <r>
      <rPr>
        <sz val="10"/>
        <rFont val="Arial"/>
        <family val="2"/>
      </rPr>
      <t xml:space="preserve"> </t>
    </r>
    <r>
      <rPr>
        <sz val="10"/>
        <rFont val="华文细黑"/>
        <family val="3"/>
        <charset val="134"/>
      </rPr>
      <t>办公用房</t>
    </r>
    <phoneticPr fontId="134" type="noConversion"/>
  </si>
  <si>
    <r>
      <rPr>
        <sz val="10"/>
        <rFont val="华文细黑"/>
        <family val="3"/>
        <charset val="134"/>
      </rPr>
      <t>写字楼</t>
    </r>
    <r>
      <rPr>
        <sz val="10.5"/>
        <color rgb="FF000000"/>
        <rFont val="宋体"/>
        <family val="3"/>
        <charset val="134"/>
      </rPr>
      <t/>
    </r>
    <phoneticPr fontId="134" type="noConversion"/>
  </si>
  <si>
    <r>
      <rPr>
        <sz val="10"/>
        <rFont val="宋体"/>
        <family val="3"/>
        <charset val="134"/>
      </rPr>
      <t>小计</t>
    </r>
  </si>
  <si>
    <r>
      <rPr>
        <sz val="10"/>
        <color theme="1"/>
        <rFont val="华文细黑"/>
        <family val="3"/>
        <charset val="134"/>
      </rPr>
      <t>房号</t>
    </r>
    <phoneticPr fontId="134" type="noConversion"/>
  </si>
  <si>
    <r>
      <rPr>
        <sz val="10"/>
        <color theme="1"/>
        <rFont val="华文细黑"/>
        <family val="3"/>
        <charset val="134"/>
      </rPr>
      <t>未包含</t>
    </r>
    <phoneticPr fontId="134" type="noConversion"/>
  </si>
  <si>
    <r>
      <rPr>
        <sz val="10"/>
        <color theme="1"/>
        <rFont val="华文细黑"/>
        <family val="3"/>
        <charset val="134"/>
      </rPr>
      <t>合计</t>
    </r>
    <phoneticPr fontId="134" type="noConversion"/>
  </si>
  <si>
    <r>
      <rPr>
        <sz val="10"/>
        <color theme="1"/>
        <rFont val="华文细黑"/>
        <family val="3"/>
        <charset val="134"/>
      </rPr>
      <t>产证总面积</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</si>
</sst>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0.00\)"/>
    <numFmt numFmtId="197" formatCode="#,##0.00;[Red]#,##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24"/>
      <color theme="1"/>
      <name val="宋体"/>
      <family val="3"/>
      <charset val="134"/>
    </font>
    <font>
      <sz val="12"/>
      <color theme="1"/>
      <name val="Times New Roman"/>
      <family val="1"/>
    </font>
    <font>
      <sz val="10.5"/>
      <color rgb="FF000000"/>
      <name val="宋体"/>
      <family val="3"/>
      <charset val="134"/>
    </font>
    <font>
      <sz val="10"/>
      <color theme="1"/>
      <name val="华文细黑"/>
      <family val="3"/>
      <charset val="134"/>
    </font>
    <font>
      <sz val="10"/>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0" fontId="36" fillId="0" borderId="0"/>
  </cellStyleXfs>
  <cellXfs count="38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190" fontId="98" fillId="0" borderId="23" xfId="0" applyNumberFormat="1" applyFont="1" applyFill="1" applyBorder="1" applyProtection="1">
      <alignment vertical="center"/>
      <protection locked="0"/>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0" fontId="144" fillId="21" borderId="0" xfId="16" applyNumberFormat="1" applyFont="1" applyFill="1" applyAlignment="1" applyProtection="1">
      <alignment horizontal="left" vertical="center"/>
    </xf>
    <xf numFmtId="0" fontId="133" fillId="0" borderId="6" xfId="0" applyFont="1" applyFill="1" applyBorder="1" applyAlignment="1">
      <alignment horizontal="center" vertical="center" wrapText="1"/>
    </xf>
    <xf numFmtId="0" fontId="133" fillId="0" borderId="9" xfId="0" applyFont="1" applyFill="1" applyBorder="1" applyAlignment="1">
      <alignment horizontal="center" vertical="center"/>
    </xf>
    <xf numFmtId="0" fontId="133" fillId="0" borderId="9" xfId="0" applyFont="1" applyFill="1" applyBorder="1" applyAlignment="1">
      <alignment horizontal="center" vertical="center" wrapText="1"/>
    </xf>
    <xf numFmtId="0" fontId="147" fillId="0" borderId="23" xfId="0" applyFont="1" applyFill="1" applyBorder="1" applyAlignment="1">
      <alignment horizontal="center" vertical="center"/>
    </xf>
    <xf numFmtId="43" fontId="147" fillId="0" borderId="1" xfId="19" applyFont="1" applyFill="1" applyBorder="1" applyAlignment="1">
      <alignment horizontal="center" vertical="center"/>
    </xf>
    <xf numFmtId="0" fontId="147" fillId="0" borderId="1" xfId="0" applyFont="1" applyFill="1" applyBorder="1" applyAlignment="1">
      <alignment horizontal="center" vertical="center"/>
    </xf>
    <xf numFmtId="2" fontId="147" fillId="0" borderId="1" xfId="0" applyNumberFormat="1" applyFont="1" applyFill="1" applyBorder="1" applyAlignment="1">
      <alignment horizontal="center" vertical="center"/>
    </xf>
    <xf numFmtId="176" fontId="147" fillId="0" borderId="1" xfId="0" applyNumberFormat="1" applyFont="1" applyFill="1" applyBorder="1" applyAlignment="1">
      <alignment horizontal="center" vertical="center"/>
    </xf>
    <xf numFmtId="179" fontId="147" fillId="0" borderId="1" xfId="0" applyNumberFormat="1" applyFont="1" applyFill="1" applyBorder="1" applyAlignment="1">
      <alignment horizontal="center" vertical="center"/>
    </xf>
    <xf numFmtId="0" fontId="147" fillId="0" borderId="1" xfId="0" applyFont="1" applyFill="1" applyBorder="1" applyAlignment="1">
      <alignment horizontal="center" vertical="center" wrapText="1"/>
    </xf>
    <xf numFmtId="179" fontId="147" fillId="0" borderId="24" xfId="0" applyNumberFormat="1" applyFont="1" applyFill="1" applyBorder="1" applyAlignment="1">
      <alignment horizontal="center" vertical="center"/>
    </xf>
    <xf numFmtId="0" fontId="147" fillId="0" borderId="1" xfId="20" applyFont="1" applyFill="1" applyBorder="1" applyAlignment="1">
      <alignment horizontal="center" vertical="center"/>
    </xf>
    <xf numFmtId="0" fontId="114" fillId="0" borderId="1" xfId="20" applyFont="1" applyFill="1" applyBorder="1" applyAlignment="1">
      <alignment horizontal="left" vertical="center" wrapText="1"/>
    </xf>
    <xf numFmtId="0" fontId="147" fillId="0" borderId="1" xfId="20" applyFont="1" applyFill="1" applyBorder="1" applyAlignment="1">
      <alignment horizontal="center" vertical="center" wrapText="1"/>
    </xf>
    <xf numFmtId="196" fontId="114" fillId="0" borderId="1" xfId="20" applyNumberFormat="1" applyFont="1" applyFill="1" applyBorder="1" applyAlignment="1">
      <alignment horizontal="center" vertical="center" wrapText="1"/>
    </xf>
    <xf numFmtId="176" fontId="147" fillId="0" borderId="1" xfId="20" applyNumberFormat="1" applyFont="1" applyFill="1" applyBorder="1" applyAlignment="1">
      <alignment horizontal="center" vertical="center"/>
    </xf>
    <xf numFmtId="197" fontId="271" fillId="0" borderId="1" xfId="0" applyNumberFormat="1" applyFont="1" applyFill="1" applyBorder="1" applyAlignment="1">
      <alignment horizontal="center" vertical="center" wrapText="1"/>
    </xf>
    <xf numFmtId="0" fontId="147" fillId="0" borderId="1" xfId="0" applyFont="1" applyFill="1" applyBorder="1" applyAlignment="1">
      <alignment horizontal="center"/>
    </xf>
    <xf numFmtId="0" fontId="147" fillId="0" borderId="13" xfId="20" applyFont="1" applyFill="1" applyBorder="1" applyAlignment="1">
      <alignment horizontal="center" vertical="center"/>
    </xf>
    <xf numFmtId="0" fontId="147" fillId="0" borderId="13" xfId="0" applyFont="1" applyFill="1" applyBorder="1" applyAlignment="1">
      <alignment horizontal="center" vertical="center" wrapText="1"/>
    </xf>
    <xf numFmtId="3" fontId="147" fillId="0" borderId="1" xfId="0" applyNumberFormat="1" applyFont="1" applyFill="1" applyBorder="1" applyAlignment="1">
      <alignment horizontal="center" vertical="center"/>
    </xf>
    <xf numFmtId="0" fontId="147" fillId="0" borderId="13" xfId="20" applyFont="1" applyFill="1" applyBorder="1" applyAlignment="1">
      <alignment horizontal="center" vertical="center" wrapText="1"/>
    </xf>
    <xf numFmtId="17" fontId="147" fillId="0" borderId="1" xfId="20" applyNumberFormat="1" applyFont="1" applyFill="1" applyBorder="1" applyAlignment="1">
      <alignment horizontal="center" vertical="center"/>
    </xf>
    <xf numFmtId="0" fontId="178" fillId="0" borderId="1" xfId="0" applyFont="1" applyFill="1" applyBorder="1" applyAlignment="1">
      <alignment horizontal="center" vertical="center"/>
    </xf>
    <xf numFmtId="0" fontId="178" fillId="0" borderId="1" xfId="0" applyFont="1" applyFill="1" applyBorder="1" applyAlignment="1">
      <alignment horizontal="center" vertical="center" wrapText="1"/>
    </xf>
    <xf numFmtId="0" fontId="133" fillId="0" borderId="1" xfId="0" applyFont="1" applyFill="1" applyBorder="1" applyAlignment="1">
      <alignment horizontal="center" vertical="center"/>
    </xf>
    <xf numFmtId="0" fontId="178" fillId="0" borderId="1" xfId="0" applyNumberFormat="1" applyFont="1" applyFill="1" applyBorder="1" applyAlignment="1">
      <alignment horizontal="center" vertical="center"/>
    </xf>
    <xf numFmtId="176" fontId="133" fillId="0" borderId="1" xfId="0" applyNumberFormat="1" applyFont="1" applyFill="1" applyBorder="1" applyAlignment="1">
      <alignment horizontal="center" vertical="center"/>
    </xf>
    <xf numFmtId="179" fontId="133" fillId="0" borderId="1" xfId="0" applyNumberFormat="1" applyFont="1" applyFill="1" applyBorder="1" applyAlignment="1">
      <alignment horizontal="center" vertical="center"/>
    </xf>
    <xf numFmtId="176" fontId="178" fillId="0" borderId="1" xfId="0" applyNumberFormat="1" applyFont="1" applyFill="1" applyBorder="1" applyAlignment="1">
      <alignment horizontal="center" vertical="center"/>
    </xf>
    <xf numFmtId="179" fontId="178" fillId="0" borderId="1" xfId="0" applyNumberFormat="1" applyFont="1" applyFill="1" applyBorder="1" applyAlignment="1">
      <alignment horizontal="center"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77" fillId="0" borderId="0" xfId="0" applyFont="1" applyFill="1" applyAlignment="1" applyProtection="1">
      <alignment vertical="center"/>
      <protection locked="0"/>
    </xf>
    <xf numFmtId="9" fontId="47" fillId="0" borderId="0" xfId="0" applyNumberFormat="1" applyFont="1" applyFill="1" applyAlignment="1" applyProtection="1">
      <alignment vertical="center"/>
      <protection locked="0"/>
    </xf>
    <xf numFmtId="0" fontId="95" fillId="0" borderId="0" xfId="0" applyFont="1">
      <alignment vertical="center"/>
    </xf>
    <xf numFmtId="10" fontId="0" fillId="0" borderId="0" xfId="17" applyNumberFormat="1" applyFont="1">
      <alignment vertical="center"/>
    </xf>
    <xf numFmtId="0" fontId="53" fillId="0" borderId="1" xfId="0" applyFont="1" applyFill="1" applyBorder="1" applyAlignment="1">
      <alignment horizontal="left" vertical="center" wrapText="1"/>
    </xf>
    <xf numFmtId="49" fontId="53" fillId="0" borderId="1" xfId="0" applyNumberFormat="1" applyFont="1" applyFill="1" applyBorder="1" applyAlignment="1">
      <alignment horizontal="left" vertical="center" wrapText="1"/>
    </xf>
    <xf numFmtId="0" fontId="99" fillId="0" borderId="0" xfId="0" applyFont="1" applyAlignment="1">
      <alignment horizontal="left" vertical="center"/>
    </xf>
    <xf numFmtId="0" fontId="113" fillId="0" borderId="0" xfId="0" applyFont="1" applyAlignment="1">
      <alignment horizontal="left" vertical="center"/>
    </xf>
    <xf numFmtId="0" fontId="53" fillId="0" borderId="1" xfId="0" applyFont="1" applyFill="1" applyBorder="1" applyAlignment="1">
      <alignment vertical="center" wrapText="1"/>
    </xf>
    <xf numFmtId="0" fontId="53" fillId="0" borderId="13" xfId="0" applyFont="1" applyFill="1" applyBorder="1" applyAlignment="1">
      <alignment horizontal="left" vertical="center" wrapText="1"/>
    </xf>
    <xf numFmtId="49" fontId="53" fillId="0" borderId="13" xfId="0" applyNumberFormat="1" applyFont="1" applyFill="1" applyBorder="1" applyAlignment="1">
      <alignment horizontal="left" vertical="center" wrapText="1"/>
    </xf>
    <xf numFmtId="0" fontId="53" fillId="0" borderId="13" xfId="0" applyFont="1" applyFill="1" applyBorder="1" applyAlignment="1">
      <alignment vertical="center" wrapText="1"/>
    </xf>
    <xf numFmtId="2" fontId="53" fillId="0" borderId="1" xfId="0" applyNumberFormat="1" applyFont="1" applyFill="1" applyBorder="1" applyAlignment="1">
      <alignment horizontal="left" vertical="center" wrapText="1"/>
    </xf>
    <xf numFmtId="4" fontId="53" fillId="0" borderId="1" xfId="0" applyNumberFormat="1" applyFont="1" applyFill="1" applyBorder="1" applyAlignment="1">
      <alignment vertical="center" wrapText="1"/>
    </xf>
    <xf numFmtId="49" fontId="99" fillId="0" borderId="0" xfId="0" applyNumberFormat="1" applyFont="1" applyAlignment="1">
      <alignment horizontal="left" vertical="center"/>
    </xf>
    <xf numFmtId="179" fontId="44" fillId="0" borderId="23" xfId="0" applyNumberFormat="1" applyFont="1" applyFill="1" applyBorder="1" applyAlignment="1" applyProtection="1">
      <alignment horizontal="center" vertical="center"/>
      <protection locked="0"/>
    </xf>
    <xf numFmtId="0" fontId="53" fillId="0" borderId="1" xfId="0" applyFont="1" applyFill="1" applyBorder="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53" fillId="0" borderId="1" xfId="0" applyFont="1" applyFill="1" applyBorder="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0" xfId="0" applyFont="1" applyFill="1" applyAlignment="1">
      <alignment horizontal="center"/>
    </xf>
    <xf numFmtId="0" fontId="270" fillId="0" borderId="47" xfId="0" applyFont="1" applyFill="1" applyBorder="1" applyAlignment="1">
      <alignment horizontal="center"/>
    </xf>
    <xf numFmtId="0" fontId="53" fillId="0" borderId="0" xfId="0" applyFont="1" applyAlignment="1">
      <alignment horizontal="left" vertical="center"/>
    </xf>
    <xf numFmtId="179" fontId="53" fillId="0" borderId="0" xfId="0" applyNumberFormat="1" applyFont="1" applyAlignment="1">
      <alignment horizontal="left" vertical="center"/>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20"/>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xdr:row>
      <xdr:rowOff>133350</xdr:rowOff>
    </xdr:from>
    <xdr:to>
      <xdr:col>11</xdr:col>
      <xdr:colOff>8624</xdr:colOff>
      <xdr:row>9</xdr:row>
      <xdr:rowOff>66512</xdr:rowOff>
    </xdr:to>
    <xdr:pic>
      <xdr:nvPicPr>
        <xdr:cNvPr id="5" name="图片 4"/>
        <xdr:cNvPicPr>
          <a:picLocks noChangeAspect="1"/>
        </xdr:cNvPicPr>
      </xdr:nvPicPr>
      <xdr:blipFill>
        <a:blip xmlns:r="http://schemas.openxmlformats.org/officeDocument/2006/relationships" r:embed="rId1"/>
        <a:stretch>
          <a:fillRect/>
        </a:stretch>
      </xdr:blipFill>
      <xdr:spPr>
        <a:xfrm>
          <a:off x="342900" y="13163550"/>
          <a:ext cx="7209524" cy="1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12304;2023&#12305;&#23545;&#20844;&#20107;&#19994;&#37096;&#8212;&#30005;&#31639;&#34920;-&#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8">
          <cell r="B8" t="str">
            <v>抵押</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北京市朝阳区朝外大街乙12号房地产抵押价值预评估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受贵公司委托，我公司对北京市朝阳区朝外大街乙12号房地产抵押价值进行了预评估。</v>
      </c>
    </row>
    <row r="7" spans="1:2" s="1203" customFormat="1">
      <c r="A7" s="1201" t="s">
        <v>566</v>
      </c>
      <c r="B7" s="1202" t="str">
        <f>'预评函-1'!A7</f>
        <v>估价对象为北京市朝阳区朝外大街乙12号房地产，为所有。根据《国有土地使用证》[]，估价对象（分摊）出让国有建设用地使用权面积为0平方米，建筑面积为35184.7平方米。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估价对象为北京市朝阳区朝外大街乙12号房地产,属开发建设的，该项目尚在开发建设中。根据《国有土地使用证》[]，估价对象（分摊）出让国有建设用地使用权面积为0平方米，规划建筑面积为35184.7平方米。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2024年2月26日（评估专业人员实地查勘之日）</v>
      </c>
    </row>
    <row r="13" spans="1:2" s="1203" customFormat="1">
      <c r="A13" s="1201" t="s">
        <v>529</v>
      </c>
      <c r="B13" s="1202" t="str">
        <f>'预评函-1'!A18</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145763</v>
      </c>
    </row>
    <row r="21" spans="1:2" s="1203" customFormat="1">
      <c r="A21" s="1201" t="s">
        <v>537</v>
      </c>
      <c r="B21" s="1202">
        <f ca="1">'预评函-2'!D7</f>
        <v>41428</v>
      </c>
    </row>
    <row r="22" spans="1:2" s="1203" customFormat="1">
      <c r="A22" s="1201" t="s">
        <v>538</v>
      </c>
      <c r="B22" s="1202" t="str">
        <f ca="1">'预评函-2'!D6</f>
        <v>壹拾肆亿伍仟柒佰陆拾叁万元整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145763</v>
      </c>
    </row>
    <row r="31" spans="1:2" s="1203" customFormat="1">
      <c r="A31" s="1201" t="s">
        <v>576</v>
      </c>
      <c r="B31" s="1202">
        <f ca="1">'预评函-2'!D15</f>
        <v>41428</v>
      </c>
    </row>
    <row r="32" spans="1:2" s="1203" customFormat="1">
      <c r="A32" s="1201" t="s">
        <v>543</v>
      </c>
      <c r="B32" s="1202" t="str">
        <f ca="1">'预评函-2'!D14</f>
        <v>壹拾肆亿伍仟柒佰陆拾叁万元整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125867</v>
      </c>
    </row>
    <row r="39" spans="1:2" s="1203" customFormat="1">
      <c r="A39" s="1201" t="s">
        <v>545</v>
      </c>
      <c r="B39" s="1202">
        <f ca="1">'预评函-2'!D21</f>
        <v>35773</v>
      </c>
    </row>
    <row r="40" spans="1:2" s="1203" customFormat="1">
      <c r="A40" s="1201" t="s">
        <v>546</v>
      </c>
      <c r="B40" s="1202" t="str">
        <f ca="1">'预评函-2'!D20</f>
        <v>壹拾贰亿伍仟捌佰陆拾柒万元整</v>
      </c>
    </row>
    <row r="41" spans="1:2" s="1203" customFormat="1">
      <c r="A41" s="1201" t="s">
        <v>592</v>
      </c>
      <c r="B41" s="1202" t="str">
        <f>'预评函-3'!A4</f>
        <v>北京市朝阳区朝外大街乙12号房地产</v>
      </c>
    </row>
    <row r="42" spans="1:2" s="1203" customFormat="1">
      <c r="A42" s="1201" t="s">
        <v>590</v>
      </c>
      <c r="B42" s="1202" t="str">
        <f>'预评函-3'!B2</f>
        <v>建筑面积</v>
      </c>
    </row>
    <row r="43" spans="1:2" s="1203" customFormat="1">
      <c r="A43" s="1201" t="s">
        <v>591</v>
      </c>
      <c r="B43" s="1202">
        <f>'预评函-3'!B4</f>
        <v>35184.699999999997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126377</v>
      </c>
    </row>
    <row r="48" spans="1:2" s="1203" customFormat="1">
      <c r="A48" s="1201" t="s">
        <v>549</v>
      </c>
      <c r="B48" s="1202">
        <f ca="1">'预评函-3'!E4</f>
        <v>35918</v>
      </c>
    </row>
    <row r="49" spans="1:2" s="1203" customFormat="1">
      <c r="A49" s="1201" t="s">
        <v>550</v>
      </c>
      <c r="B49" s="1202" t="str">
        <f ca="1">'预评函-3'!D5</f>
        <v>壹拾贰亿陆仟叁佰柒拾柒万元整</v>
      </c>
    </row>
    <row r="50" spans="1:2" s="1203" customFormat="1">
      <c r="A50" s="1201" t="s">
        <v>574</v>
      </c>
      <c r="B50" s="1202" t="str">
        <f>'预评函-3'!F2</f>
        <v>建筑物价值</v>
      </c>
    </row>
    <row r="51" spans="1:2" s="1203" customFormat="1">
      <c r="A51" s="1201" t="s">
        <v>551</v>
      </c>
      <c r="B51" s="1202">
        <f ca="1">'预评函-3'!F4</f>
        <v>19386</v>
      </c>
    </row>
    <row r="52" spans="1:2" s="1203" customFormat="1">
      <c r="A52" s="1201" t="s">
        <v>552</v>
      </c>
      <c r="B52" s="1202">
        <f ca="1">'预评函-3'!G4</f>
        <v>5510</v>
      </c>
    </row>
    <row r="53" spans="1:2" s="1203" customFormat="1">
      <c r="A53" s="1201" t="s">
        <v>580</v>
      </c>
      <c r="B53" s="1202" t="str">
        <f ca="1">'预评函-3'!F5</f>
        <v>壹亿玖仟叁佰捌拾陆万元整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2580</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2581</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4" t="s">
        <v>385</v>
      </c>
      <c r="C54" s="1551" t="s">
        <v>583</v>
      </c>
    </row>
    <row r="55" spans="1:4">
      <c r="A55" s="3553"/>
      <c r="B55" s="1554" t="s">
        <v>386</v>
      </c>
      <c r="C55" s="1551" t="s">
        <v>584</v>
      </c>
    </row>
    <row r="56" spans="1:4">
      <c r="A56" s="3553"/>
      <c r="B56" s="1554" t="s">
        <v>387</v>
      </c>
      <c r="C56" s="1551" t="s">
        <v>588</v>
      </c>
    </row>
    <row r="57" spans="1:4">
      <c r="A57" s="355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54" t="s">
        <v>2583</v>
      </c>
      <c r="J2" s="3554"/>
      <c r="K2" s="3554"/>
      <c r="L2" s="3554"/>
      <c r="M2" s="3554"/>
      <c r="N2" s="3554"/>
      <c r="O2" s="3554"/>
      <c r="P2" s="3554"/>
      <c r="Q2" s="3554"/>
      <c r="R2" s="3554"/>
    </row>
    <row r="3" spans="1:18">
      <c r="A3" s="3018" t="s">
        <v>2504</v>
      </c>
      <c r="B3" s="3019">
        <f>项目基本情况!D3</f>
        <v>45348</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2.81</v>
      </c>
      <c r="D5" s="3023">
        <f>IF(ISERROR(ROUND(POWER(1+E5,A5-C5)*(POWER(1+E5,C5)-1)/(POWER(1+E5,A5)-1),3)),0,ROUND(POWER(1+E5,A5-C5)*(POWER(1+E5,C5)-1)/(POWER(1+E5,A5)-1),4))</f>
        <v>0.1318</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12.82</v>
      </c>
      <c r="D6" s="3023">
        <f>IF(ISERROR(ROUND(POWER(1+E6,A6-C6)*(POWER(1+E6,C6)-1)/(POWER(1+E6,A6)-1),3)),0,ROUND(POWER(1+E6,A6-C6)*(POWER(1+E6,C6)-1)/(POWER(1+E6,A6)-1),4))</f>
        <v>0.45989999999999998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32.83</v>
      </c>
      <c r="D7" s="3023">
        <f>IF(ISERROR(ROUND(POWER(1+E7,A7-C7)*(POWER(1+E7,C7)-1)/(POWER(1+E7,A7)-1),3)),0,ROUND(POWER(1+E7,A7-C7)*(POWER(1+E7,C7)-1)/(POWER(1+E7,A7)-1),4))</f>
        <v>0.77380000000000004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7" sqref="F4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2167</v>
      </c>
      <c r="B1" s="3563" t="str">
        <f>IF(B10="北京市","北京市",C10)&amp;F10&amp;IF(结果表!G1="在建","出让国有建设用地使用权及在建建筑物",IF(结果表!G1="土地","出让国有建设用地使用权",))&amp;B9&amp;"预评估"</f>
        <v>北京市朝阳区朝外大街乙12号房地产抵押价值预评估</v>
      </c>
      <c r="C1" s="3564"/>
      <c r="D1" s="3564"/>
      <c r="E1" s="3564"/>
      <c r="F1" s="3564"/>
      <c r="G1" s="3564"/>
      <c r="H1" s="3564"/>
      <c r="I1" s="3565"/>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北京市朝阳区朝外大街乙12号房地产抵押价值</v>
      </c>
      <c r="T1" s="1745"/>
      <c r="U1" s="1745"/>
      <c r="V1" s="1745"/>
      <c r="W1" s="1745"/>
      <c r="X1" s="1745"/>
      <c r="Y1" s="1745"/>
      <c r="Z1" s="1745"/>
      <c r="AA1" s="1745"/>
      <c r="AB1" s="1745"/>
    </row>
    <row r="2" spans="1:30">
      <c r="A2" s="2366" t="s">
        <v>2168</v>
      </c>
      <c r="B2" s="2370"/>
      <c r="C2" s="2371"/>
      <c r="D2" s="2668"/>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北京市朝阳区朝外大街乙12号房地产</v>
      </c>
      <c r="T2" s="1745"/>
      <c r="U2" s="1745"/>
      <c r="V2" s="1745"/>
      <c r="W2" s="1745"/>
      <c r="X2" s="1745"/>
      <c r="Y2" s="1745"/>
      <c r="Z2" s="1745"/>
      <c r="AA2" s="1745"/>
      <c r="AB2" s="1745"/>
    </row>
    <row r="3" spans="1:30">
      <c r="A3" s="302" t="s">
        <v>2169</v>
      </c>
      <c r="B3" s="2372">
        <v>45348</v>
      </c>
      <c r="C3" s="2373" t="s">
        <v>2170</v>
      </c>
      <c r="D3" s="2372">
        <f>B3</f>
        <v>45348</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3379</v>
      </c>
      <c r="C8" s="2389"/>
      <c r="D8" s="3566" t="s">
        <v>2176</v>
      </c>
      <c r="E8" s="2390" t="s">
        <v>3418</v>
      </c>
      <c r="F8" s="2391"/>
      <c r="G8" s="2662"/>
      <c r="H8" s="2662"/>
      <c r="I8" s="2662"/>
      <c r="J8" s="2438"/>
      <c r="K8" s="2613"/>
      <c r="L8" s="2612"/>
      <c r="M8" s="2612"/>
      <c r="N8" s="2438"/>
      <c r="O8" s="2449"/>
      <c r="P8" s="2438"/>
      <c r="Q8" s="2438"/>
      <c r="R8" s="2438"/>
    </row>
    <row r="9" spans="1:30" ht="13.5" thickBot="1">
      <c r="A9" s="2392" t="s">
        <v>2177</v>
      </c>
      <c r="B9" s="2393" t="s">
        <v>3418</v>
      </c>
      <c r="C9" s="2394"/>
      <c r="D9" s="3567"/>
      <c r="E9" s="2393" t="s">
        <v>587</v>
      </c>
      <c r="F9" s="2395"/>
      <c r="G9" s="2664"/>
      <c r="H9" s="2664"/>
      <c r="I9" s="2664"/>
      <c r="J9" s="2438"/>
      <c r="K9" s="2615"/>
      <c r="L9" s="2612"/>
      <c r="M9" s="2612"/>
      <c r="N9" s="2438"/>
      <c r="O9" s="2449"/>
      <c r="P9" s="2438"/>
      <c r="Q9" s="2438"/>
      <c r="R9" s="2438"/>
    </row>
    <row r="10" spans="1:30" ht="13.5" thickTop="1">
      <c r="A10" s="2396" t="s">
        <v>2178</v>
      </c>
      <c r="B10" s="2397" t="s">
        <v>3380</v>
      </c>
      <c r="C10" s="2398"/>
      <c r="D10" s="2381"/>
      <c r="E10" s="2399" t="s">
        <v>2179</v>
      </c>
      <c r="F10" s="3448" t="s">
        <v>3411</v>
      </c>
      <c r="G10" s="2665"/>
      <c r="H10" s="2666"/>
      <c r="I10" s="2667"/>
      <c r="J10" s="2438"/>
      <c r="K10" s="2615"/>
      <c r="L10" s="2612"/>
      <c r="M10" s="2612"/>
      <c r="N10" s="2438"/>
      <c r="O10" s="2449"/>
      <c r="P10" s="2438"/>
      <c r="Q10" s="2438"/>
      <c r="R10" s="2438"/>
    </row>
    <row r="11" spans="1:30">
      <c r="A11" s="2400" t="s">
        <v>2180</v>
      </c>
      <c r="B11" s="2401" t="s">
        <v>3421</v>
      </c>
      <c r="C11" s="2402"/>
      <c r="D11" s="2403"/>
      <c r="E11" s="2369"/>
      <c r="F11" s="2369"/>
      <c r="G11" s="2369"/>
      <c r="H11" s="2369"/>
      <c r="I11" s="2369"/>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2579</v>
      </c>
      <c r="J12" s="3060" t="s">
        <v>3383</v>
      </c>
      <c r="K12" s="2612"/>
      <c r="L12" s="2612"/>
      <c r="M12" s="2438"/>
      <c r="N12" s="2449"/>
      <c r="O12" s="2438"/>
      <c r="P12" s="2438"/>
      <c r="Q12" s="2438"/>
      <c r="AD12" s="1745"/>
    </row>
    <row r="13" spans="1:30">
      <c r="A13" s="3421" t="s">
        <v>3334</v>
      </c>
      <c r="B13" s="2406" t="s">
        <v>2189</v>
      </c>
      <c r="C13" s="856"/>
      <c r="D13" s="856"/>
      <c r="E13" s="856">
        <v>55952</v>
      </c>
      <c r="F13" s="856"/>
      <c r="G13" s="856"/>
      <c r="H13" s="856"/>
      <c r="I13" s="856"/>
      <c r="J13" s="3060"/>
      <c r="K13" s="2612"/>
      <c r="L13" s="2612"/>
      <c r="M13" s="2438"/>
      <c r="N13" s="2449"/>
      <c r="O13" s="2438"/>
      <c r="P13" s="2438"/>
      <c r="Q13" s="2438"/>
      <c r="AD13" s="1745"/>
    </row>
    <row r="14" spans="1:30">
      <c r="A14" s="1081"/>
      <c r="B14" s="2406" t="s">
        <v>2190</v>
      </c>
      <c r="C14" s="2407"/>
      <c r="D14" s="2407"/>
      <c r="E14" s="2407">
        <v>50</v>
      </c>
      <c r="F14" s="2407"/>
      <c r="G14" s="2407"/>
      <c r="H14" s="2407"/>
      <c r="I14" s="2407"/>
      <c r="J14" s="3061"/>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f>IF(A13="出让",IF(E13="","",ROUNDDOWN(MIN((E13-$D$3)/365,E14),2)),E14)</f>
        <v>29.05</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399" t="s">
        <v>2192</v>
      </c>
      <c r="B16" s="3573"/>
      <c r="C16" s="3574"/>
      <c r="D16" s="3575"/>
      <c r="E16" s="2412" t="s">
        <v>2193</v>
      </c>
      <c r="F16" s="3576"/>
      <c r="G16" s="3577"/>
      <c r="H16" s="3577"/>
      <c r="I16" s="3578"/>
      <c r="J16" s="2438"/>
      <c r="K16" s="2616"/>
      <c r="L16" s="2450"/>
      <c r="M16" s="2450"/>
      <c r="N16" s="2508"/>
      <c r="O16" s="2450"/>
      <c r="P16" s="2508"/>
      <c r="Q16" s="2438"/>
      <c r="R16" s="2438"/>
    </row>
    <row r="17" spans="1:28">
      <c r="A17" s="313" t="s">
        <v>2194</v>
      </c>
      <c r="B17" s="302" t="s">
        <v>2195</v>
      </c>
      <c r="C17" s="8">
        <f>'数据-汇总表'!E3</f>
        <v>35184.699999999997</v>
      </c>
      <c r="D17" s="2321" t="s">
        <v>2196</v>
      </c>
      <c r="E17" s="3579" t="s">
        <v>2197</v>
      </c>
      <c r="F17" s="3580"/>
      <c r="G17" s="3580"/>
      <c r="H17" s="3580"/>
      <c r="I17" s="3581"/>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0</v>
      </c>
      <c r="D18" s="1092" t="s">
        <v>2200</v>
      </c>
      <c r="E18" s="3582" t="s">
        <v>2201</v>
      </c>
      <c r="F18" s="3583"/>
      <c r="G18" s="3583"/>
      <c r="H18" s="3583"/>
      <c r="I18" s="3584"/>
      <c r="J18" s="2438"/>
      <c r="K18" s="2617"/>
      <c r="L18" s="2450"/>
      <c r="M18" s="2450"/>
      <c r="N18" s="2508"/>
      <c r="O18" s="2450"/>
      <c r="P18" s="2508"/>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69" t="s">
        <v>2205</v>
      </c>
      <c r="C20" s="3570"/>
      <c r="D20" s="3571" t="s">
        <v>2206</v>
      </c>
      <c r="E20" s="3572"/>
      <c r="F20" s="2646" t="s">
        <v>1056</v>
      </c>
      <c r="G20" s="2663"/>
      <c r="H20" s="2663"/>
      <c r="I20" s="2663"/>
      <c r="J20" s="2438"/>
      <c r="K20" s="356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8"/>
      <c r="K21" s="356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2210</v>
      </c>
      <c r="C22" s="2633" t="s">
        <v>1058</v>
      </c>
      <c r="D22" s="2662"/>
      <c r="E22" s="2662"/>
      <c r="F22" s="2662"/>
      <c r="G22" s="2663"/>
      <c r="H22" s="2663"/>
      <c r="I22" s="2663"/>
      <c r="J22" s="2438"/>
      <c r="K22" s="356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6"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6"/>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6"/>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7"/>
      <c r="B30" s="302" t="s">
        <v>2217</v>
      </c>
      <c r="C30" s="3558"/>
      <c r="D30" s="3559"/>
      <c r="E30" s="2663"/>
      <c r="F30" s="2663"/>
      <c r="G30" s="2663"/>
      <c r="H30" s="2663"/>
      <c r="I30" s="2663"/>
      <c r="J30" s="2438"/>
      <c r="K30" s="2615"/>
      <c r="L30" s="2612"/>
      <c r="M30" s="2612"/>
      <c r="N30" s="2438"/>
      <c r="O30" s="2449"/>
      <c r="P30" s="2438"/>
      <c r="Q30" s="2438"/>
      <c r="R30" s="2438"/>
      <c r="S30" s="2438"/>
      <c r="T30" s="2438"/>
      <c r="U30" s="2438"/>
      <c r="V30" s="2438"/>
    </row>
    <row r="31" spans="1:28">
      <c r="A31" s="3560" t="s">
        <v>2218</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61"/>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6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55" t="s">
        <v>2227</v>
      </c>
      <c r="T34" s="2427" t="str">
        <f>NUMBERSTRING(7-K34,1)&amp;"通"</f>
        <v>七通</v>
      </c>
      <c r="U34" s="2438"/>
      <c r="V34" s="2438"/>
    </row>
    <row r="35" spans="1:30">
      <c r="A35" s="2428"/>
      <c r="B35" s="3562" t="s">
        <v>2228</v>
      </c>
      <c r="C35" s="3562"/>
      <c r="D35" s="3562"/>
      <c r="E35" s="356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5"/>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3"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145</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2232</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35184.699999999997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35184.699999999997</v>
      </c>
      <c r="H5" s="13">
        <f t="shared" ref="H5:AT5" si="0">SUM(H13:H656)</f>
        <v>35184.699999999997</v>
      </c>
      <c r="I5" s="13">
        <f t="shared" si="0"/>
        <v>35184.699999999997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35184.699999999997</v>
      </c>
      <c r="BA5" s="15">
        <f t="shared" si="1"/>
        <v>35184.699999999997</v>
      </c>
      <c r="BB5" s="15">
        <f t="shared" si="1"/>
        <v>35184.699999999997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3410</v>
      </c>
      <c r="D13" s="1625" t="s">
        <v>3381</v>
      </c>
      <c r="E13" s="13">
        <f>IF($C$3="是",ROUND($A$3*G13/$B$3,2),ROUND($A$3*(G13-AT13)/$B$3,2))</f>
        <v>0</v>
      </c>
      <c r="F13" s="29"/>
      <c r="G13" s="30">
        <f>H13+AC13+AT13</f>
        <v>35184.699999999997</v>
      </c>
      <c r="H13" s="17">
        <f>SUMIF(I$12:AB$12,"总值",I13:AB13)</f>
        <v>35184.699999999997</v>
      </c>
      <c r="I13" s="1626">
        <f>抵押物清单!D192</f>
        <v>35184.699999999997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3-23层部分</v>
      </c>
      <c r="AY13" s="1349">
        <f>ROUND($AY$6*AZ13/$AZ$5,2)</f>
        <v>0</v>
      </c>
      <c r="AZ13" s="13">
        <f>BA13+BL13</f>
        <v>35184.699999999997</v>
      </c>
      <c r="BA13" s="13">
        <f>SUM(BB13:BK13)</f>
        <v>35184.699999999997</v>
      </c>
      <c r="BB13" s="13">
        <f>IF($D13="是",I13-J13,0)</f>
        <v>35184.699999999997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F200"/>
  <sheetViews>
    <sheetView topLeftCell="A139" workbookViewId="0">
      <selection activeCell="I183" sqref="I183"/>
    </sheetView>
  </sheetViews>
  <sheetFormatPr defaultRowHeight="12.75"/>
  <cols>
    <col min="1" max="2" width="9.125" style="3502" bestFit="1" customWidth="1"/>
    <col min="3" max="3" width="9.125" style="3510" bestFit="1" customWidth="1"/>
    <col min="4" max="4" width="12" style="3855" bestFit="1" customWidth="1"/>
    <col min="5" max="16384" width="9" style="3502"/>
  </cols>
  <sheetData>
    <row r="2" spans="1:6" ht="14.25" customHeight="1">
      <c r="A2" s="3500" t="s">
        <v>3762</v>
      </c>
      <c r="B2" s="3500" t="s">
        <v>3763</v>
      </c>
      <c r="C2" s="3501" t="s">
        <v>3764</v>
      </c>
      <c r="D2" s="3512" t="s">
        <v>3765</v>
      </c>
      <c r="E2" s="3500" t="s">
        <v>3766</v>
      </c>
      <c r="F2" s="3500" t="s">
        <v>3767</v>
      </c>
    </row>
    <row r="3" spans="1:6" s="3503" customFormat="1" ht="14.25" customHeight="1">
      <c r="A3" s="3500">
        <v>1</v>
      </c>
      <c r="B3" s="3500">
        <v>3</v>
      </c>
      <c r="C3" s="3501" t="s">
        <v>3568</v>
      </c>
      <c r="D3" s="3512">
        <v>241.14</v>
      </c>
      <c r="E3" s="3500" t="s">
        <v>3768</v>
      </c>
      <c r="F3" s="3500" t="s">
        <v>3769</v>
      </c>
    </row>
    <row r="4" spans="1:6" s="3503" customFormat="1" ht="14.25" customHeight="1">
      <c r="A4" s="3500">
        <v>2</v>
      </c>
      <c r="B4" s="3500">
        <v>3</v>
      </c>
      <c r="C4" s="3501" t="s">
        <v>3569</v>
      </c>
      <c r="D4" s="3512">
        <v>136.37</v>
      </c>
      <c r="E4" s="3500" t="s">
        <v>3768</v>
      </c>
      <c r="F4" s="3500" t="s">
        <v>3769</v>
      </c>
    </row>
    <row r="5" spans="1:6" s="3503" customFormat="1" ht="14.25" customHeight="1">
      <c r="A5" s="3500">
        <v>3</v>
      </c>
      <c r="B5" s="3500">
        <v>3</v>
      </c>
      <c r="C5" s="3501" t="s">
        <v>3570</v>
      </c>
      <c r="D5" s="3512">
        <v>140.9</v>
      </c>
      <c r="E5" s="3500" t="s">
        <v>3768</v>
      </c>
      <c r="F5" s="3500" t="s">
        <v>3769</v>
      </c>
    </row>
    <row r="6" spans="1:6" s="3503" customFormat="1" ht="14.25" customHeight="1">
      <c r="A6" s="3500">
        <v>4</v>
      </c>
      <c r="B6" s="3500">
        <v>3</v>
      </c>
      <c r="C6" s="3501" t="s">
        <v>3571</v>
      </c>
      <c r="D6" s="3512">
        <v>156.69999999999999</v>
      </c>
      <c r="E6" s="3500" t="s">
        <v>3768</v>
      </c>
      <c r="F6" s="3500" t="s">
        <v>3769</v>
      </c>
    </row>
    <row r="7" spans="1:6" s="3503" customFormat="1" ht="14.25" customHeight="1">
      <c r="A7" s="3500">
        <v>5</v>
      </c>
      <c r="B7" s="3500">
        <v>3</v>
      </c>
      <c r="C7" s="3501" t="s">
        <v>3572</v>
      </c>
      <c r="D7" s="3512">
        <v>143.34</v>
      </c>
      <c r="E7" s="3500" t="s">
        <v>3768</v>
      </c>
      <c r="F7" s="3500" t="s">
        <v>3769</v>
      </c>
    </row>
    <row r="8" spans="1:6" s="3503" customFormat="1" ht="14.25" customHeight="1">
      <c r="A8" s="3500">
        <v>6</v>
      </c>
      <c r="B8" s="3500">
        <v>3</v>
      </c>
      <c r="C8" s="3501" t="s">
        <v>3573</v>
      </c>
      <c r="D8" s="3512">
        <v>136.32</v>
      </c>
      <c r="E8" s="3500" t="s">
        <v>3768</v>
      </c>
      <c r="F8" s="3500" t="s">
        <v>3769</v>
      </c>
    </row>
    <row r="9" spans="1:6" s="3503" customFormat="1" ht="14.25" customHeight="1">
      <c r="A9" s="3500">
        <v>7</v>
      </c>
      <c r="B9" s="3500">
        <v>3</v>
      </c>
      <c r="C9" s="3501" t="s">
        <v>3574</v>
      </c>
      <c r="D9" s="3512">
        <v>281.06</v>
      </c>
      <c r="E9" s="3500" t="s">
        <v>3768</v>
      </c>
      <c r="F9" s="3500" t="s">
        <v>3769</v>
      </c>
    </row>
    <row r="10" spans="1:6" s="3503" customFormat="1" ht="14.25" customHeight="1">
      <c r="A10" s="3500">
        <v>8</v>
      </c>
      <c r="B10" s="3500">
        <v>3</v>
      </c>
      <c r="C10" s="3501" t="s">
        <v>3575</v>
      </c>
      <c r="D10" s="3512">
        <v>243.95</v>
      </c>
      <c r="E10" s="3500" t="s">
        <v>3768</v>
      </c>
      <c r="F10" s="3500" t="s">
        <v>3769</v>
      </c>
    </row>
    <row r="11" spans="1:6" s="3503" customFormat="1" ht="14.25" customHeight="1">
      <c r="A11" s="3500">
        <v>9</v>
      </c>
      <c r="B11" s="3500">
        <v>3</v>
      </c>
      <c r="C11" s="3501" t="s">
        <v>3576</v>
      </c>
      <c r="D11" s="3512">
        <v>123</v>
      </c>
      <c r="E11" s="3500" t="s">
        <v>3768</v>
      </c>
      <c r="F11" s="3500" t="s">
        <v>3769</v>
      </c>
    </row>
    <row r="12" spans="1:6" s="3503" customFormat="1" ht="14.25" customHeight="1">
      <c r="A12" s="3500">
        <v>10</v>
      </c>
      <c r="B12" s="3500">
        <v>3</v>
      </c>
      <c r="C12" s="3501" t="s">
        <v>3577</v>
      </c>
      <c r="D12" s="3512">
        <v>128.62</v>
      </c>
      <c r="E12" s="3500" t="s">
        <v>3768</v>
      </c>
      <c r="F12" s="3500" t="s">
        <v>3769</v>
      </c>
    </row>
    <row r="13" spans="1:6" s="3503" customFormat="1" ht="14.25" customHeight="1">
      <c r="A13" s="3500">
        <v>11</v>
      </c>
      <c r="B13" s="3500">
        <v>3</v>
      </c>
      <c r="C13" s="3501" t="s">
        <v>3578</v>
      </c>
      <c r="D13" s="3512">
        <v>157.16999999999999</v>
      </c>
      <c r="E13" s="3500" t="s">
        <v>3768</v>
      </c>
      <c r="F13" s="3500" t="s">
        <v>3769</v>
      </c>
    </row>
    <row r="14" spans="1:6" s="3503" customFormat="1" ht="14.25" customHeight="1">
      <c r="A14" s="3500">
        <v>12</v>
      </c>
      <c r="B14" s="3500">
        <v>3</v>
      </c>
      <c r="C14" s="3501" t="s">
        <v>3579</v>
      </c>
      <c r="D14" s="3512">
        <v>140.81</v>
      </c>
      <c r="E14" s="3500" t="s">
        <v>3768</v>
      </c>
      <c r="F14" s="3500" t="s">
        <v>3769</v>
      </c>
    </row>
    <row r="15" spans="1:6" s="3503" customFormat="1" ht="14.25" customHeight="1">
      <c r="A15" s="3500">
        <v>13</v>
      </c>
      <c r="B15" s="3500">
        <v>3</v>
      </c>
      <c r="C15" s="3501" t="s">
        <v>3580</v>
      </c>
      <c r="D15" s="3512">
        <v>136.13999999999999</v>
      </c>
      <c r="E15" s="3500" t="s">
        <v>3768</v>
      </c>
      <c r="F15" s="3500" t="s">
        <v>3769</v>
      </c>
    </row>
    <row r="16" spans="1:6" s="3503" customFormat="1" ht="14.25" customHeight="1">
      <c r="A16" s="3500">
        <v>14</v>
      </c>
      <c r="B16" s="3500">
        <v>3</v>
      </c>
      <c r="C16" s="3501" t="s">
        <v>3581</v>
      </c>
      <c r="D16" s="3512">
        <v>112.57</v>
      </c>
      <c r="E16" s="3500" t="s">
        <v>3768</v>
      </c>
      <c r="F16" s="3500" t="s">
        <v>3769</v>
      </c>
    </row>
    <row r="17" spans="1:6" s="3503" customFormat="1" ht="14.25" customHeight="1">
      <c r="A17" s="3500">
        <v>15</v>
      </c>
      <c r="B17" s="3500">
        <v>3</v>
      </c>
      <c r="C17" s="3501" t="s">
        <v>3582</v>
      </c>
      <c r="D17" s="3512">
        <v>270.87</v>
      </c>
      <c r="E17" s="3500" t="s">
        <v>3768</v>
      </c>
      <c r="F17" s="3500" t="s">
        <v>3769</v>
      </c>
    </row>
    <row r="18" spans="1:6" s="3503" customFormat="1" ht="14.25" customHeight="1">
      <c r="A18" s="3500">
        <v>16</v>
      </c>
      <c r="B18" s="3500">
        <v>3</v>
      </c>
      <c r="C18" s="3501" t="s">
        <v>3583</v>
      </c>
      <c r="D18" s="3512">
        <v>58.35</v>
      </c>
      <c r="E18" s="3500" t="s">
        <v>3768</v>
      </c>
      <c r="F18" s="3500" t="s">
        <v>3769</v>
      </c>
    </row>
    <row r="19" spans="1:6" s="3503" customFormat="1" ht="14.25" customHeight="1">
      <c r="A19" s="3500">
        <v>17</v>
      </c>
      <c r="B19" s="3500">
        <v>4</v>
      </c>
      <c r="C19" s="3501" t="s">
        <v>3584</v>
      </c>
      <c r="D19" s="3512">
        <v>281.47000000000003</v>
      </c>
      <c r="E19" s="3500" t="s">
        <v>3768</v>
      </c>
      <c r="F19" s="3500" t="s">
        <v>3769</v>
      </c>
    </row>
    <row r="20" spans="1:6" s="3503" customFormat="1" ht="14.25" customHeight="1">
      <c r="A20" s="3500">
        <v>18</v>
      </c>
      <c r="B20" s="3500">
        <v>4</v>
      </c>
      <c r="C20" s="3501" t="s">
        <v>3585</v>
      </c>
      <c r="D20" s="3512">
        <v>166.22</v>
      </c>
      <c r="E20" s="3500" t="s">
        <v>3768</v>
      </c>
      <c r="F20" s="3500" t="s">
        <v>3769</v>
      </c>
    </row>
    <row r="21" spans="1:6" s="3503" customFormat="1" ht="14.25" customHeight="1">
      <c r="A21" s="3500">
        <v>19</v>
      </c>
      <c r="B21" s="3500">
        <v>4</v>
      </c>
      <c r="C21" s="3501" t="s">
        <v>3586</v>
      </c>
      <c r="D21" s="3512">
        <v>156.53</v>
      </c>
      <c r="E21" s="3500" t="s">
        <v>3768</v>
      </c>
      <c r="F21" s="3500" t="s">
        <v>3769</v>
      </c>
    </row>
    <row r="22" spans="1:6" s="3503" customFormat="1" ht="14.25" customHeight="1">
      <c r="A22" s="3500">
        <v>20</v>
      </c>
      <c r="B22" s="3500">
        <v>4</v>
      </c>
      <c r="C22" s="3501" t="s">
        <v>3587</v>
      </c>
      <c r="D22" s="3512">
        <v>170.41</v>
      </c>
      <c r="E22" s="3500" t="s">
        <v>3768</v>
      </c>
      <c r="F22" s="3500" t="s">
        <v>3769</v>
      </c>
    </row>
    <row r="23" spans="1:6" s="3503" customFormat="1" ht="14.25" customHeight="1">
      <c r="A23" s="3500">
        <v>21</v>
      </c>
      <c r="B23" s="3500">
        <v>4</v>
      </c>
      <c r="C23" s="3501" t="s">
        <v>3588</v>
      </c>
      <c r="D23" s="3512">
        <v>162.58000000000001</v>
      </c>
      <c r="E23" s="3500" t="s">
        <v>3768</v>
      </c>
      <c r="F23" s="3500" t="s">
        <v>3769</v>
      </c>
    </row>
    <row r="24" spans="1:6" s="3503" customFormat="1" ht="14.25" customHeight="1">
      <c r="A24" s="3500">
        <v>22</v>
      </c>
      <c r="B24" s="3500">
        <v>4</v>
      </c>
      <c r="C24" s="3501" t="s">
        <v>3589</v>
      </c>
      <c r="D24" s="3512">
        <v>149.61000000000001</v>
      </c>
      <c r="E24" s="3500" t="s">
        <v>3768</v>
      </c>
      <c r="F24" s="3500" t="s">
        <v>3769</v>
      </c>
    </row>
    <row r="25" spans="1:6" s="3503" customFormat="1" ht="14.25" customHeight="1">
      <c r="A25" s="3500">
        <v>23</v>
      </c>
      <c r="B25" s="3500">
        <v>4</v>
      </c>
      <c r="C25" s="3501" t="s">
        <v>3590</v>
      </c>
      <c r="D25" s="3512">
        <v>345.21</v>
      </c>
      <c r="E25" s="3500" t="s">
        <v>3768</v>
      </c>
      <c r="F25" s="3500" t="s">
        <v>3769</v>
      </c>
    </row>
    <row r="26" spans="1:6" s="3503" customFormat="1" ht="14.25" customHeight="1">
      <c r="A26" s="3500">
        <v>24</v>
      </c>
      <c r="B26" s="3500">
        <v>4</v>
      </c>
      <c r="C26" s="3501" t="s">
        <v>3591</v>
      </c>
      <c r="D26" s="3512">
        <v>305.57</v>
      </c>
      <c r="E26" s="3500" t="s">
        <v>3768</v>
      </c>
      <c r="F26" s="3500" t="s">
        <v>3769</v>
      </c>
    </row>
    <row r="27" spans="1:6" s="3503" customFormat="1" ht="14.25" customHeight="1">
      <c r="A27" s="3500">
        <v>25</v>
      </c>
      <c r="B27" s="3500">
        <v>4</v>
      </c>
      <c r="C27" s="3501" t="s">
        <v>3592</v>
      </c>
      <c r="D27" s="3512">
        <v>137.69999999999999</v>
      </c>
      <c r="E27" s="3500" t="s">
        <v>3768</v>
      </c>
      <c r="F27" s="3500" t="s">
        <v>3769</v>
      </c>
    </row>
    <row r="28" spans="1:6" s="3503" customFormat="1" ht="14.25" customHeight="1">
      <c r="A28" s="3500">
        <v>26</v>
      </c>
      <c r="B28" s="3500">
        <v>4</v>
      </c>
      <c r="C28" s="3501" t="s">
        <v>3593</v>
      </c>
      <c r="D28" s="3512">
        <v>145.24</v>
      </c>
      <c r="E28" s="3500" t="s">
        <v>3768</v>
      </c>
      <c r="F28" s="3500" t="s">
        <v>3769</v>
      </c>
    </row>
    <row r="29" spans="1:6" s="3503" customFormat="1" ht="14.25" customHeight="1">
      <c r="A29" s="3500">
        <v>27</v>
      </c>
      <c r="B29" s="3500">
        <v>4</v>
      </c>
      <c r="C29" s="3501" t="s">
        <v>3594</v>
      </c>
      <c r="D29" s="3512">
        <v>178.61</v>
      </c>
      <c r="E29" s="3500" t="s">
        <v>3768</v>
      </c>
      <c r="F29" s="3500" t="s">
        <v>3769</v>
      </c>
    </row>
    <row r="30" spans="1:6" s="3503" customFormat="1" ht="14.25" customHeight="1">
      <c r="A30" s="3500">
        <v>28</v>
      </c>
      <c r="B30" s="3500">
        <v>4</v>
      </c>
      <c r="C30" s="3501" t="s">
        <v>3595</v>
      </c>
      <c r="D30" s="3512">
        <v>156.82</v>
      </c>
      <c r="E30" s="3500" t="s">
        <v>3768</v>
      </c>
      <c r="F30" s="3500" t="s">
        <v>3769</v>
      </c>
    </row>
    <row r="31" spans="1:6" s="3503" customFormat="1" ht="14.25" customHeight="1">
      <c r="A31" s="3500">
        <v>29</v>
      </c>
      <c r="B31" s="3500">
        <v>4</v>
      </c>
      <c r="C31" s="3501" t="s">
        <v>3596</v>
      </c>
      <c r="D31" s="3512">
        <v>166.38</v>
      </c>
      <c r="E31" s="3500" t="s">
        <v>3768</v>
      </c>
      <c r="F31" s="3500" t="s">
        <v>3769</v>
      </c>
    </row>
    <row r="32" spans="1:6" s="3503" customFormat="1" ht="14.25" customHeight="1">
      <c r="A32" s="3500">
        <v>30</v>
      </c>
      <c r="B32" s="3500">
        <v>4</v>
      </c>
      <c r="C32" s="3501" t="s">
        <v>3597</v>
      </c>
      <c r="D32" s="3512">
        <v>127.9</v>
      </c>
      <c r="E32" s="3500" t="s">
        <v>3768</v>
      </c>
      <c r="F32" s="3500" t="s">
        <v>3769</v>
      </c>
    </row>
    <row r="33" spans="1:6" s="3503" customFormat="1" ht="14.25" customHeight="1">
      <c r="A33" s="3500">
        <v>31</v>
      </c>
      <c r="B33" s="3500">
        <v>4</v>
      </c>
      <c r="C33" s="3501" t="s">
        <v>3598</v>
      </c>
      <c r="D33" s="3512">
        <v>296.23</v>
      </c>
      <c r="E33" s="3500" t="s">
        <v>3768</v>
      </c>
      <c r="F33" s="3500" t="s">
        <v>3769</v>
      </c>
    </row>
    <row r="34" spans="1:6" s="3503" customFormat="1" ht="14.25" customHeight="1">
      <c r="A34" s="3500">
        <v>32</v>
      </c>
      <c r="B34" s="3500">
        <v>4</v>
      </c>
      <c r="C34" s="3501" t="s">
        <v>3599</v>
      </c>
      <c r="D34" s="3512">
        <v>52.23</v>
      </c>
      <c r="E34" s="3500" t="s">
        <v>3768</v>
      </c>
      <c r="F34" s="3500" t="s">
        <v>3769</v>
      </c>
    </row>
    <row r="35" spans="1:6" s="3503" customFormat="1" ht="14.25" customHeight="1">
      <c r="A35" s="3500">
        <v>33</v>
      </c>
      <c r="B35" s="3500">
        <v>5</v>
      </c>
      <c r="C35" s="3501" t="s">
        <v>3600</v>
      </c>
      <c r="D35" s="3512">
        <v>281.39</v>
      </c>
      <c r="E35" s="3500" t="s">
        <v>3768</v>
      </c>
      <c r="F35" s="3500" t="s">
        <v>3769</v>
      </c>
    </row>
    <row r="36" spans="1:6" s="3503" customFormat="1" ht="14.25" customHeight="1">
      <c r="A36" s="3500">
        <v>34</v>
      </c>
      <c r="B36" s="3500">
        <v>5</v>
      </c>
      <c r="C36" s="3501" t="s">
        <v>3601</v>
      </c>
      <c r="D36" s="3512">
        <v>166.28</v>
      </c>
      <c r="E36" s="3504" t="s">
        <v>3770</v>
      </c>
      <c r="F36" s="3500" t="s">
        <v>3769</v>
      </c>
    </row>
    <row r="37" spans="1:6" s="3503" customFormat="1" ht="14.25" customHeight="1">
      <c r="A37" s="3500">
        <v>35</v>
      </c>
      <c r="B37" s="3500">
        <v>5</v>
      </c>
      <c r="C37" s="3501" t="s">
        <v>3602</v>
      </c>
      <c r="D37" s="3512">
        <v>156.59</v>
      </c>
      <c r="E37" s="3504" t="s">
        <v>3770</v>
      </c>
      <c r="F37" s="3500" t="s">
        <v>3769</v>
      </c>
    </row>
    <row r="38" spans="1:6" s="3503" customFormat="1" ht="14.25" customHeight="1">
      <c r="A38" s="3500">
        <v>36</v>
      </c>
      <c r="B38" s="3500">
        <v>5</v>
      </c>
      <c r="C38" s="3501" t="s">
        <v>3603</v>
      </c>
      <c r="D38" s="3512">
        <v>170.48</v>
      </c>
      <c r="E38" s="3504" t="s">
        <v>3770</v>
      </c>
      <c r="F38" s="3500" t="s">
        <v>3769</v>
      </c>
    </row>
    <row r="39" spans="1:6" s="3503" customFormat="1" ht="14.25">
      <c r="A39" s="3500">
        <v>37</v>
      </c>
      <c r="B39" s="3500">
        <v>5</v>
      </c>
      <c r="C39" s="3501" t="s">
        <v>3604</v>
      </c>
      <c r="D39" s="3512">
        <v>162.63999999999999</v>
      </c>
      <c r="E39" s="3504" t="s">
        <v>3770</v>
      </c>
      <c r="F39" s="3500" t="s">
        <v>3769</v>
      </c>
    </row>
    <row r="40" spans="1:6" s="3503" customFormat="1" ht="14.25" customHeight="1">
      <c r="A40" s="3500">
        <v>38</v>
      </c>
      <c r="B40" s="3500">
        <v>5</v>
      </c>
      <c r="C40" s="3501" t="s">
        <v>3605</v>
      </c>
      <c r="D40" s="3512">
        <v>149.66</v>
      </c>
      <c r="E40" s="3504" t="s">
        <v>3770</v>
      </c>
      <c r="F40" s="3500" t="s">
        <v>3769</v>
      </c>
    </row>
    <row r="41" spans="1:6" s="3503" customFormat="1" ht="14.25" customHeight="1">
      <c r="A41" s="3500">
        <v>39</v>
      </c>
      <c r="B41" s="3500">
        <v>5</v>
      </c>
      <c r="C41" s="3501" t="s">
        <v>3606</v>
      </c>
      <c r="D41" s="3512">
        <v>345.34</v>
      </c>
      <c r="E41" s="3504" t="s">
        <v>3770</v>
      </c>
      <c r="F41" s="3500" t="s">
        <v>3769</v>
      </c>
    </row>
    <row r="42" spans="1:6" s="3503" customFormat="1" ht="14.25" customHeight="1">
      <c r="A42" s="3500">
        <v>40</v>
      </c>
      <c r="B42" s="3500">
        <v>5</v>
      </c>
      <c r="C42" s="3501" t="s">
        <v>3607</v>
      </c>
      <c r="D42" s="3512">
        <v>305.69</v>
      </c>
      <c r="E42" s="3504" t="s">
        <v>3770</v>
      </c>
      <c r="F42" s="3500" t="s">
        <v>3769</v>
      </c>
    </row>
    <row r="43" spans="1:6" s="3503" customFormat="1" ht="14.25" customHeight="1">
      <c r="A43" s="3500">
        <v>41</v>
      </c>
      <c r="B43" s="3500">
        <v>5</v>
      </c>
      <c r="C43" s="3501" t="s">
        <v>3608</v>
      </c>
      <c r="D43" s="3512">
        <v>137.75</v>
      </c>
      <c r="E43" s="3504" t="s">
        <v>3770</v>
      </c>
      <c r="F43" s="3500" t="s">
        <v>3769</v>
      </c>
    </row>
    <row r="44" spans="1:6" s="3503" customFormat="1" ht="14.25" customHeight="1">
      <c r="A44" s="3500">
        <v>42</v>
      </c>
      <c r="B44" s="3500">
        <v>5</v>
      </c>
      <c r="C44" s="3501" t="s">
        <v>3609</v>
      </c>
      <c r="D44" s="3512">
        <v>145.29</v>
      </c>
      <c r="E44" s="3504" t="s">
        <v>3770</v>
      </c>
      <c r="F44" s="3500" t="s">
        <v>3769</v>
      </c>
    </row>
    <row r="45" spans="1:6" s="3503" customFormat="1" ht="14.25" customHeight="1">
      <c r="A45" s="3500">
        <v>43</v>
      </c>
      <c r="B45" s="3500">
        <v>5</v>
      </c>
      <c r="C45" s="3501" t="s">
        <v>3610</v>
      </c>
      <c r="D45" s="3512">
        <v>178.68</v>
      </c>
      <c r="E45" s="3504" t="s">
        <v>3770</v>
      </c>
      <c r="F45" s="3500" t="s">
        <v>3769</v>
      </c>
    </row>
    <row r="46" spans="1:6" s="3503" customFormat="1" ht="14.25" customHeight="1">
      <c r="A46" s="3500">
        <v>44</v>
      </c>
      <c r="B46" s="3500">
        <v>5</v>
      </c>
      <c r="C46" s="3501" t="s">
        <v>3611</v>
      </c>
      <c r="D46" s="3512">
        <v>156.88</v>
      </c>
      <c r="E46" s="3504" t="s">
        <v>3771</v>
      </c>
      <c r="F46" s="3500" t="s">
        <v>3769</v>
      </c>
    </row>
    <row r="47" spans="1:6" s="3503" customFormat="1" ht="14.25" customHeight="1">
      <c r="A47" s="3500">
        <v>45</v>
      </c>
      <c r="B47" s="3500">
        <v>5</v>
      </c>
      <c r="C47" s="3501" t="s">
        <v>3612</v>
      </c>
      <c r="D47" s="3512">
        <v>166.44</v>
      </c>
      <c r="E47" s="3504" t="s">
        <v>3772</v>
      </c>
      <c r="F47" s="3500" t="s">
        <v>3769</v>
      </c>
    </row>
    <row r="48" spans="1:6" s="3503" customFormat="1" ht="14.25" customHeight="1">
      <c r="A48" s="3500">
        <v>46</v>
      </c>
      <c r="B48" s="3500">
        <v>5</v>
      </c>
      <c r="C48" s="3501" t="s">
        <v>3613</v>
      </c>
      <c r="D48" s="3512">
        <v>127.95</v>
      </c>
      <c r="E48" s="3504" t="s">
        <v>3770</v>
      </c>
      <c r="F48" s="3500" t="s">
        <v>3769</v>
      </c>
    </row>
    <row r="49" spans="1:6" s="3503" customFormat="1" ht="14.25" customHeight="1">
      <c r="A49" s="3500">
        <v>47</v>
      </c>
      <c r="B49" s="3500">
        <v>5</v>
      </c>
      <c r="C49" s="3501" t="s">
        <v>3614</v>
      </c>
      <c r="D49" s="3512">
        <v>295.41000000000003</v>
      </c>
      <c r="E49" s="3504" t="s">
        <v>3770</v>
      </c>
      <c r="F49" s="3500" t="s">
        <v>3769</v>
      </c>
    </row>
    <row r="50" spans="1:6" s="3503" customFormat="1" ht="14.25" customHeight="1">
      <c r="A50" s="3500">
        <v>48</v>
      </c>
      <c r="B50" s="3500">
        <v>6</v>
      </c>
      <c r="C50" s="3501" t="s">
        <v>3615</v>
      </c>
      <c r="D50" s="3512">
        <v>281.39</v>
      </c>
      <c r="E50" s="3504" t="s">
        <v>3770</v>
      </c>
      <c r="F50" s="3500" t="s">
        <v>3769</v>
      </c>
    </row>
    <row r="51" spans="1:6" s="3503" customFormat="1" ht="14.25" customHeight="1">
      <c r="A51" s="3500">
        <v>49</v>
      </c>
      <c r="B51" s="3500">
        <v>6</v>
      </c>
      <c r="C51" s="3501" t="s">
        <v>3616</v>
      </c>
      <c r="D51" s="3512">
        <v>166.28</v>
      </c>
      <c r="E51" s="3504" t="s">
        <v>3770</v>
      </c>
      <c r="F51" s="3500" t="s">
        <v>3769</v>
      </c>
    </row>
    <row r="52" spans="1:6" s="3503" customFormat="1" ht="14.25" customHeight="1">
      <c r="A52" s="3500">
        <v>50</v>
      </c>
      <c r="B52" s="3500">
        <v>6</v>
      </c>
      <c r="C52" s="3501" t="s">
        <v>3617</v>
      </c>
      <c r="D52" s="3512">
        <v>156.59</v>
      </c>
      <c r="E52" s="3504" t="s">
        <v>3770</v>
      </c>
      <c r="F52" s="3500" t="s">
        <v>3769</v>
      </c>
    </row>
    <row r="53" spans="1:6" s="3503" customFormat="1" ht="14.25" customHeight="1">
      <c r="A53" s="3500">
        <v>51</v>
      </c>
      <c r="B53" s="3500">
        <v>6</v>
      </c>
      <c r="C53" s="3501" t="s">
        <v>3618</v>
      </c>
      <c r="D53" s="3512">
        <v>170.48</v>
      </c>
      <c r="E53" s="3504" t="s">
        <v>3770</v>
      </c>
      <c r="F53" s="3500" t="s">
        <v>3769</v>
      </c>
    </row>
    <row r="54" spans="1:6" s="3503" customFormat="1" ht="14.25" customHeight="1">
      <c r="A54" s="3500">
        <v>52</v>
      </c>
      <c r="B54" s="3500">
        <v>6</v>
      </c>
      <c r="C54" s="3501" t="s">
        <v>3619</v>
      </c>
      <c r="D54" s="3512">
        <v>162.63999999999999</v>
      </c>
      <c r="E54" s="3504" t="s">
        <v>3770</v>
      </c>
      <c r="F54" s="3500" t="s">
        <v>3769</v>
      </c>
    </row>
    <row r="55" spans="1:6" s="3503" customFormat="1" ht="14.25" customHeight="1">
      <c r="A55" s="3500">
        <v>53</v>
      </c>
      <c r="B55" s="3500">
        <v>6</v>
      </c>
      <c r="C55" s="3501" t="s">
        <v>3620</v>
      </c>
      <c r="D55" s="3512">
        <v>149.66</v>
      </c>
      <c r="E55" s="3504" t="s">
        <v>3770</v>
      </c>
      <c r="F55" s="3500" t="s">
        <v>3769</v>
      </c>
    </row>
    <row r="56" spans="1:6" s="3503" customFormat="1" ht="14.25" customHeight="1">
      <c r="A56" s="3500">
        <v>54</v>
      </c>
      <c r="B56" s="3500">
        <v>6</v>
      </c>
      <c r="C56" s="3501" t="s">
        <v>3621</v>
      </c>
      <c r="D56" s="3512">
        <v>345.34</v>
      </c>
      <c r="E56" s="3504" t="s">
        <v>3770</v>
      </c>
      <c r="F56" s="3500" t="s">
        <v>3769</v>
      </c>
    </row>
    <row r="57" spans="1:6" s="3503" customFormat="1" ht="14.25" customHeight="1">
      <c r="A57" s="3500">
        <v>55</v>
      </c>
      <c r="B57" s="3500">
        <v>6</v>
      </c>
      <c r="C57" s="3501" t="s">
        <v>3622</v>
      </c>
      <c r="D57" s="3512">
        <v>295.41000000000003</v>
      </c>
      <c r="E57" s="3504" t="s">
        <v>3770</v>
      </c>
      <c r="F57" s="3500" t="s">
        <v>3769</v>
      </c>
    </row>
    <row r="58" spans="1:6" s="3503" customFormat="1" ht="14.25" customHeight="1">
      <c r="A58" s="3500">
        <v>56</v>
      </c>
      <c r="B58" s="3500">
        <v>7</v>
      </c>
      <c r="C58" s="3501" t="s">
        <v>3623</v>
      </c>
      <c r="D58" s="3512">
        <v>281.39</v>
      </c>
      <c r="E58" s="3504" t="s">
        <v>3770</v>
      </c>
      <c r="F58" s="3500" t="s">
        <v>3769</v>
      </c>
    </row>
    <row r="59" spans="1:6" s="3503" customFormat="1" ht="14.25" customHeight="1">
      <c r="A59" s="3500">
        <v>57</v>
      </c>
      <c r="B59" s="3500">
        <v>8</v>
      </c>
      <c r="C59" s="3501" t="s">
        <v>3624</v>
      </c>
      <c r="D59" s="3512">
        <v>170.48</v>
      </c>
      <c r="E59" s="3504" t="s">
        <v>3770</v>
      </c>
      <c r="F59" s="3500" t="s">
        <v>3769</v>
      </c>
    </row>
    <row r="60" spans="1:6" s="3503" customFormat="1" ht="14.25" customHeight="1">
      <c r="A60" s="3500">
        <v>58</v>
      </c>
      <c r="B60" s="3500">
        <v>8</v>
      </c>
      <c r="C60" s="3501" t="s">
        <v>3625</v>
      </c>
      <c r="D60" s="3512">
        <v>166.44</v>
      </c>
      <c r="E60" s="3504" t="s">
        <v>3770</v>
      </c>
      <c r="F60" s="3500" t="s">
        <v>3769</v>
      </c>
    </row>
    <row r="61" spans="1:6" s="3503" customFormat="1" ht="14.25" customHeight="1">
      <c r="A61" s="3500">
        <v>59</v>
      </c>
      <c r="B61" s="3500">
        <v>8</v>
      </c>
      <c r="C61" s="3501" t="s">
        <v>3626</v>
      </c>
      <c r="D61" s="3512">
        <v>295.41000000000003</v>
      </c>
      <c r="E61" s="3504" t="s">
        <v>3770</v>
      </c>
      <c r="F61" s="3500" t="s">
        <v>3769</v>
      </c>
    </row>
    <row r="62" spans="1:6" s="3503" customFormat="1" ht="14.25" customHeight="1">
      <c r="A62" s="3500">
        <v>60</v>
      </c>
      <c r="B62" s="3500">
        <v>9</v>
      </c>
      <c r="C62" s="3501" t="s">
        <v>3627</v>
      </c>
      <c r="D62" s="3512">
        <v>281.39</v>
      </c>
      <c r="E62" s="3504" t="s">
        <v>3770</v>
      </c>
      <c r="F62" s="3500" t="s">
        <v>3769</v>
      </c>
    </row>
    <row r="63" spans="1:6" s="3503" customFormat="1" ht="14.25" customHeight="1">
      <c r="A63" s="3500">
        <v>61</v>
      </c>
      <c r="B63" s="3500">
        <v>9</v>
      </c>
      <c r="C63" s="3501" t="s">
        <v>3628</v>
      </c>
      <c r="D63" s="3512">
        <v>166.28</v>
      </c>
      <c r="E63" s="3504" t="s">
        <v>3770</v>
      </c>
      <c r="F63" s="3500" t="s">
        <v>3769</v>
      </c>
    </row>
    <row r="64" spans="1:6" s="3503" customFormat="1" ht="14.25" customHeight="1">
      <c r="A64" s="3500">
        <v>62</v>
      </c>
      <c r="B64" s="3500">
        <v>9</v>
      </c>
      <c r="C64" s="3501" t="s">
        <v>3629</v>
      </c>
      <c r="D64" s="3512">
        <v>156.59</v>
      </c>
      <c r="E64" s="3504" t="s">
        <v>3770</v>
      </c>
      <c r="F64" s="3500" t="s">
        <v>3769</v>
      </c>
    </row>
    <row r="65" spans="1:6" s="3503" customFormat="1" ht="14.25" customHeight="1">
      <c r="A65" s="3500">
        <v>63</v>
      </c>
      <c r="B65" s="3500">
        <v>9</v>
      </c>
      <c r="C65" s="3501" t="s">
        <v>3630</v>
      </c>
      <c r="D65" s="3512">
        <v>170.48</v>
      </c>
      <c r="E65" s="3504" t="s">
        <v>3770</v>
      </c>
      <c r="F65" s="3500" t="s">
        <v>3769</v>
      </c>
    </row>
    <row r="66" spans="1:6" s="3503" customFormat="1" ht="14.25" customHeight="1">
      <c r="A66" s="3500">
        <v>64</v>
      </c>
      <c r="B66" s="3500">
        <v>9</v>
      </c>
      <c r="C66" s="3501" t="s">
        <v>3631</v>
      </c>
      <c r="D66" s="3512">
        <v>149.66</v>
      </c>
      <c r="E66" s="3504" t="s">
        <v>3770</v>
      </c>
      <c r="F66" s="3500" t="s">
        <v>3769</v>
      </c>
    </row>
    <row r="67" spans="1:6" s="3503" customFormat="1" ht="14.25" customHeight="1">
      <c r="A67" s="3500">
        <v>65</v>
      </c>
      <c r="B67" s="3500">
        <v>9</v>
      </c>
      <c r="C67" s="3501" t="s">
        <v>3632</v>
      </c>
      <c r="D67" s="3512">
        <v>52.25</v>
      </c>
      <c r="E67" s="3504" t="s">
        <v>3770</v>
      </c>
      <c r="F67" s="3500" t="s">
        <v>3769</v>
      </c>
    </row>
    <row r="68" spans="1:6" s="3503" customFormat="1" ht="14.25" customHeight="1">
      <c r="A68" s="3500">
        <v>66</v>
      </c>
      <c r="B68" s="3500">
        <v>10</v>
      </c>
      <c r="C68" s="3501" t="s">
        <v>3633</v>
      </c>
      <c r="D68" s="3512">
        <v>281.22000000000003</v>
      </c>
      <c r="E68" s="3504" t="s">
        <v>3773</v>
      </c>
      <c r="F68" s="3500" t="s">
        <v>3769</v>
      </c>
    </row>
    <row r="69" spans="1:6" s="3503" customFormat="1" ht="14.25" customHeight="1">
      <c r="A69" s="3500">
        <v>67</v>
      </c>
      <c r="B69" s="3500">
        <v>10</v>
      </c>
      <c r="C69" s="3501" t="s">
        <v>3634</v>
      </c>
      <c r="D69" s="3512">
        <v>166.34</v>
      </c>
      <c r="E69" s="3504" t="s">
        <v>3773</v>
      </c>
      <c r="F69" s="3500" t="s">
        <v>3769</v>
      </c>
    </row>
    <row r="70" spans="1:6" s="3503" customFormat="1" ht="14.25" customHeight="1">
      <c r="A70" s="3500">
        <v>68</v>
      </c>
      <c r="B70" s="3500">
        <v>10</v>
      </c>
      <c r="C70" s="3501" t="s">
        <v>3635</v>
      </c>
      <c r="D70" s="3512">
        <v>156.63999999999999</v>
      </c>
      <c r="E70" s="3504" t="s">
        <v>3773</v>
      </c>
      <c r="F70" s="3500" t="s">
        <v>3769</v>
      </c>
    </row>
    <row r="71" spans="1:6" s="3503" customFormat="1" ht="14.25" customHeight="1">
      <c r="A71" s="3500">
        <v>69</v>
      </c>
      <c r="B71" s="3500">
        <v>10</v>
      </c>
      <c r="C71" s="3501" t="s">
        <v>3636</v>
      </c>
      <c r="D71" s="3512">
        <v>170.54</v>
      </c>
      <c r="E71" s="3504" t="s">
        <v>3773</v>
      </c>
      <c r="F71" s="3500" t="s">
        <v>3769</v>
      </c>
    </row>
    <row r="72" spans="1:6" s="3503" customFormat="1" ht="14.25" customHeight="1">
      <c r="A72" s="3500">
        <v>70</v>
      </c>
      <c r="B72" s="3500">
        <v>10</v>
      </c>
      <c r="C72" s="3501" t="s">
        <v>3637</v>
      </c>
      <c r="D72" s="3512">
        <v>162.69999999999999</v>
      </c>
      <c r="E72" s="3504" t="s">
        <v>3773</v>
      </c>
      <c r="F72" s="3500" t="s">
        <v>3769</v>
      </c>
    </row>
    <row r="73" spans="1:6" s="3503" customFormat="1" ht="14.25" customHeight="1">
      <c r="A73" s="3500">
        <v>71</v>
      </c>
      <c r="B73" s="3500">
        <v>10</v>
      </c>
      <c r="C73" s="3501" t="s">
        <v>3638</v>
      </c>
      <c r="D73" s="3512">
        <v>149.72</v>
      </c>
      <c r="E73" s="3504" t="s">
        <v>3773</v>
      </c>
      <c r="F73" s="3500" t="s">
        <v>3769</v>
      </c>
    </row>
    <row r="74" spans="1:6" s="3503" customFormat="1" ht="14.25" customHeight="1">
      <c r="A74" s="3500">
        <v>72</v>
      </c>
      <c r="B74" s="3500">
        <v>10</v>
      </c>
      <c r="C74" s="3501" t="s">
        <v>3639</v>
      </c>
      <c r="D74" s="3512">
        <v>345.46</v>
      </c>
      <c r="E74" s="3504" t="s">
        <v>3773</v>
      </c>
      <c r="F74" s="3500" t="s">
        <v>3769</v>
      </c>
    </row>
    <row r="75" spans="1:6" s="3503" customFormat="1" ht="14.25" customHeight="1">
      <c r="A75" s="3500">
        <v>73</v>
      </c>
      <c r="B75" s="3500">
        <v>10</v>
      </c>
      <c r="C75" s="3501" t="s">
        <v>3640</v>
      </c>
      <c r="D75" s="3512">
        <v>306.17</v>
      </c>
      <c r="E75" s="3504" t="s">
        <v>3773</v>
      </c>
      <c r="F75" s="3500" t="s">
        <v>3769</v>
      </c>
    </row>
    <row r="76" spans="1:6" s="3503" customFormat="1" ht="14.25" customHeight="1">
      <c r="A76" s="3500">
        <v>74</v>
      </c>
      <c r="B76" s="3500">
        <v>10</v>
      </c>
      <c r="C76" s="3501" t="s">
        <v>3641</v>
      </c>
      <c r="D76" s="3512">
        <v>137.79</v>
      </c>
      <c r="E76" s="3504" t="s">
        <v>3773</v>
      </c>
      <c r="F76" s="3500" t="s">
        <v>3769</v>
      </c>
    </row>
    <row r="77" spans="1:6" s="3503" customFormat="1" ht="14.25" customHeight="1">
      <c r="A77" s="3500">
        <v>75</v>
      </c>
      <c r="B77" s="3500">
        <v>10</v>
      </c>
      <c r="C77" s="3501" t="s">
        <v>3642</v>
      </c>
      <c r="D77" s="3512">
        <v>145.34</v>
      </c>
      <c r="E77" s="3504" t="s">
        <v>3773</v>
      </c>
      <c r="F77" s="3500" t="s">
        <v>3769</v>
      </c>
    </row>
    <row r="78" spans="1:6" s="3503" customFormat="1" ht="14.25" customHeight="1">
      <c r="A78" s="3500">
        <v>76</v>
      </c>
      <c r="B78" s="3500">
        <v>10</v>
      </c>
      <c r="C78" s="3501" t="s">
        <v>3643</v>
      </c>
      <c r="D78" s="3512">
        <v>178.74</v>
      </c>
      <c r="E78" s="3504" t="s">
        <v>3773</v>
      </c>
      <c r="F78" s="3500" t="s">
        <v>3769</v>
      </c>
    </row>
    <row r="79" spans="1:6" s="3503" customFormat="1" ht="14.25" customHeight="1">
      <c r="A79" s="3500">
        <v>77</v>
      </c>
      <c r="B79" s="3500">
        <v>10</v>
      </c>
      <c r="C79" s="3501" t="s">
        <v>3644</v>
      </c>
      <c r="D79" s="3512">
        <v>156.93</v>
      </c>
      <c r="E79" s="3504" t="s">
        <v>3773</v>
      </c>
      <c r="F79" s="3500" t="s">
        <v>3769</v>
      </c>
    </row>
    <row r="80" spans="1:6" s="3503" customFormat="1" ht="14.25" customHeight="1">
      <c r="A80" s="3500">
        <v>78</v>
      </c>
      <c r="B80" s="3500">
        <v>10</v>
      </c>
      <c r="C80" s="3501" t="s">
        <v>3645</v>
      </c>
      <c r="D80" s="3512">
        <v>166.5</v>
      </c>
      <c r="E80" s="3504" t="s">
        <v>3774</v>
      </c>
      <c r="F80" s="3500" t="s">
        <v>3769</v>
      </c>
    </row>
    <row r="81" spans="1:6" s="3503" customFormat="1" ht="14.25" customHeight="1">
      <c r="A81" s="3500">
        <v>79</v>
      </c>
      <c r="B81" s="3500">
        <v>10</v>
      </c>
      <c r="C81" s="3501" t="s">
        <v>3646</v>
      </c>
      <c r="D81" s="3512">
        <v>127.99</v>
      </c>
      <c r="E81" s="3504" t="s">
        <v>3775</v>
      </c>
      <c r="F81" s="3500" t="s">
        <v>3769</v>
      </c>
    </row>
    <row r="82" spans="1:6" s="3503" customFormat="1" ht="14.25" customHeight="1">
      <c r="A82" s="3500">
        <v>80</v>
      </c>
      <c r="B82" s="3500">
        <v>10</v>
      </c>
      <c r="C82" s="3501" t="s">
        <v>3647</v>
      </c>
      <c r="D82" s="3512">
        <v>294.62</v>
      </c>
      <c r="E82" s="3504" t="s">
        <v>3775</v>
      </c>
      <c r="F82" s="3500" t="s">
        <v>3769</v>
      </c>
    </row>
    <row r="83" spans="1:6" s="3503" customFormat="1" ht="14.25" customHeight="1">
      <c r="A83" s="3500">
        <v>81</v>
      </c>
      <c r="B83" s="3500">
        <v>10</v>
      </c>
      <c r="C83" s="3501" t="s">
        <v>3648</v>
      </c>
      <c r="D83" s="3512">
        <v>52.27</v>
      </c>
      <c r="E83" s="3504" t="s">
        <v>3775</v>
      </c>
      <c r="F83" s="3500" t="s">
        <v>3769</v>
      </c>
    </row>
    <row r="84" spans="1:6" s="3503" customFormat="1" ht="14.25" customHeight="1">
      <c r="A84" s="3500">
        <v>82</v>
      </c>
      <c r="B84" s="3500">
        <v>11</v>
      </c>
      <c r="C84" s="3501" t="s">
        <v>3649</v>
      </c>
      <c r="D84" s="3512">
        <v>281.52</v>
      </c>
      <c r="E84" s="3504" t="s">
        <v>3775</v>
      </c>
      <c r="F84" s="3500" t="s">
        <v>3769</v>
      </c>
    </row>
    <row r="85" spans="1:6" s="3503" customFormat="1" ht="14.25" customHeight="1">
      <c r="A85" s="3500">
        <v>83</v>
      </c>
      <c r="B85" s="3500">
        <v>11</v>
      </c>
      <c r="C85" s="3501" t="s">
        <v>3650</v>
      </c>
      <c r="D85" s="3512">
        <v>166.25</v>
      </c>
      <c r="E85" s="3504" t="s">
        <v>3775</v>
      </c>
      <c r="F85" s="3500" t="s">
        <v>3769</v>
      </c>
    </row>
    <row r="86" spans="1:6" s="3503" customFormat="1" ht="14.25" customHeight="1">
      <c r="A86" s="3500">
        <v>84</v>
      </c>
      <c r="B86" s="3500">
        <v>11</v>
      </c>
      <c r="C86" s="3501" t="s">
        <v>3651</v>
      </c>
      <c r="D86" s="3512">
        <v>156.56</v>
      </c>
      <c r="E86" s="3504" t="s">
        <v>3775</v>
      </c>
      <c r="F86" s="3500" t="s">
        <v>3769</v>
      </c>
    </row>
    <row r="87" spans="1:6" s="3503" customFormat="1" ht="14.25" customHeight="1">
      <c r="A87" s="3500">
        <v>85</v>
      </c>
      <c r="B87" s="3500">
        <v>11</v>
      </c>
      <c r="C87" s="3501" t="s">
        <v>3652</v>
      </c>
      <c r="D87" s="3512">
        <v>170.45</v>
      </c>
      <c r="E87" s="3504" t="s">
        <v>3775</v>
      </c>
      <c r="F87" s="3500" t="s">
        <v>3769</v>
      </c>
    </row>
    <row r="88" spans="1:6" s="3503" customFormat="1" ht="14.25" customHeight="1">
      <c r="A88" s="3500">
        <v>86</v>
      </c>
      <c r="B88" s="3500">
        <v>11</v>
      </c>
      <c r="C88" s="3501" t="s">
        <v>3653</v>
      </c>
      <c r="D88" s="3512">
        <v>162.61000000000001</v>
      </c>
      <c r="E88" s="3504" t="s">
        <v>3775</v>
      </c>
      <c r="F88" s="3500" t="s">
        <v>3769</v>
      </c>
    </row>
    <row r="89" spans="1:6" s="3503" customFormat="1" ht="14.25" customHeight="1">
      <c r="A89" s="3500">
        <v>87</v>
      </c>
      <c r="B89" s="3500">
        <v>11</v>
      </c>
      <c r="C89" s="3501" t="s">
        <v>3654</v>
      </c>
      <c r="D89" s="3512">
        <v>149.63999999999999</v>
      </c>
      <c r="E89" s="3504" t="s">
        <v>3773</v>
      </c>
      <c r="F89" s="3500" t="s">
        <v>3769</v>
      </c>
    </row>
    <row r="90" spans="1:6" s="3503" customFormat="1" ht="14.25" customHeight="1">
      <c r="A90" s="3500">
        <v>88</v>
      </c>
      <c r="B90" s="3500">
        <v>11</v>
      </c>
      <c r="C90" s="3501" t="s">
        <v>3655</v>
      </c>
      <c r="D90" s="3512">
        <v>345.94</v>
      </c>
      <c r="E90" s="3504" t="s">
        <v>3773</v>
      </c>
      <c r="F90" s="3500" t="s">
        <v>3769</v>
      </c>
    </row>
    <row r="91" spans="1:6" s="3503" customFormat="1" ht="14.25" customHeight="1">
      <c r="A91" s="3500">
        <v>89</v>
      </c>
      <c r="B91" s="3500">
        <v>11</v>
      </c>
      <c r="C91" s="3501" t="s">
        <v>3656</v>
      </c>
      <c r="D91" s="3512">
        <v>305.16000000000003</v>
      </c>
      <c r="E91" s="3504" t="s">
        <v>3773</v>
      </c>
      <c r="F91" s="3500" t="s">
        <v>3769</v>
      </c>
    </row>
    <row r="92" spans="1:6" s="3503" customFormat="1" ht="14.25" customHeight="1">
      <c r="A92" s="3500">
        <v>90</v>
      </c>
      <c r="B92" s="3500">
        <v>11</v>
      </c>
      <c r="C92" s="3501" t="s">
        <v>3657</v>
      </c>
      <c r="D92" s="3512">
        <v>137.72</v>
      </c>
      <c r="E92" s="3504" t="s">
        <v>3773</v>
      </c>
      <c r="F92" s="3500" t="s">
        <v>3769</v>
      </c>
    </row>
    <row r="93" spans="1:6" s="3503" customFormat="1" ht="14.25" customHeight="1">
      <c r="A93" s="3500">
        <v>91</v>
      </c>
      <c r="B93" s="3500">
        <v>11</v>
      </c>
      <c r="C93" s="3501" t="s">
        <v>3658</v>
      </c>
      <c r="D93" s="3512">
        <v>145.27000000000001</v>
      </c>
      <c r="E93" s="3504" t="s">
        <v>3773</v>
      </c>
      <c r="F93" s="3500" t="s">
        <v>3769</v>
      </c>
    </row>
    <row r="94" spans="1:6" s="3503" customFormat="1" ht="14.25" customHeight="1">
      <c r="A94" s="3500">
        <v>92</v>
      </c>
      <c r="B94" s="3500">
        <v>11</v>
      </c>
      <c r="C94" s="3501" t="s">
        <v>3659</v>
      </c>
      <c r="D94" s="3512">
        <v>178.65</v>
      </c>
      <c r="E94" s="3504" t="s">
        <v>3773</v>
      </c>
      <c r="F94" s="3500" t="s">
        <v>3769</v>
      </c>
    </row>
    <row r="95" spans="1:6" s="3503" customFormat="1" ht="14.25" customHeight="1">
      <c r="A95" s="3500">
        <v>93</v>
      </c>
      <c r="B95" s="3500">
        <v>11</v>
      </c>
      <c r="C95" s="3501" t="s">
        <v>3660</v>
      </c>
      <c r="D95" s="3512">
        <v>156.85</v>
      </c>
      <c r="E95" s="3504" t="s">
        <v>3773</v>
      </c>
      <c r="F95" s="3500" t="s">
        <v>3769</v>
      </c>
    </row>
    <row r="96" spans="1:6" s="3503" customFormat="1" ht="14.25" customHeight="1">
      <c r="A96" s="3500">
        <v>94</v>
      </c>
      <c r="B96" s="3500">
        <v>11</v>
      </c>
      <c r="C96" s="3501" t="s">
        <v>3661</v>
      </c>
      <c r="D96" s="3512">
        <v>166.41</v>
      </c>
      <c r="E96" s="3504" t="s">
        <v>3773</v>
      </c>
      <c r="F96" s="3500" t="s">
        <v>3769</v>
      </c>
    </row>
    <row r="97" spans="1:6" s="3503" customFormat="1" ht="14.25" customHeight="1">
      <c r="A97" s="3500">
        <v>95</v>
      </c>
      <c r="B97" s="3500">
        <v>11</v>
      </c>
      <c r="C97" s="3501" t="s">
        <v>3662</v>
      </c>
      <c r="D97" s="3512">
        <v>127.93</v>
      </c>
      <c r="E97" s="3504" t="s">
        <v>3773</v>
      </c>
      <c r="F97" s="3500" t="s">
        <v>3769</v>
      </c>
    </row>
    <row r="98" spans="1:6" s="3503" customFormat="1" ht="14.25" customHeight="1">
      <c r="A98" s="3500">
        <v>96</v>
      </c>
      <c r="B98" s="3500">
        <v>11</v>
      </c>
      <c r="C98" s="3501" t="s">
        <v>3663</v>
      </c>
      <c r="D98" s="3512">
        <v>295.79000000000002</v>
      </c>
      <c r="E98" s="3504" t="s">
        <v>3773</v>
      </c>
      <c r="F98" s="3500" t="s">
        <v>3769</v>
      </c>
    </row>
    <row r="99" spans="1:6" s="3503" customFormat="1" ht="14.25" customHeight="1">
      <c r="A99" s="3500">
        <v>97</v>
      </c>
      <c r="B99" s="3500">
        <v>12</v>
      </c>
      <c r="C99" s="3501" t="s">
        <v>3664</v>
      </c>
      <c r="D99" s="3512">
        <v>281.52</v>
      </c>
      <c r="E99" s="3504" t="s">
        <v>3773</v>
      </c>
      <c r="F99" s="3500" t="s">
        <v>3769</v>
      </c>
    </row>
    <row r="100" spans="1:6" s="3503" customFormat="1" ht="14.25" customHeight="1">
      <c r="A100" s="3500">
        <v>98</v>
      </c>
      <c r="B100" s="3500">
        <v>12</v>
      </c>
      <c r="C100" s="3501" t="s">
        <v>3665</v>
      </c>
      <c r="D100" s="3512">
        <v>166.25</v>
      </c>
      <c r="E100" s="3504" t="s">
        <v>3773</v>
      </c>
      <c r="F100" s="3500" t="s">
        <v>3769</v>
      </c>
    </row>
    <row r="101" spans="1:6" s="3503" customFormat="1" ht="14.25" customHeight="1">
      <c r="A101" s="3500">
        <v>99</v>
      </c>
      <c r="B101" s="3500">
        <v>12</v>
      </c>
      <c r="C101" s="3501" t="s">
        <v>3666</v>
      </c>
      <c r="D101" s="3512">
        <v>156.56</v>
      </c>
      <c r="E101" s="3504" t="s">
        <v>3773</v>
      </c>
      <c r="F101" s="3500" t="s">
        <v>3769</v>
      </c>
    </row>
    <row r="102" spans="1:6" s="3503" customFormat="1" ht="14.25" customHeight="1">
      <c r="A102" s="3500">
        <v>100</v>
      </c>
      <c r="B102" s="3500">
        <v>12</v>
      </c>
      <c r="C102" s="3501" t="s">
        <v>3667</v>
      </c>
      <c r="D102" s="3512">
        <v>170.45</v>
      </c>
      <c r="E102" s="3504" t="s">
        <v>3773</v>
      </c>
      <c r="F102" s="3500" t="s">
        <v>3769</v>
      </c>
    </row>
    <row r="103" spans="1:6" s="3503" customFormat="1" ht="14.25" customHeight="1">
      <c r="A103" s="3500">
        <v>101</v>
      </c>
      <c r="B103" s="3500">
        <v>12</v>
      </c>
      <c r="C103" s="3501" t="s">
        <v>3668</v>
      </c>
      <c r="D103" s="3512">
        <v>162.61000000000001</v>
      </c>
      <c r="E103" s="3504" t="s">
        <v>3773</v>
      </c>
      <c r="F103" s="3500" t="s">
        <v>3769</v>
      </c>
    </row>
    <row r="104" spans="1:6" s="3503" customFormat="1" ht="14.25" customHeight="1">
      <c r="A104" s="3500">
        <v>102</v>
      </c>
      <c r="B104" s="3500">
        <v>12</v>
      </c>
      <c r="C104" s="3501" t="s">
        <v>3669</v>
      </c>
      <c r="D104" s="3512">
        <v>149.63999999999999</v>
      </c>
      <c r="E104" s="3504" t="s">
        <v>3773</v>
      </c>
      <c r="F104" s="3500" t="s">
        <v>3769</v>
      </c>
    </row>
    <row r="105" spans="1:6" s="3503" customFormat="1" ht="14.25" customHeight="1">
      <c r="A105" s="3500">
        <v>103</v>
      </c>
      <c r="B105" s="3500">
        <v>12</v>
      </c>
      <c r="C105" s="3501" t="s">
        <v>3670</v>
      </c>
      <c r="D105" s="3512">
        <v>345.94</v>
      </c>
      <c r="E105" s="3504" t="s">
        <v>3773</v>
      </c>
      <c r="F105" s="3500" t="s">
        <v>3769</v>
      </c>
    </row>
    <row r="106" spans="1:6" s="3503" customFormat="1" ht="14.25" customHeight="1">
      <c r="A106" s="3500">
        <v>104</v>
      </c>
      <c r="B106" s="3500">
        <v>12</v>
      </c>
      <c r="C106" s="3501" t="s">
        <v>3671</v>
      </c>
      <c r="D106" s="3512">
        <v>305.16000000000003</v>
      </c>
      <c r="E106" s="3504" t="s">
        <v>3773</v>
      </c>
      <c r="F106" s="3500" t="s">
        <v>3769</v>
      </c>
    </row>
    <row r="107" spans="1:6" s="3503" customFormat="1" ht="14.25" customHeight="1">
      <c r="A107" s="3500">
        <v>105</v>
      </c>
      <c r="B107" s="3500">
        <v>12</v>
      </c>
      <c r="C107" s="3501" t="s">
        <v>3672</v>
      </c>
      <c r="D107" s="3512">
        <v>137.72</v>
      </c>
      <c r="E107" s="3504" t="s">
        <v>3773</v>
      </c>
      <c r="F107" s="3500" t="s">
        <v>3769</v>
      </c>
    </row>
    <row r="108" spans="1:6" s="3503" customFormat="1" ht="14.25" customHeight="1">
      <c r="A108" s="3500">
        <v>106</v>
      </c>
      <c r="B108" s="3500">
        <v>12</v>
      </c>
      <c r="C108" s="3501" t="s">
        <v>3673</v>
      </c>
      <c r="D108" s="3512">
        <v>145.27000000000001</v>
      </c>
      <c r="E108" s="3504" t="s">
        <v>3773</v>
      </c>
      <c r="F108" s="3500" t="s">
        <v>3769</v>
      </c>
    </row>
    <row r="109" spans="1:6" s="3503" customFormat="1" ht="14.25" customHeight="1">
      <c r="A109" s="3500">
        <v>107</v>
      </c>
      <c r="B109" s="3500">
        <v>12</v>
      </c>
      <c r="C109" s="3501" t="s">
        <v>3674</v>
      </c>
      <c r="D109" s="3512">
        <v>178.65</v>
      </c>
      <c r="E109" s="3504" t="s">
        <v>3773</v>
      </c>
      <c r="F109" s="3500" t="s">
        <v>3769</v>
      </c>
    </row>
    <row r="110" spans="1:6" s="3503" customFormat="1" ht="14.25" customHeight="1">
      <c r="A110" s="3500">
        <v>108</v>
      </c>
      <c r="B110" s="3500">
        <v>12</v>
      </c>
      <c r="C110" s="3501" t="s">
        <v>3675</v>
      </c>
      <c r="D110" s="3512">
        <v>156.85</v>
      </c>
      <c r="E110" s="3504" t="s">
        <v>3773</v>
      </c>
      <c r="F110" s="3500" t="s">
        <v>3769</v>
      </c>
    </row>
    <row r="111" spans="1:6" s="3503" customFormat="1" ht="14.25" customHeight="1">
      <c r="A111" s="3500">
        <v>109</v>
      </c>
      <c r="B111" s="3500">
        <v>12</v>
      </c>
      <c r="C111" s="3501" t="s">
        <v>3676</v>
      </c>
      <c r="D111" s="3512">
        <v>166.41</v>
      </c>
      <c r="E111" s="3504" t="s">
        <v>3773</v>
      </c>
      <c r="F111" s="3500" t="s">
        <v>3769</v>
      </c>
    </row>
    <row r="112" spans="1:6" s="3503" customFormat="1" ht="14.25" customHeight="1">
      <c r="A112" s="3500">
        <v>110</v>
      </c>
      <c r="B112" s="3500">
        <v>12</v>
      </c>
      <c r="C112" s="3501" t="s">
        <v>3677</v>
      </c>
      <c r="D112" s="3512">
        <v>127.93</v>
      </c>
      <c r="E112" s="3504" t="s">
        <v>3773</v>
      </c>
      <c r="F112" s="3500" t="s">
        <v>3769</v>
      </c>
    </row>
    <row r="113" spans="1:6" s="3503" customFormat="1" ht="14.25" customHeight="1">
      <c r="A113" s="3500">
        <v>111</v>
      </c>
      <c r="B113" s="3500">
        <v>12</v>
      </c>
      <c r="C113" s="3501" t="s">
        <v>3678</v>
      </c>
      <c r="D113" s="3512">
        <v>295.79000000000002</v>
      </c>
      <c r="E113" s="3504" t="s">
        <v>3773</v>
      </c>
      <c r="F113" s="3500" t="s">
        <v>3769</v>
      </c>
    </row>
    <row r="114" spans="1:6" s="3503" customFormat="1" ht="14.25" customHeight="1">
      <c r="A114" s="3500">
        <v>112</v>
      </c>
      <c r="B114" s="3500">
        <v>12</v>
      </c>
      <c r="C114" s="3501" t="s">
        <v>3679</v>
      </c>
      <c r="D114" s="3512">
        <v>52.24</v>
      </c>
      <c r="E114" s="3504" t="s">
        <v>3773</v>
      </c>
      <c r="F114" s="3500" t="s">
        <v>3769</v>
      </c>
    </row>
    <row r="115" spans="1:6" s="3503" customFormat="1" ht="14.25" customHeight="1">
      <c r="A115" s="3500">
        <v>113</v>
      </c>
      <c r="B115" s="3500">
        <v>13</v>
      </c>
      <c r="C115" s="3501" t="s">
        <v>3680</v>
      </c>
      <c r="D115" s="3512">
        <v>281.5</v>
      </c>
      <c r="E115" s="3504" t="s">
        <v>3773</v>
      </c>
      <c r="F115" s="3500" t="s">
        <v>3769</v>
      </c>
    </row>
    <row r="116" spans="1:6" s="3503" customFormat="1" ht="14.25" customHeight="1">
      <c r="A116" s="3500">
        <v>114</v>
      </c>
      <c r="B116" s="3500">
        <v>13</v>
      </c>
      <c r="C116" s="3501" t="s">
        <v>3681</v>
      </c>
      <c r="D116" s="3512">
        <v>166.24</v>
      </c>
      <c r="E116" s="3504" t="s">
        <v>3773</v>
      </c>
      <c r="F116" s="3500" t="s">
        <v>3769</v>
      </c>
    </row>
    <row r="117" spans="1:6" s="3503" customFormat="1" ht="14.25" customHeight="1">
      <c r="A117" s="3500">
        <v>115</v>
      </c>
      <c r="B117" s="3500">
        <v>13</v>
      </c>
      <c r="C117" s="3501" t="s">
        <v>3682</v>
      </c>
      <c r="D117" s="3512">
        <v>156.55000000000001</v>
      </c>
      <c r="E117" s="3504" t="s">
        <v>3773</v>
      </c>
      <c r="F117" s="3500" t="s">
        <v>3769</v>
      </c>
    </row>
    <row r="118" spans="1:6" s="3503" customFormat="1" ht="14.25" customHeight="1">
      <c r="A118" s="3500">
        <v>116</v>
      </c>
      <c r="B118" s="3500">
        <v>13</v>
      </c>
      <c r="C118" s="3501" t="s">
        <v>3683</v>
      </c>
      <c r="D118" s="3512">
        <v>170.44</v>
      </c>
      <c r="E118" s="3504" t="s">
        <v>3773</v>
      </c>
      <c r="F118" s="3500" t="s">
        <v>3769</v>
      </c>
    </row>
    <row r="119" spans="1:6" s="3503" customFormat="1" ht="14.25" customHeight="1">
      <c r="A119" s="3500">
        <v>117</v>
      </c>
      <c r="B119" s="3500">
        <v>13</v>
      </c>
      <c r="C119" s="3501" t="s">
        <v>3684</v>
      </c>
      <c r="D119" s="3512">
        <v>162.6</v>
      </c>
      <c r="E119" s="3504" t="s">
        <v>3773</v>
      </c>
      <c r="F119" s="3500" t="s">
        <v>3769</v>
      </c>
    </row>
    <row r="120" spans="1:6" s="3503" customFormat="1" ht="14.25" customHeight="1">
      <c r="A120" s="3500">
        <v>118</v>
      </c>
      <c r="B120" s="3500">
        <v>13</v>
      </c>
      <c r="C120" s="3501" t="s">
        <v>3685</v>
      </c>
      <c r="D120" s="3512">
        <v>149.63</v>
      </c>
      <c r="E120" s="3504" t="s">
        <v>3773</v>
      </c>
      <c r="F120" s="3500" t="s">
        <v>3769</v>
      </c>
    </row>
    <row r="121" spans="1:6" s="3503" customFormat="1" ht="14.25" customHeight="1">
      <c r="A121" s="3500">
        <v>119</v>
      </c>
      <c r="B121" s="3500">
        <v>13</v>
      </c>
      <c r="C121" s="3501" t="s">
        <v>3686</v>
      </c>
      <c r="D121" s="3512">
        <v>346.57</v>
      </c>
      <c r="E121" s="3504" t="s">
        <v>3773</v>
      </c>
      <c r="F121" s="3500" t="s">
        <v>3769</v>
      </c>
    </row>
    <row r="122" spans="1:6" s="3503" customFormat="1" ht="14.25" customHeight="1">
      <c r="A122" s="3500">
        <v>120</v>
      </c>
      <c r="B122" s="3500">
        <v>13</v>
      </c>
      <c r="C122" s="3501" t="s">
        <v>3687</v>
      </c>
      <c r="D122" s="3512">
        <v>304.68</v>
      </c>
      <c r="E122" s="3504" t="s">
        <v>3773</v>
      </c>
      <c r="F122" s="3500" t="s">
        <v>3769</v>
      </c>
    </row>
    <row r="123" spans="1:6" s="3503" customFormat="1" ht="14.25" customHeight="1">
      <c r="A123" s="3500">
        <v>121</v>
      </c>
      <c r="B123" s="3500">
        <v>13</v>
      </c>
      <c r="C123" s="3501" t="s">
        <v>3688</v>
      </c>
      <c r="D123" s="3512">
        <v>137.71</v>
      </c>
      <c r="E123" s="3504" t="s">
        <v>3773</v>
      </c>
      <c r="F123" s="3500" t="s">
        <v>3769</v>
      </c>
    </row>
    <row r="124" spans="1:6" s="3503" customFormat="1" ht="14.25" customHeight="1">
      <c r="A124" s="3500">
        <v>122</v>
      </c>
      <c r="B124" s="3500">
        <v>13</v>
      </c>
      <c r="C124" s="3501" t="s">
        <v>3689</v>
      </c>
      <c r="D124" s="3512">
        <v>145.26</v>
      </c>
      <c r="E124" s="3504" t="s">
        <v>3773</v>
      </c>
      <c r="F124" s="3500" t="s">
        <v>3769</v>
      </c>
    </row>
    <row r="125" spans="1:6" s="3503" customFormat="1" ht="14.25" customHeight="1">
      <c r="A125" s="3500">
        <v>123</v>
      </c>
      <c r="B125" s="3500">
        <v>13</v>
      </c>
      <c r="C125" s="3501" t="s">
        <v>3690</v>
      </c>
      <c r="D125" s="3512">
        <v>178.63</v>
      </c>
      <c r="E125" s="3504" t="s">
        <v>3773</v>
      </c>
      <c r="F125" s="3500" t="s">
        <v>3769</v>
      </c>
    </row>
    <row r="126" spans="1:6" s="3503" customFormat="1" ht="14.25" customHeight="1">
      <c r="A126" s="3500">
        <v>124</v>
      </c>
      <c r="B126" s="3500">
        <v>13</v>
      </c>
      <c r="C126" s="3501" t="s">
        <v>3691</v>
      </c>
      <c r="D126" s="3512">
        <v>156.84</v>
      </c>
      <c r="E126" s="3504" t="s">
        <v>3773</v>
      </c>
      <c r="F126" s="3500" t="s">
        <v>3769</v>
      </c>
    </row>
    <row r="127" spans="1:6" s="3503" customFormat="1" ht="14.25" customHeight="1">
      <c r="A127" s="3500">
        <v>125</v>
      </c>
      <c r="B127" s="3500">
        <v>13</v>
      </c>
      <c r="C127" s="3501" t="s">
        <v>3692</v>
      </c>
      <c r="D127" s="3512">
        <v>166.4</v>
      </c>
      <c r="E127" s="3504" t="s">
        <v>3773</v>
      </c>
      <c r="F127" s="3500" t="s">
        <v>3769</v>
      </c>
    </row>
    <row r="128" spans="1:6" s="3503" customFormat="1" ht="14.25" customHeight="1">
      <c r="A128" s="3500">
        <v>126</v>
      </c>
      <c r="B128" s="3500">
        <v>13</v>
      </c>
      <c r="C128" s="3501" t="s">
        <v>3693</v>
      </c>
      <c r="D128" s="3512">
        <v>127.92</v>
      </c>
      <c r="E128" s="3504" t="s">
        <v>3773</v>
      </c>
      <c r="F128" s="3500" t="s">
        <v>3769</v>
      </c>
    </row>
    <row r="129" spans="1:6" s="3503" customFormat="1" ht="14.25" customHeight="1">
      <c r="A129" s="3500">
        <v>127</v>
      </c>
      <c r="B129" s="3500">
        <v>13</v>
      </c>
      <c r="C129" s="3501" t="s">
        <v>3694</v>
      </c>
      <c r="D129" s="3512">
        <v>295.77</v>
      </c>
      <c r="E129" s="3504" t="s">
        <v>3773</v>
      </c>
      <c r="F129" s="3500" t="s">
        <v>3769</v>
      </c>
    </row>
    <row r="130" spans="1:6" s="3503" customFormat="1" ht="14.25" customHeight="1">
      <c r="A130" s="3500">
        <v>128</v>
      </c>
      <c r="B130" s="3500">
        <v>13</v>
      </c>
      <c r="C130" s="3501" t="s">
        <v>3695</v>
      </c>
      <c r="D130" s="3512">
        <v>52.24</v>
      </c>
      <c r="E130" s="3504" t="s">
        <v>3773</v>
      </c>
      <c r="F130" s="3500" t="s">
        <v>3769</v>
      </c>
    </row>
    <row r="131" spans="1:6" s="3503" customFormat="1" ht="14.25" customHeight="1">
      <c r="A131" s="3500">
        <v>129</v>
      </c>
      <c r="B131" s="3500">
        <v>14</v>
      </c>
      <c r="C131" s="3501" t="s">
        <v>3696</v>
      </c>
      <c r="D131" s="3512">
        <v>281.52</v>
      </c>
      <c r="E131" s="3504" t="s">
        <v>3770</v>
      </c>
      <c r="F131" s="3500" t="s">
        <v>3769</v>
      </c>
    </row>
    <row r="132" spans="1:6" s="3503" customFormat="1" ht="14.25" customHeight="1">
      <c r="A132" s="3500">
        <v>130</v>
      </c>
      <c r="B132" s="3500">
        <v>14</v>
      </c>
      <c r="C132" s="3501" t="s">
        <v>3697</v>
      </c>
      <c r="D132" s="3512">
        <v>166.25</v>
      </c>
      <c r="E132" s="3504" t="s">
        <v>3770</v>
      </c>
      <c r="F132" s="3500" t="s">
        <v>3769</v>
      </c>
    </row>
    <row r="133" spans="1:6" s="3503" customFormat="1" ht="14.25" customHeight="1">
      <c r="A133" s="3500">
        <v>131</v>
      </c>
      <c r="B133" s="3500">
        <v>14</v>
      </c>
      <c r="C133" s="3501" t="s">
        <v>3698</v>
      </c>
      <c r="D133" s="3512">
        <v>156.56</v>
      </c>
      <c r="E133" s="3504" t="s">
        <v>3770</v>
      </c>
      <c r="F133" s="3500" t="s">
        <v>3769</v>
      </c>
    </row>
    <row r="134" spans="1:6" s="3503" customFormat="1" ht="14.25" customHeight="1">
      <c r="A134" s="3500">
        <v>132</v>
      </c>
      <c r="B134" s="3500">
        <v>14</v>
      </c>
      <c r="C134" s="3501" t="s">
        <v>3699</v>
      </c>
      <c r="D134" s="3512">
        <v>170.45</v>
      </c>
      <c r="E134" s="3504" t="s">
        <v>3770</v>
      </c>
      <c r="F134" s="3500" t="s">
        <v>3769</v>
      </c>
    </row>
    <row r="135" spans="1:6" s="3503" customFormat="1" ht="14.25" customHeight="1">
      <c r="A135" s="3500">
        <v>133</v>
      </c>
      <c r="B135" s="3500">
        <v>14</v>
      </c>
      <c r="C135" s="3501" t="s">
        <v>3700</v>
      </c>
      <c r="D135" s="3512">
        <v>162.61000000000001</v>
      </c>
      <c r="E135" s="3504" t="s">
        <v>3770</v>
      </c>
      <c r="F135" s="3500" t="s">
        <v>3769</v>
      </c>
    </row>
    <row r="136" spans="1:6" s="3503" customFormat="1" ht="14.25" customHeight="1">
      <c r="A136" s="3500">
        <v>134</v>
      </c>
      <c r="B136" s="3500">
        <v>14</v>
      </c>
      <c r="C136" s="3501" t="s">
        <v>3701</v>
      </c>
      <c r="D136" s="3512">
        <v>156.85</v>
      </c>
      <c r="E136" s="3504" t="s">
        <v>3770</v>
      </c>
      <c r="F136" s="3500" t="s">
        <v>3769</v>
      </c>
    </row>
    <row r="137" spans="1:6" s="3503" customFormat="1" ht="14.25" customHeight="1">
      <c r="A137" s="3500">
        <v>135</v>
      </c>
      <c r="B137" s="3500">
        <v>14</v>
      </c>
      <c r="C137" s="3501" t="s">
        <v>3702</v>
      </c>
      <c r="D137" s="3512">
        <v>166.41</v>
      </c>
      <c r="E137" s="3504" t="s">
        <v>3770</v>
      </c>
      <c r="F137" s="3500" t="s">
        <v>3769</v>
      </c>
    </row>
    <row r="138" spans="1:6" s="3503" customFormat="1" ht="14.25" customHeight="1">
      <c r="A138" s="3500">
        <v>136</v>
      </c>
      <c r="B138" s="3500">
        <v>15</v>
      </c>
      <c r="C138" s="3501" t="s">
        <v>3703</v>
      </c>
      <c r="D138" s="3512">
        <v>281.52999999999997</v>
      </c>
      <c r="E138" s="3504" t="s">
        <v>3770</v>
      </c>
      <c r="F138" s="3500" t="s">
        <v>3769</v>
      </c>
    </row>
    <row r="139" spans="1:6" s="3503" customFormat="1" ht="14.25" customHeight="1">
      <c r="A139" s="3500">
        <v>137</v>
      </c>
      <c r="B139" s="3500">
        <v>15</v>
      </c>
      <c r="C139" s="3501" t="s">
        <v>3704</v>
      </c>
      <c r="D139" s="3512">
        <v>166.26</v>
      </c>
      <c r="E139" s="3504" t="s">
        <v>3770</v>
      </c>
      <c r="F139" s="3500" t="s">
        <v>3769</v>
      </c>
    </row>
    <row r="140" spans="1:6" s="3503" customFormat="1" ht="14.25" customHeight="1">
      <c r="A140" s="3500">
        <v>138</v>
      </c>
      <c r="B140" s="3500">
        <v>15</v>
      </c>
      <c r="C140" s="3501" t="s">
        <v>3705</v>
      </c>
      <c r="D140" s="3512">
        <v>156.56</v>
      </c>
      <c r="E140" s="3504" t="s">
        <v>3770</v>
      </c>
      <c r="F140" s="3500" t="s">
        <v>3769</v>
      </c>
    </row>
    <row r="141" spans="1:6" s="3503" customFormat="1" ht="14.25" customHeight="1">
      <c r="A141" s="3500">
        <v>139</v>
      </c>
      <c r="B141" s="3500">
        <v>15</v>
      </c>
      <c r="C141" s="3501" t="s">
        <v>3706</v>
      </c>
      <c r="D141" s="3512">
        <v>170.45</v>
      </c>
      <c r="E141" s="3504" t="s">
        <v>3770</v>
      </c>
      <c r="F141" s="3500" t="s">
        <v>3769</v>
      </c>
    </row>
    <row r="142" spans="1:6" s="3503" customFormat="1" ht="14.25" customHeight="1">
      <c r="A142" s="3500">
        <v>140</v>
      </c>
      <c r="B142" s="3500">
        <v>15</v>
      </c>
      <c r="C142" s="3501" t="s">
        <v>3707</v>
      </c>
      <c r="D142" s="3512">
        <v>162.62</v>
      </c>
      <c r="E142" s="3504" t="s">
        <v>3770</v>
      </c>
      <c r="F142" s="3500" t="s">
        <v>3769</v>
      </c>
    </row>
    <row r="143" spans="1:6" s="3503" customFormat="1" ht="14.25" customHeight="1">
      <c r="A143" s="3500">
        <v>141</v>
      </c>
      <c r="B143" s="3500">
        <v>15</v>
      </c>
      <c r="C143" s="3501" t="s">
        <v>3708</v>
      </c>
      <c r="D143" s="3512">
        <v>166.42</v>
      </c>
      <c r="E143" s="3504" t="s">
        <v>3770</v>
      </c>
      <c r="F143" s="3500" t="s">
        <v>3769</v>
      </c>
    </row>
    <row r="144" spans="1:6" s="3503" customFormat="1" ht="14.25" customHeight="1">
      <c r="A144" s="3500">
        <v>142</v>
      </c>
      <c r="B144" s="3500">
        <v>15</v>
      </c>
      <c r="C144" s="3501" t="s">
        <v>3709</v>
      </c>
      <c r="D144" s="3512">
        <v>295.7</v>
      </c>
      <c r="E144" s="3504" t="s">
        <v>3770</v>
      </c>
      <c r="F144" s="3500" t="s">
        <v>3769</v>
      </c>
    </row>
    <row r="145" spans="1:6" s="3503" customFormat="1" ht="14.25" customHeight="1">
      <c r="A145" s="3500">
        <v>143</v>
      </c>
      <c r="B145" s="3500">
        <v>15</v>
      </c>
      <c r="C145" s="3501" t="s">
        <v>3710</v>
      </c>
      <c r="D145" s="3512">
        <v>52.25</v>
      </c>
      <c r="E145" s="3504" t="s">
        <v>3770</v>
      </c>
      <c r="F145" s="3500" t="s">
        <v>3769</v>
      </c>
    </row>
    <row r="146" spans="1:6" s="3503" customFormat="1" ht="14.25" customHeight="1">
      <c r="A146" s="3500">
        <v>144</v>
      </c>
      <c r="B146" s="3500">
        <v>16</v>
      </c>
      <c r="C146" s="3501" t="s">
        <v>3711</v>
      </c>
      <c r="D146" s="3512">
        <v>280.95999999999998</v>
      </c>
      <c r="E146" s="3504" t="s">
        <v>3770</v>
      </c>
      <c r="F146" s="3500" t="s">
        <v>3769</v>
      </c>
    </row>
    <row r="147" spans="1:6" s="3503" customFormat="1" ht="14.25" customHeight="1">
      <c r="A147" s="3500">
        <v>145</v>
      </c>
      <c r="B147" s="3500">
        <v>16</v>
      </c>
      <c r="C147" s="3501" t="s">
        <v>3712</v>
      </c>
      <c r="D147" s="3512">
        <v>166.31</v>
      </c>
      <c r="E147" s="3504" t="s">
        <v>3770</v>
      </c>
      <c r="F147" s="3500" t="s">
        <v>3769</v>
      </c>
    </row>
    <row r="148" spans="1:6" s="3503" customFormat="1" ht="14.25" customHeight="1">
      <c r="A148" s="3500">
        <v>146</v>
      </c>
      <c r="B148" s="3500">
        <v>16</v>
      </c>
      <c r="C148" s="3501" t="s">
        <v>3713</v>
      </c>
      <c r="D148" s="3512">
        <v>157.24</v>
      </c>
      <c r="E148" s="3504" t="s">
        <v>3770</v>
      </c>
      <c r="F148" s="3500" t="s">
        <v>3769</v>
      </c>
    </row>
    <row r="149" spans="1:6" s="3503" customFormat="1" ht="14.25" customHeight="1">
      <c r="A149" s="3500">
        <v>147</v>
      </c>
      <c r="B149" s="3500">
        <v>16</v>
      </c>
      <c r="C149" s="3501" t="s">
        <v>3714</v>
      </c>
      <c r="D149" s="3512">
        <v>170.33</v>
      </c>
      <c r="E149" s="3504" t="s">
        <v>3770</v>
      </c>
      <c r="F149" s="3500" t="s">
        <v>3769</v>
      </c>
    </row>
    <row r="150" spans="1:6" s="3503" customFormat="1" ht="14.25" customHeight="1">
      <c r="A150" s="3500">
        <v>148</v>
      </c>
      <c r="B150" s="3500">
        <v>16</v>
      </c>
      <c r="C150" s="3501" t="s">
        <v>3715</v>
      </c>
      <c r="D150" s="3512">
        <v>51.84</v>
      </c>
      <c r="E150" s="3504" t="s">
        <v>3770</v>
      </c>
      <c r="F150" s="3500" t="s">
        <v>3769</v>
      </c>
    </row>
    <row r="151" spans="1:6" s="3503" customFormat="1" ht="14.25" customHeight="1">
      <c r="A151" s="3500">
        <v>149</v>
      </c>
      <c r="B151" s="3500">
        <v>18</v>
      </c>
      <c r="C151" s="3501" t="s">
        <v>3716</v>
      </c>
      <c r="D151" s="3512">
        <v>130.53</v>
      </c>
      <c r="E151" s="3504" t="s">
        <v>3770</v>
      </c>
      <c r="F151" s="3500" t="s">
        <v>3769</v>
      </c>
    </row>
    <row r="152" spans="1:6" s="3503" customFormat="1" ht="14.25" customHeight="1">
      <c r="A152" s="3500">
        <v>150</v>
      </c>
      <c r="B152" s="3500">
        <v>19</v>
      </c>
      <c r="C152" s="3501" t="s">
        <v>3717</v>
      </c>
      <c r="D152" s="3512">
        <v>127.64</v>
      </c>
      <c r="E152" s="3504" t="s">
        <v>3776</v>
      </c>
      <c r="F152" s="3500" t="s">
        <v>3769</v>
      </c>
    </row>
    <row r="153" spans="1:6" s="3503" customFormat="1" ht="14.25" customHeight="1">
      <c r="A153" s="3500">
        <v>151</v>
      </c>
      <c r="B153" s="3500">
        <v>19</v>
      </c>
      <c r="C153" s="3501" t="s">
        <v>3718</v>
      </c>
      <c r="D153" s="3512">
        <v>130.56</v>
      </c>
      <c r="E153" s="3504" t="s">
        <v>3776</v>
      </c>
      <c r="F153" s="3500" t="s">
        <v>3769</v>
      </c>
    </row>
    <row r="154" spans="1:6" s="3503" customFormat="1" ht="14.25" customHeight="1">
      <c r="A154" s="3500">
        <v>152</v>
      </c>
      <c r="B154" s="3500">
        <v>20</v>
      </c>
      <c r="C154" s="3501" t="s">
        <v>3719</v>
      </c>
      <c r="D154" s="3512">
        <v>169.5</v>
      </c>
      <c r="E154" s="3504" t="s">
        <v>3770</v>
      </c>
      <c r="F154" s="3500" t="s">
        <v>3769</v>
      </c>
    </row>
    <row r="155" spans="1:6" s="3503" customFormat="1" ht="14.25" customHeight="1">
      <c r="A155" s="3500">
        <v>153</v>
      </c>
      <c r="B155" s="3500">
        <v>20</v>
      </c>
      <c r="C155" s="3501" t="s">
        <v>3720</v>
      </c>
      <c r="D155" s="3512">
        <v>127.6</v>
      </c>
      <c r="E155" s="3504" t="s">
        <v>3770</v>
      </c>
      <c r="F155" s="3500" t="s">
        <v>3769</v>
      </c>
    </row>
    <row r="156" spans="1:6" s="3503" customFormat="1" ht="14.25" customHeight="1">
      <c r="A156" s="3500">
        <v>154</v>
      </c>
      <c r="B156" s="3500">
        <v>20</v>
      </c>
      <c r="C156" s="3501" t="s">
        <v>3721</v>
      </c>
      <c r="D156" s="3512">
        <v>291.64999999999998</v>
      </c>
      <c r="E156" s="3504" t="s">
        <v>3770</v>
      </c>
      <c r="F156" s="3500" t="s">
        <v>3769</v>
      </c>
    </row>
    <row r="157" spans="1:6" s="3503" customFormat="1" ht="14.25" customHeight="1">
      <c r="A157" s="3500">
        <v>155</v>
      </c>
      <c r="B157" s="3500">
        <v>20</v>
      </c>
      <c r="C157" s="3501" t="s">
        <v>3722</v>
      </c>
      <c r="D157" s="3512">
        <v>130.53</v>
      </c>
      <c r="E157" s="3504" t="s">
        <v>3770</v>
      </c>
      <c r="F157" s="3500" t="s">
        <v>3769</v>
      </c>
    </row>
    <row r="158" spans="1:6" s="3503" customFormat="1" ht="14.25" customHeight="1">
      <c r="A158" s="3500">
        <v>156</v>
      </c>
      <c r="B158" s="3500">
        <v>21</v>
      </c>
      <c r="C158" s="3501" t="s">
        <v>3723</v>
      </c>
      <c r="D158" s="3512">
        <v>279.5</v>
      </c>
      <c r="E158" s="3504" t="s">
        <v>3770</v>
      </c>
      <c r="F158" s="3500" t="s">
        <v>3769</v>
      </c>
    </row>
    <row r="159" spans="1:6" s="3503" customFormat="1" ht="14.25" customHeight="1">
      <c r="A159" s="3500">
        <v>157</v>
      </c>
      <c r="B159" s="3500">
        <v>21</v>
      </c>
      <c r="C159" s="3501" t="s">
        <v>3724</v>
      </c>
      <c r="D159" s="3512">
        <v>165.58</v>
      </c>
      <c r="E159" s="3504" t="s">
        <v>3770</v>
      </c>
      <c r="F159" s="3500" t="s">
        <v>3769</v>
      </c>
    </row>
    <row r="160" spans="1:6" s="3503" customFormat="1" ht="14.25" customHeight="1">
      <c r="A160" s="3500">
        <v>158</v>
      </c>
      <c r="B160" s="3500">
        <v>21</v>
      </c>
      <c r="C160" s="3501" t="s">
        <v>3725</v>
      </c>
      <c r="D160" s="3512">
        <v>156.55000000000001</v>
      </c>
      <c r="E160" s="3504" t="s">
        <v>3770</v>
      </c>
      <c r="F160" s="3500" t="s">
        <v>3769</v>
      </c>
    </row>
    <row r="161" spans="1:6" s="3503" customFormat="1" ht="14.25" customHeight="1">
      <c r="A161" s="3500">
        <v>159</v>
      </c>
      <c r="B161" s="3500">
        <v>21</v>
      </c>
      <c r="C161" s="3501" t="s">
        <v>3726</v>
      </c>
      <c r="D161" s="3512">
        <v>169.59</v>
      </c>
      <c r="E161" s="3504" t="s">
        <v>3770</v>
      </c>
      <c r="F161" s="3500" t="s">
        <v>3769</v>
      </c>
    </row>
    <row r="162" spans="1:6" s="3503" customFormat="1" ht="14.25" customHeight="1">
      <c r="A162" s="3500">
        <v>160</v>
      </c>
      <c r="B162" s="3500">
        <v>21</v>
      </c>
      <c r="C162" s="3501" t="s">
        <v>3727</v>
      </c>
      <c r="D162" s="3512">
        <v>162.32</v>
      </c>
      <c r="E162" s="3504" t="s">
        <v>3770</v>
      </c>
      <c r="F162" s="3500" t="s">
        <v>3769</v>
      </c>
    </row>
    <row r="163" spans="1:6" s="3503" customFormat="1" ht="14.25" customHeight="1">
      <c r="A163" s="3500">
        <v>161</v>
      </c>
      <c r="B163" s="3500">
        <v>21</v>
      </c>
      <c r="C163" s="3501" t="s">
        <v>3728</v>
      </c>
      <c r="D163" s="3512">
        <v>149.02000000000001</v>
      </c>
      <c r="E163" s="3504" t="s">
        <v>3770</v>
      </c>
      <c r="F163" s="3500" t="s">
        <v>3769</v>
      </c>
    </row>
    <row r="164" spans="1:6" s="3503" customFormat="1" ht="14.25" customHeight="1">
      <c r="A164" s="3500">
        <v>162</v>
      </c>
      <c r="B164" s="3500">
        <v>21</v>
      </c>
      <c r="C164" s="3501" t="s">
        <v>3729</v>
      </c>
      <c r="D164" s="3512">
        <v>344.51</v>
      </c>
      <c r="E164" s="3504" t="s">
        <v>3770</v>
      </c>
      <c r="F164" s="3500" t="s">
        <v>3769</v>
      </c>
    </row>
    <row r="165" spans="1:6" s="3503" customFormat="1" ht="14.25" customHeight="1">
      <c r="A165" s="3500">
        <v>163</v>
      </c>
      <c r="B165" s="3500">
        <v>21</v>
      </c>
      <c r="C165" s="3501" t="s">
        <v>3730</v>
      </c>
      <c r="D165" s="3512">
        <v>304.52999999999997</v>
      </c>
      <c r="E165" s="3504" t="s">
        <v>3770</v>
      </c>
      <c r="F165" s="3500" t="s">
        <v>3769</v>
      </c>
    </row>
    <row r="166" spans="1:6" s="3503" customFormat="1" ht="14.25" customHeight="1">
      <c r="A166" s="3500">
        <v>164</v>
      </c>
      <c r="B166" s="3500">
        <v>21</v>
      </c>
      <c r="C166" s="3501" t="s">
        <v>3731</v>
      </c>
      <c r="D166" s="3512">
        <v>137.38</v>
      </c>
      <c r="E166" s="3504" t="s">
        <v>3770</v>
      </c>
      <c r="F166" s="3500" t="s">
        <v>3769</v>
      </c>
    </row>
    <row r="167" spans="1:6" s="3503" customFormat="1" ht="14.25" customHeight="1">
      <c r="A167" s="3500">
        <v>165</v>
      </c>
      <c r="B167" s="3500">
        <v>21</v>
      </c>
      <c r="C167" s="3501" t="s">
        <v>3732</v>
      </c>
      <c r="D167" s="3512">
        <v>144.9</v>
      </c>
      <c r="E167" s="3504" t="s">
        <v>3770</v>
      </c>
      <c r="F167" s="3500" t="s">
        <v>3769</v>
      </c>
    </row>
    <row r="168" spans="1:6" s="3503" customFormat="1" ht="14.25" customHeight="1">
      <c r="A168" s="3500">
        <v>166</v>
      </c>
      <c r="B168" s="3500">
        <v>21</v>
      </c>
      <c r="C168" s="3501" t="s">
        <v>3733</v>
      </c>
      <c r="D168" s="3512">
        <v>177.85</v>
      </c>
      <c r="E168" s="3504" t="s">
        <v>3770</v>
      </c>
      <c r="F168" s="3500" t="s">
        <v>3769</v>
      </c>
    </row>
    <row r="169" spans="1:6" s="3503" customFormat="1" ht="14.25" customHeight="1">
      <c r="A169" s="3500">
        <v>167</v>
      </c>
      <c r="B169" s="3500">
        <v>21</v>
      </c>
      <c r="C169" s="3501" t="s">
        <v>3734</v>
      </c>
      <c r="D169" s="3512">
        <v>156.53</v>
      </c>
      <c r="E169" s="3504" t="s">
        <v>3770</v>
      </c>
      <c r="F169" s="3500" t="s">
        <v>3769</v>
      </c>
    </row>
    <row r="170" spans="1:6" s="3503" customFormat="1" ht="14.25" customHeight="1">
      <c r="A170" s="3500">
        <v>168</v>
      </c>
      <c r="B170" s="3500">
        <v>21</v>
      </c>
      <c r="C170" s="3501" t="s">
        <v>3735</v>
      </c>
      <c r="D170" s="3512">
        <v>166.04</v>
      </c>
      <c r="E170" s="3504" t="s">
        <v>3770</v>
      </c>
      <c r="F170" s="3500" t="s">
        <v>3769</v>
      </c>
    </row>
    <row r="171" spans="1:6" s="3503" customFormat="1" ht="14.25" customHeight="1">
      <c r="A171" s="3500">
        <v>169</v>
      </c>
      <c r="B171" s="3500">
        <v>21</v>
      </c>
      <c r="C171" s="3501" t="s">
        <v>3736</v>
      </c>
      <c r="D171" s="3512">
        <v>127.67</v>
      </c>
      <c r="E171" s="3504" t="s">
        <v>3770</v>
      </c>
      <c r="F171" s="3500" t="s">
        <v>3769</v>
      </c>
    </row>
    <row r="172" spans="1:6" s="3503" customFormat="1" ht="14.25" customHeight="1">
      <c r="A172" s="3500">
        <v>170</v>
      </c>
      <c r="B172" s="3500">
        <v>21</v>
      </c>
      <c r="C172" s="3501" t="s">
        <v>3737</v>
      </c>
      <c r="D172" s="3512">
        <v>290.75</v>
      </c>
      <c r="E172" s="3504" t="s">
        <v>3770</v>
      </c>
      <c r="F172" s="3500" t="s">
        <v>3769</v>
      </c>
    </row>
    <row r="173" spans="1:6" s="3503" customFormat="1" ht="14.25" customHeight="1">
      <c r="A173" s="3500">
        <v>171</v>
      </c>
      <c r="B173" s="3500">
        <v>21</v>
      </c>
      <c r="C173" s="3501" t="s">
        <v>3738</v>
      </c>
      <c r="D173" s="3512">
        <v>130.59</v>
      </c>
      <c r="E173" s="3504" t="s">
        <v>3770</v>
      </c>
      <c r="F173" s="3500" t="s">
        <v>3769</v>
      </c>
    </row>
    <row r="174" spans="1:6" s="3503" customFormat="1" ht="14.25" customHeight="1">
      <c r="A174" s="3500">
        <v>172</v>
      </c>
      <c r="B174" s="3500">
        <v>22</v>
      </c>
      <c r="C174" s="3501" t="s">
        <v>3739</v>
      </c>
      <c r="D174" s="3512">
        <v>279.5</v>
      </c>
      <c r="E174" s="3504" t="s">
        <v>3770</v>
      </c>
      <c r="F174" s="3500" t="s">
        <v>3769</v>
      </c>
    </row>
    <row r="175" spans="1:6" s="3503" customFormat="1" ht="14.25" customHeight="1">
      <c r="A175" s="3500">
        <v>173</v>
      </c>
      <c r="B175" s="3500">
        <v>22</v>
      </c>
      <c r="C175" s="3501" t="s">
        <v>3740</v>
      </c>
      <c r="D175" s="3512">
        <v>165.58</v>
      </c>
      <c r="E175" s="3504" t="s">
        <v>3770</v>
      </c>
      <c r="F175" s="3500" t="s">
        <v>3769</v>
      </c>
    </row>
    <row r="176" spans="1:6" s="3503" customFormat="1" ht="14.25" customHeight="1">
      <c r="A176" s="3500">
        <v>174</v>
      </c>
      <c r="B176" s="3500">
        <v>22</v>
      </c>
      <c r="C176" s="3501" t="s">
        <v>3741</v>
      </c>
      <c r="D176" s="3512">
        <v>156.55000000000001</v>
      </c>
      <c r="E176" s="3504" t="s">
        <v>3770</v>
      </c>
      <c r="F176" s="3500" t="s">
        <v>3769</v>
      </c>
    </row>
    <row r="177" spans="1:6" s="3503" customFormat="1" ht="14.25" customHeight="1">
      <c r="A177" s="3500">
        <v>175</v>
      </c>
      <c r="B177" s="3500">
        <v>22</v>
      </c>
      <c r="C177" s="3501" t="s">
        <v>3742</v>
      </c>
      <c r="D177" s="3512">
        <v>169.59</v>
      </c>
      <c r="E177" s="3504" t="s">
        <v>3770</v>
      </c>
      <c r="F177" s="3500" t="s">
        <v>3769</v>
      </c>
    </row>
    <row r="178" spans="1:6" s="3503" customFormat="1" ht="14.25" customHeight="1">
      <c r="A178" s="3500">
        <v>176</v>
      </c>
      <c r="B178" s="3500">
        <v>22</v>
      </c>
      <c r="C178" s="3501" t="s">
        <v>3743</v>
      </c>
      <c r="D178" s="3512">
        <v>162.32</v>
      </c>
      <c r="E178" s="3504" t="s">
        <v>3770</v>
      </c>
      <c r="F178" s="3500" t="s">
        <v>3769</v>
      </c>
    </row>
    <row r="179" spans="1:6" s="3503" customFormat="1" ht="14.25" customHeight="1">
      <c r="A179" s="3500">
        <v>177</v>
      </c>
      <c r="B179" s="3500">
        <v>22</v>
      </c>
      <c r="C179" s="3501" t="s">
        <v>3744</v>
      </c>
      <c r="D179" s="3512">
        <v>149.02000000000001</v>
      </c>
      <c r="E179" s="3504" t="s">
        <v>3770</v>
      </c>
      <c r="F179" s="3500" t="s">
        <v>3769</v>
      </c>
    </row>
    <row r="180" spans="1:6" s="3503" customFormat="1" ht="14.25" customHeight="1">
      <c r="A180" s="3500">
        <v>178</v>
      </c>
      <c r="B180" s="3500">
        <v>22</v>
      </c>
      <c r="C180" s="3501" t="s">
        <v>3745</v>
      </c>
      <c r="D180" s="3512">
        <v>344.51</v>
      </c>
      <c r="E180" s="3504" t="s">
        <v>3770</v>
      </c>
      <c r="F180" s="3500" t="s">
        <v>3769</v>
      </c>
    </row>
    <row r="181" spans="1:6" s="3503" customFormat="1" ht="14.25" customHeight="1">
      <c r="A181" s="3500">
        <v>179</v>
      </c>
      <c r="B181" s="3500">
        <v>22</v>
      </c>
      <c r="C181" s="3501" t="s">
        <v>3746</v>
      </c>
      <c r="D181" s="3512">
        <v>304.52999999999997</v>
      </c>
      <c r="E181" s="3504" t="s">
        <v>3770</v>
      </c>
      <c r="F181" s="3500" t="s">
        <v>3769</v>
      </c>
    </row>
    <row r="182" spans="1:6" s="3503" customFormat="1" ht="14.25" customHeight="1">
      <c r="A182" s="3500">
        <v>180</v>
      </c>
      <c r="B182" s="3500">
        <v>22</v>
      </c>
      <c r="C182" s="3501" t="s">
        <v>3747</v>
      </c>
      <c r="D182" s="3512">
        <v>137.38</v>
      </c>
      <c r="E182" s="3504" t="s">
        <v>3770</v>
      </c>
      <c r="F182" s="3500" t="s">
        <v>3769</v>
      </c>
    </row>
    <row r="183" spans="1:6" s="3503" customFormat="1" ht="14.25" customHeight="1">
      <c r="A183" s="3500">
        <v>181</v>
      </c>
      <c r="B183" s="3500">
        <v>22</v>
      </c>
      <c r="C183" s="3501" t="s">
        <v>3748</v>
      </c>
      <c r="D183" s="3512">
        <v>144.9</v>
      </c>
      <c r="E183" s="3504" t="s">
        <v>3770</v>
      </c>
      <c r="F183" s="3500" t="s">
        <v>3769</v>
      </c>
    </row>
    <row r="184" spans="1:6" s="3503" customFormat="1" ht="14.25" customHeight="1">
      <c r="A184" s="3500">
        <v>182</v>
      </c>
      <c r="B184" s="3500">
        <v>22</v>
      </c>
      <c r="C184" s="3501" t="s">
        <v>3749</v>
      </c>
      <c r="D184" s="3512">
        <v>177.85</v>
      </c>
      <c r="E184" s="3504" t="s">
        <v>3770</v>
      </c>
      <c r="F184" s="3500" t="s">
        <v>3769</v>
      </c>
    </row>
    <row r="185" spans="1:6" s="3503" customFormat="1" ht="14.25" customHeight="1">
      <c r="A185" s="3500">
        <v>183</v>
      </c>
      <c r="B185" s="3500">
        <v>22</v>
      </c>
      <c r="C185" s="3501" t="s">
        <v>3750</v>
      </c>
      <c r="D185" s="3512">
        <v>156.53</v>
      </c>
      <c r="E185" s="3504" t="s">
        <v>3770</v>
      </c>
      <c r="F185" s="3500" t="s">
        <v>3769</v>
      </c>
    </row>
    <row r="186" spans="1:6" s="3503" customFormat="1" ht="14.25" customHeight="1">
      <c r="A186" s="3500">
        <v>184</v>
      </c>
      <c r="B186" s="3500">
        <v>22</v>
      </c>
      <c r="C186" s="3501" t="s">
        <v>3751</v>
      </c>
      <c r="D186" s="3512">
        <v>166.04</v>
      </c>
      <c r="E186" s="3504" t="s">
        <v>3770</v>
      </c>
      <c r="F186" s="3500" t="s">
        <v>3769</v>
      </c>
    </row>
    <row r="187" spans="1:6" s="3503" customFormat="1" ht="14.25" customHeight="1">
      <c r="A187" s="3500">
        <v>185</v>
      </c>
      <c r="B187" s="3500">
        <v>22</v>
      </c>
      <c r="C187" s="3501" t="s">
        <v>3752</v>
      </c>
      <c r="D187" s="3512">
        <v>127.67</v>
      </c>
      <c r="E187" s="3504" t="s">
        <v>3770</v>
      </c>
      <c r="F187" s="3500" t="s">
        <v>3769</v>
      </c>
    </row>
    <row r="188" spans="1:6" s="3503" customFormat="1" ht="14.25" customHeight="1">
      <c r="A188" s="3500">
        <v>186</v>
      </c>
      <c r="B188" s="3500">
        <v>22</v>
      </c>
      <c r="C188" s="3501" t="s">
        <v>3753</v>
      </c>
      <c r="D188" s="3512">
        <v>290.75</v>
      </c>
      <c r="E188" s="3504" t="s">
        <v>3770</v>
      </c>
      <c r="F188" s="3500" t="s">
        <v>3769</v>
      </c>
    </row>
    <row r="189" spans="1:6" s="3503" customFormat="1" ht="14.25" customHeight="1">
      <c r="A189" s="3500">
        <v>187</v>
      </c>
      <c r="B189" s="3500">
        <v>22</v>
      </c>
      <c r="C189" s="3501" t="s">
        <v>3754</v>
      </c>
      <c r="D189" s="3512">
        <v>130.59</v>
      </c>
      <c r="E189" s="3504" t="s">
        <v>3770</v>
      </c>
      <c r="F189" s="3500" t="s">
        <v>3769</v>
      </c>
    </row>
    <row r="190" spans="1:6" s="3503" customFormat="1" ht="14.25" customHeight="1">
      <c r="A190" s="3500">
        <v>188</v>
      </c>
      <c r="B190" s="3500">
        <v>23</v>
      </c>
      <c r="C190" s="3501" t="s">
        <v>3755</v>
      </c>
      <c r="D190" s="3512">
        <v>166.03</v>
      </c>
      <c r="E190" s="3504" t="s">
        <v>3770</v>
      </c>
      <c r="F190" s="3500" t="s">
        <v>3769</v>
      </c>
    </row>
    <row r="191" spans="1:6" s="3503" customFormat="1" ht="14.25" customHeight="1">
      <c r="A191" s="3505">
        <v>189</v>
      </c>
      <c r="B191" s="3505">
        <v>23</v>
      </c>
      <c r="C191" s="3506" t="s">
        <v>3756</v>
      </c>
      <c r="D191" s="3505">
        <v>130.58000000000001</v>
      </c>
      <c r="E191" s="3507" t="s">
        <v>3770</v>
      </c>
      <c r="F191" s="3505" t="s">
        <v>3769</v>
      </c>
    </row>
    <row r="192" spans="1:6">
      <c r="A192" s="3585" t="s">
        <v>3777</v>
      </c>
      <c r="B192" s="3585"/>
      <c r="C192" s="3585"/>
      <c r="D192" s="3508">
        <f>SUM(D3:D191)</f>
        <v>35184.699999999997</v>
      </c>
      <c r="E192" s="3509" t="s">
        <v>3567</v>
      </c>
      <c r="F192" s="3504" t="s">
        <v>3567</v>
      </c>
    </row>
    <row r="193" spans="2:4" ht="14.25">
      <c r="C193" s="3510" t="s">
        <v>3778</v>
      </c>
    </row>
    <row r="194" spans="2:4" ht="14.25">
      <c r="B194" s="3502" t="s">
        <v>3779</v>
      </c>
      <c r="C194" s="3510" t="s">
        <v>3760</v>
      </c>
      <c r="D194" s="3855">
        <v>52.25</v>
      </c>
    </row>
    <row r="195" spans="2:4">
      <c r="C195" s="3510" t="s">
        <v>3759</v>
      </c>
      <c r="D195" s="3855">
        <v>52.25</v>
      </c>
    </row>
    <row r="196" spans="2:4">
      <c r="C196" s="3510" t="s">
        <v>3761</v>
      </c>
      <c r="D196" s="3855">
        <v>52.25</v>
      </c>
    </row>
    <row r="197" spans="2:4">
      <c r="C197" s="3510" t="s">
        <v>3757</v>
      </c>
      <c r="D197" s="3855">
        <v>52.24</v>
      </c>
    </row>
    <row r="198" spans="2:4">
      <c r="C198" s="3510" t="s">
        <v>3758</v>
      </c>
      <c r="D198" s="3855">
        <v>52.24</v>
      </c>
    </row>
    <row r="199" spans="2:4" ht="14.25">
      <c r="C199" s="3510" t="s">
        <v>3780</v>
      </c>
      <c r="D199" s="3855">
        <f>SUM(D194:D198)</f>
        <v>261.23</v>
      </c>
    </row>
    <row r="200" spans="2:4" ht="14.25">
      <c r="C200" s="3510" t="s">
        <v>3781</v>
      </c>
      <c r="D200" s="3856">
        <f>D199+D192</f>
        <v>35445.93</v>
      </c>
    </row>
  </sheetData>
  <mergeCells count="1">
    <mergeCell ref="A192:C192"/>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zoomScaleSheetLayoutView="70" workbookViewId="0">
      <selection activeCell="J44" sqref="J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95" t="s">
        <v>1131</v>
      </c>
      <c r="B2" s="3595"/>
      <c r="C2" s="3595"/>
      <c r="D2" s="796" t="s">
        <v>1107</v>
      </c>
      <c r="E2" s="1639" t="s">
        <v>1108</v>
      </c>
      <c r="F2" s="2658"/>
      <c r="G2" s="2649"/>
      <c r="H2" s="2650"/>
      <c r="I2" s="2324" t="s">
        <v>1132</v>
      </c>
      <c r="J2" s="2658"/>
      <c r="K2" s="2658"/>
      <c r="L2" s="2658"/>
      <c r="M2" s="2658"/>
      <c r="N2" s="2660"/>
      <c r="O2" s="2658"/>
      <c r="P2" s="2658"/>
    </row>
    <row r="3" spans="1:16" ht="15.75" thickBot="1">
      <c r="A3" s="3596" t="s">
        <v>1105</v>
      </c>
      <c r="B3" s="3596"/>
      <c r="C3" s="3596"/>
      <c r="D3" s="43">
        <f>'数据-基础表'!AY6</f>
        <v>0</v>
      </c>
      <c r="E3" s="43">
        <f>'数据-基础表'!AZ5</f>
        <v>35184.699999999997</v>
      </c>
      <c r="F3" s="2658"/>
      <c r="G3" s="1145"/>
      <c r="H3" s="1026" t="s">
        <v>1106</v>
      </c>
      <c r="I3" s="855" t="e">
        <f>ROUND('数据-基础表'!B3/'数据-基础表'!A3,2)</f>
        <v>#DIV/0!</v>
      </c>
      <c r="J3" s="2658"/>
      <c r="K3" s="2658"/>
      <c r="L3" s="2658"/>
      <c r="M3" s="2658"/>
      <c r="N3" s="2660"/>
      <c r="O3" s="2658"/>
      <c r="P3" s="2658"/>
    </row>
    <row r="4" spans="1:16" ht="15">
      <c r="A4" s="3597"/>
      <c r="B4" s="3598"/>
      <c r="C4" s="3599"/>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600" t="s">
        <v>1110</v>
      </c>
      <c r="C5" s="3600"/>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600" t="s">
        <v>1111</v>
      </c>
      <c r="C6" s="3600"/>
      <c r="D6" s="45">
        <f>ROUND($D$3*E6/$E$3,2)</f>
        <v>0</v>
      </c>
      <c r="E6" s="46">
        <f>E3-E5</f>
        <v>35184.699999999997</v>
      </c>
      <c r="F6" s="2658"/>
      <c r="G6" s="2652" t="s">
        <v>1112</v>
      </c>
      <c r="H6" s="1146" t="s">
        <v>1113</v>
      </c>
      <c r="I6" s="2653" t="e">
        <f>ROUND(F31/D31,2)</f>
        <v>#DIV/0!</v>
      </c>
      <c r="J6" s="2658"/>
      <c r="K6" s="2658"/>
      <c r="L6" s="2658"/>
      <c r="M6" s="2658"/>
      <c r="N6" s="2658"/>
      <c r="O6" s="2658"/>
      <c r="P6" s="2658"/>
    </row>
    <row r="7" spans="1:16" ht="15.75" thickBot="1">
      <c r="A7" s="3592"/>
      <c r="B7" s="3593"/>
      <c r="C7" s="3594"/>
      <c r="D7" s="1641" t="s">
        <v>1107</v>
      </c>
      <c r="E7" s="1645" t="s">
        <v>1114</v>
      </c>
      <c r="F7" s="2658"/>
      <c r="G7" s="2654" t="s">
        <v>1115</v>
      </c>
      <c r="H7" s="2655"/>
      <c r="I7" s="2656">
        <v>3.5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35184.699999999997</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35184.699999999997</v>
      </c>
      <c r="F16" s="2658"/>
      <c r="G16" s="2659"/>
      <c r="H16" s="1648" t="s">
        <v>1135</v>
      </c>
      <c r="I16" s="1649"/>
      <c r="J16" s="1139"/>
      <c r="K16" s="3589" t="s">
        <v>1135</v>
      </c>
      <c r="L16" s="3590"/>
      <c r="M16" s="3590"/>
      <c r="N16" s="3590"/>
      <c r="O16" s="3590"/>
      <c r="P16" s="3591"/>
    </row>
    <row r="17" spans="1:19" ht="15">
      <c r="A17" s="1650" t="s">
        <v>1136</v>
      </c>
      <c r="B17" s="1651" t="s">
        <v>1137</v>
      </c>
      <c r="C17" s="1652" t="s">
        <v>1138</v>
      </c>
      <c r="D17" s="1653" t="s">
        <v>1126</v>
      </c>
      <c r="E17" s="1654" t="s">
        <v>1127</v>
      </c>
      <c r="F17" s="1655"/>
      <c r="G17" s="1656"/>
      <c r="H17" s="1657" t="s">
        <v>1139</v>
      </c>
      <c r="I17" s="1658" t="s">
        <v>1124</v>
      </c>
      <c r="J17" s="1139"/>
      <c r="K17" s="3586" t="s">
        <v>1140</v>
      </c>
      <c r="L17" s="3587"/>
      <c r="M17" s="3588"/>
      <c r="N17" s="3586" t="s">
        <v>1141</v>
      </c>
      <c r="O17" s="3587"/>
      <c r="P17" s="358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3400</v>
      </c>
      <c r="D19" s="45">
        <f>ROUND($D$3*E19/$E$3,2)</f>
        <v>0</v>
      </c>
      <c r="E19" s="53">
        <f t="shared" ref="E19:E26" si="1">SUM(F19:G19)</f>
        <v>35184.699999999997</v>
      </c>
      <c r="F19" s="2793">
        <f>'数据-基础表'!I5</f>
        <v>35184.699999999997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35184.699999999997</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35184.699999999997</v>
      </c>
      <c r="F27" s="1140">
        <f>IF(SUM(F19:F26)=E8,SUM(F19:F26),"地上面积有误")</f>
        <v>35184.699999999997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35184.699999999997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35184.699999999997</v>
      </c>
      <c r="F31" s="677">
        <f>F27+F30</f>
        <v>35184.699999999997</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6">
      <c r="D33" s="1678"/>
    </row>
    <row r="40" spans="4:6">
      <c r="F40" s="1638">
        <f>19000/F31</f>
        <v>0.54000744641847176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S30" sqref="S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45348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55952</v>
      </c>
      <c r="F6" s="64">
        <f>SUMIF(项目基本情况!C$12:I$12,C6,项目基本情况!C$15:I$15)</f>
        <v>29.05</v>
      </c>
      <c r="G6" s="65">
        <f>IF(ISERROR(ROUND(POWER(1+H6,D6-F6)*(POWER(1+H6,F6)-1)/(POWER(1+H6,D6)-1),3)),0,ROUND(POWER(1+H6,D6-F6)*(POWER(1+H6,F6)-1)/(POWER(1+H6,D6)-1),3))</f>
        <v>0.83</v>
      </c>
      <c r="H6" s="732">
        <v>0.05</v>
      </c>
      <c r="I6" s="732">
        <v>5.5E-2</v>
      </c>
      <c r="J6" s="66">
        <v>7.0000000000000007E-2</v>
      </c>
      <c r="K6" s="1030">
        <f>SUMIF('数据-汇总表'!C$19:C$33,A6,'数据-汇总表'!E$19:E$33)</f>
        <v>35184.699999999997</v>
      </c>
      <c r="L6" s="733">
        <f>L29</f>
        <v>5500</v>
      </c>
      <c r="M6" s="67">
        <f t="shared" ref="M6:M14" si="0">ROUND(K6*L6/10000,0)</f>
        <v>19352</v>
      </c>
      <c r="N6" s="731">
        <f>ROUND((N18+N19)/2,2)</f>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511">
        <v>7.5</v>
      </c>
      <c r="V6" s="70">
        <v>2.5000000000000001E-2</v>
      </c>
      <c r="W6" s="70">
        <v>0.15</v>
      </c>
      <c r="X6" s="1040"/>
      <c r="Y6" s="71">
        <f>N6</f>
        <v>0.8</v>
      </c>
      <c r="Z6" s="72"/>
      <c r="AA6" s="66"/>
      <c r="AB6" s="66"/>
      <c r="AC6" s="1040"/>
      <c r="AD6" s="73"/>
      <c r="AE6" s="1041">
        <f ca="1">IF(AN6="",0,SUMIF(INDIRECT("'"&amp;AN6&amp;"'"&amp;"!E:E"),$AE$5,INDIRECT("'"&amp;AN6&amp;"'"&amp;"!F:F")))</f>
        <v>29.05</v>
      </c>
      <c r="AF6" s="1348"/>
      <c r="AG6" s="138">
        <f>IF(AF6="",0,AE6-AF6)</f>
        <v>0</v>
      </c>
      <c r="AH6" s="74"/>
      <c r="AI6" s="76">
        <v>365</v>
      </c>
      <c r="AJ6" s="77"/>
      <c r="AK6" s="78">
        <v>5.0000000000000001E-3</v>
      </c>
      <c r="AL6" s="79">
        <v>1E-3</v>
      </c>
      <c r="AM6" s="80">
        <v>5.0000000000000001E-3</v>
      </c>
      <c r="AN6" s="1715" t="s">
        <v>3406</v>
      </c>
      <c r="AO6" s="52">
        <f ca="1">SUMIF(INDIRECT("'"&amp;AN6&amp;"'"&amp;"!A:A"),"总价",INDIRECT("'"&amp;AN6&amp;"'"&amp;"!B:B"))</f>
        <v>126545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v>
      </c>
      <c r="H16" s="90">
        <f>ROUND(SUMPRODUCT(H6:H13,K6:K13)/SUMPRODUCT((H6:H13&gt;0)*(K6:K13)),3)</f>
        <v>0.05</v>
      </c>
      <c r="I16" s="91"/>
      <c r="J16" s="91"/>
      <c r="K16" s="92">
        <f>SUM(K6:K15)</f>
        <v>35184.699999999997</v>
      </c>
      <c r="L16" s="93">
        <f>ROUND(M16*10000/SUM(K6:K14),0)</f>
        <v>5500</v>
      </c>
      <c r="M16" s="93">
        <f>SUM(M6:M14)</f>
        <v>19352</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447" t="s">
        <v>3550</v>
      </c>
      <c r="N18" s="2669">
        <f>ROUND(1-(2024-N17)/60,2)</f>
        <v>0.67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2304</v>
      </c>
      <c r="D19" s="2674"/>
      <c r="E19" s="2671"/>
      <c r="F19" s="2671"/>
      <c r="G19" s="2671"/>
      <c r="H19" s="2671"/>
      <c r="I19" s="2671"/>
      <c r="J19" s="2671"/>
      <c r="K19" s="2670"/>
      <c r="L19" s="2670"/>
      <c r="M19" s="3447" t="s">
        <v>3551</v>
      </c>
      <c r="N19" s="2669">
        <v>0.93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2302</v>
      </c>
      <c r="D20" s="2674"/>
      <c r="E20" s="2671"/>
      <c r="F20" s="2671"/>
      <c r="G20" s="2671"/>
      <c r="H20" s="2671"/>
      <c r="I20" s="2671"/>
      <c r="J20" s="2671"/>
      <c r="K20" s="2670"/>
      <c r="L20" s="2670"/>
      <c r="M20" s="3447" t="s">
        <v>3552</v>
      </c>
      <c r="N20" s="2669">
        <f>ROUND((N18+N19)/2,2)</f>
        <v>0.8</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3447"/>
      <c r="V21" s="3447"/>
      <c r="W21" s="3447"/>
      <c r="X21" s="3447"/>
      <c r="Y21" s="3447"/>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1475" t="s">
        <v>3553</v>
      </c>
      <c r="K22" s="3490"/>
      <c r="L22" s="3490"/>
      <c r="M22" s="3490"/>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3491"/>
      <c r="K23" s="3492" t="s">
        <v>2331</v>
      </c>
      <c r="L23" s="3492" t="s">
        <v>3554</v>
      </c>
      <c r="M23" s="3492" t="s">
        <v>3555</v>
      </c>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3493" t="s">
        <v>3556</v>
      </c>
      <c r="K24" s="3494">
        <f>K25+K26</f>
        <v>35184.699999999997</v>
      </c>
      <c r="L24" s="3494">
        <f>M24/K24</f>
        <v>0.20000170528667291</v>
      </c>
      <c r="M24" s="3494">
        <f>M25+M26</f>
        <v>7037</v>
      </c>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3492" t="s">
        <v>3557</v>
      </c>
      <c r="K25" s="3495">
        <f>'数据-汇总表'!F31</f>
        <v>35184.699999999997</v>
      </c>
      <c r="L25" s="3491">
        <v>2000</v>
      </c>
      <c r="M25" s="3491">
        <f>ROUND(L25*K25/10000,0)</f>
        <v>7037</v>
      </c>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3492" t="s">
        <v>2641</v>
      </c>
      <c r="K26" s="3491">
        <f>'数据-汇总表'!G31</f>
        <v>0</v>
      </c>
      <c r="L26" s="3491">
        <v>4000</v>
      </c>
      <c r="M26" s="3491">
        <f t="shared" ref="M26" si="12">ROUND(L26*K26/10000,0)</f>
        <v>0</v>
      </c>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2306</v>
      </c>
      <c r="D27" s="2677"/>
      <c r="E27" s="2660"/>
      <c r="F27" s="2660"/>
      <c r="G27" s="2671"/>
      <c r="H27" s="2671"/>
      <c r="I27" s="2671"/>
      <c r="J27" s="3493" t="s">
        <v>3558</v>
      </c>
      <c r="K27" s="3494">
        <f>K24</f>
        <v>35184.699999999997</v>
      </c>
      <c r="L27" s="3494">
        <v>1500</v>
      </c>
      <c r="M27" s="3491">
        <f>ROUND(L27*K27/10000,0)</f>
        <v>5278</v>
      </c>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60"/>
      <c r="F28" s="2660"/>
      <c r="G28" s="2671"/>
      <c r="H28" s="2671"/>
      <c r="I28" s="2671"/>
      <c r="J28" s="3493" t="s">
        <v>3559</v>
      </c>
      <c r="K28" s="3494">
        <f>K24</f>
        <v>35184.699999999997</v>
      </c>
      <c r="L28" s="3494">
        <v>2000</v>
      </c>
      <c r="M28" s="3491">
        <f>ROUND(L28*K28/10000,0)</f>
        <v>7037</v>
      </c>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704</v>
      </c>
      <c r="C29" s="2800" t="s">
        <v>2293</v>
      </c>
      <c r="D29" s="2677"/>
      <c r="E29" s="2660"/>
      <c r="F29" s="2660"/>
      <c r="G29" s="2671"/>
      <c r="H29" s="2671"/>
      <c r="I29" s="2671"/>
      <c r="J29" s="3492" t="s">
        <v>3560</v>
      </c>
      <c r="K29" s="3491">
        <f>K24</f>
        <v>35184.699999999997</v>
      </c>
      <c r="L29" s="3491">
        <f>ROUND(M29/K29*10000,0)</f>
        <v>5500</v>
      </c>
      <c r="M29" s="3491">
        <f>M24+M27+M28</f>
        <v>19352</v>
      </c>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60"/>
      <c r="F30" s="2660"/>
      <c r="G30" s="2671"/>
      <c r="H30" s="2671"/>
      <c r="I30" s="2671"/>
      <c r="J30" s="3496"/>
      <c r="K30" s="3497"/>
      <c r="L30" s="794"/>
      <c r="M30" s="794"/>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2296</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30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144</v>
      </c>
      <c r="C53" s="2660"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v>30</v>
      </c>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v>1.5</v>
      </c>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601" t="s">
        <v>2285</v>
      </c>
      <c r="B1" s="3602"/>
      <c r="C1" s="3602"/>
      <c r="D1" s="3602"/>
      <c r="E1" s="3602"/>
      <c r="F1" s="3602"/>
      <c r="G1" s="360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G33" sqref="G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35184.699999999997</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45348</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145763</v>
      </c>
      <c r="C5" s="2511">
        <f ca="1">IF(B5=D14,结果表!H102,ROUND(B5*10000/$B$1,0))</f>
        <v>41428</v>
      </c>
      <c r="D5" s="2511" t="e">
        <f ca="1">ROUND(B5*10000/$B$2,0)</f>
        <v>#DIV/0!</v>
      </c>
      <c r="E5" s="2684"/>
      <c r="F5" s="2685"/>
      <c r="G5" s="2685"/>
      <c r="H5" s="2686"/>
      <c r="I5" s="2686"/>
      <c r="J5" s="2686"/>
      <c r="K5" s="2686"/>
    </row>
    <row r="6" spans="1:11" ht="16.5">
      <c r="A6" s="2511" t="s">
        <v>656</v>
      </c>
      <c r="B6" s="2511">
        <f ca="1">SUM(G14:G23)</f>
        <v>145763</v>
      </c>
      <c r="C6" s="2511">
        <f ca="1">IF(B6=G14,结果表!H108,ROUND(B6*10000/$B$1,0))</f>
        <v>41428</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 ca="1">SUM(I14:I23)</f>
        <v>125867</v>
      </c>
      <c r="C8" s="2511">
        <f ca="1">IF(B8=I14,结果表!H112,ROUND(B8*10000/$B$1,0))</f>
        <v>35773</v>
      </c>
      <c r="D8" s="2511" t="e">
        <f ca="1">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3357</v>
      </c>
      <c r="D10" s="2511" t="s">
        <v>3358</v>
      </c>
      <c r="E10" s="3439"/>
      <c r="F10" s="3443" t="s">
        <v>3359</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结果表!B118</f>
        <v>35184.699999999997</v>
      </c>
      <c r="C14" s="2517"/>
      <c r="D14" s="2517">
        <f ca="1">结果表!H118</f>
        <v>145763</v>
      </c>
      <c r="E14" s="2517">
        <f ca="1">ROUND(D14*10000/B14,0)</f>
        <v>41428</v>
      </c>
      <c r="F14" s="2517" t="e">
        <f ca="1">ROUND(D14*10000/C14,0)</f>
        <v>#DIV/0!</v>
      </c>
      <c r="G14" s="2517">
        <f ca="1">结果表!D122</f>
        <v>145763</v>
      </c>
      <c r="H14" s="2517"/>
      <c r="I14" s="2517">
        <f ca="1">结果表!D126</f>
        <v>125867</v>
      </c>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67" sqref="H6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7" t="str">
        <f>项目基本情况!S2</f>
        <v>北京市朝阳区朝外大街乙12号房地产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4" t="s">
        <v>1265</v>
      </c>
      <c r="B4" s="1755" t="s">
        <v>1266</v>
      </c>
      <c r="C4" s="1756" t="s">
        <v>3405</v>
      </c>
      <c r="D4" s="1756" t="s">
        <v>3406</v>
      </c>
      <c r="E4" s="3643" t="s">
        <v>1267</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7" t="s">
        <v>1268</v>
      </c>
      <c r="B5" s="3604">
        <v>25</v>
      </c>
      <c r="C5" s="3620"/>
      <c r="D5" s="3640"/>
      <c r="E5" s="131" t="s">
        <v>1269</v>
      </c>
      <c r="F5" s="1757"/>
      <c r="G5" s="1757"/>
      <c r="H5" s="1757"/>
      <c r="I5" s="1373"/>
    </row>
    <row r="6" spans="1:12" ht="12.75">
      <c r="A6" s="3617"/>
      <c r="B6" s="3604"/>
      <c r="C6" s="3621"/>
      <c r="D6" s="3640"/>
      <c r="E6" s="131" t="s">
        <v>1270</v>
      </c>
      <c r="F6" s="1757"/>
      <c r="G6" s="1757"/>
      <c r="H6" s="1757"/>
      <c r="I6" s="1373"/>
    </row>
    <row r="7" spans="1:12" ht="12.75">
      <c r="A7" s="3617"/>
      <c r="B7" s="3604"/>
      <c r="C7" s="3622"/>
      <c r="D7" s="3640"/>
      <c r="E7" s="131" t="s">
        <v>1271</v>
      </c>
      <c r="F7" s="1757"/>
      <c r="G7" s="1757"/>
      <c r="H7" s="1757"/>
      <c r="I7" s="1373"/>
    </row>
    <row r="8" spans="1:12" ht="12.75">
      <c r="A8" s="3617" t="s">
        <v>1272</v>
      </c>
      <c r="B8" s="3604">
        <v>15</v>
      </c>
      <c r="C8" s="3620"/>
      <c r="D8" s="3640"/>
      <c r="E8" s="131" t="s">
        <v>1273</v>
      </c>
      <c r="F8" s="1757"/>
      <c r="G8" s="1757"/>
      <c r="H8" s="1757"/>
      <c r="I8" s="1373"/>
    </row>
    <row r="9" spans="1:12" ht="12.75">
      <c r="A9" s="3617"/>
      <c r="B9" s="3604"/>
      <c r="C9" s="3622"/>
      <c r="D9" s="3640"/>
      <c r="E9" s="131" t="s">
        <v>1274</v>
      </c>
      <c r="F9" s="1757"/>
      <c r="G9" s="1757"/>
      <c r="H9" s="1757"/>
      <c r="I9" s="1373"/>
    </row>
    <row r="10" spans="1:12" ht="12.75">
      <c r="A10" s="3617" t="s">
        <v>1275</v>
      </c>
      <c r="B10" s="3604">
        <v>15</v>
      </c>
      <c r="C10" s="3620"/>
      <c r="D10" s="3640"/>
      <c r="E10" s="131" t="s">
        <v>1276</v>
      </c>
      <c r="F10" s="1757"/>
      <c r="G10" s="1757"/>
      <c r="H10" s="1757"/>
      <c r="I10" s="1373"/>
    </row>
    <row r="11" spans="1:12" ht="12.75">
      <c r="A11" s="3617"/>
      <c r="B11" s="3604"/>
      <c r="C11" s="3622"/>
      <c r="D11" s="3640"/>
      <c r="E11" s="131" t="s">
        <v>1277</v>
      </c>
      <c r="F11" s="1757"/>
      <c r="G11" s="1757"/>
      <c r="H11" s="1757"/>
      <c r="I11" s="1373"/>
    </row>
    <row r="12" spans="1:12" ht="12.75">
      <c r="A12" s="3617" t="s">
        <v>1278</v>
      </c>
      <c r="B12" s="3604">
        <v>15</v>
      </c>
      <c r="C12" s="3620"/>
      <c r="D12" s="3640"/>
      <c r="E12" s="131" t="s">
        <v>1279</v>
      </c>
      <c r="F12" s="1757"/>
      <c r="G12" s="1757"/>
      <c r="H12" s="1757"/>
      <c r="I12" s="1373"/>
    </row>
    <row r="13" spans="1:12" ht="12.75">
      <c r="A13" s="3617"/>
      <c r="B13" s="3604"/>
      <c r="C13" s="3622"/>
      <c r="D13" s="3640"/>
      <c r="E13" s="131" t="s">
        <v>1280</v>
      </c>
      <c r="F13" s="1757"/>
      <c r="G13" s="1757"/>
      <c r="H13" s="1757"/>
      <c r="I13" s="1373"/>
    </row>
    <row r="14" spans="1:12" ht="12.75">
      <c r="A14" s="3617" t="s">
        <v>1281</v>
      </c>
      <c r="B14" s="3604">
        <v>30</v>
      </c>
      <c r="C14" s="3620">
        <v>4</v>
      </c>
      <c r="D14" s="3640">
        <v>6</v>
      </c>
      <c r="E14" s="131" t="s">
        <v>1282</v>
      </c>
      <c r="F14" s="1757"/>
      <c r="G14" s="1757"/>
      <c r="H14" s="1757"/>
      <c r="I14" s="1373"/>
    </row>
    <row r="15" spans="1:12" ht="12.75">
      <c r="A15" s="3617"/>
      <c r="B15" s="3604"/>
      <c r="C15" s="3621"/>
      <c r="D15" s="3640"/>
      <c r="E15" s="131" t="s">
        <v>1283</v>
      </c>
      <c r="F15" s="1757"/>
      <c r="G15" s="1757"/>
      <c r="H15" s="1757"/>
      <c r="I15" s="1373"/>
    </row>
    <row r="16" spans="1:12" ht="12.75">
      <c r="A16" s="3617"/>
      <c r="B16" s="3604"/>
      <c r="C16" s="3622"/>
      <c r="D16" s="3640"/>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27" t="s">
        <v>2130</v>
      </c>
      <c r="F18" s="3628"/>
      <c r="G18" s="3628"/>
      <c r="H18" s="3628"/>
      <c r="I18" s="3628"/>
      <c r="K18" s="302" t="s">
        <v>1289</v>
      </c>
      <c r="L18" s="302">
        <f>IF(C1="",'数据-汇总表'!E3,SUMIF(项目类型,C1,'数据-汇总表'!E17:E26)+SUMIF(项目类型,C1,'数据-汇总表'!I17:I26))</f>
        <v>35184.699999999997</v>
      </c>
      <c r="M18" s="302">
        <f>IF(C1="",'数据-汇总表'!E3,SUMIF(项目类型,C1,'数据-汇总表'!E17:E26))</f>
        <v>35184.699999999997</v>
      </c>
    </row>
    <row r="19" spans="1:36" ht="15">
      <c r="A19" s="1761" t="s">
        <v>1290</v>
      </c>
      <c r="B19" s="1762" t="s">
        <v>1291</v>
      </c>
      <c r="C19" s="134">
        <f ca="1">SUMIF(INDIRECT("'"&amp;C4&amp;"'"&amp;"!A:A"),结果表!B19,INDIRECT("'"&amp;C4&amp;"'"&amp;"!B:B"))</f>
        <v>174591</v>
      </c>
      <c r="D19" s="135">
        <f ca="1">SUMIF(INDIRECT("'"&amp;D4&amp;"'"&amp;"!A:A"),结果表!B19,INDIRECT("'"&amp;D4&amp;"'"&amp;"!B:B"))</f>
        <v>126545</v>
      </c>
      <c r="E19" s="1761" t="s">
        <v>1292</v>
      </c>
      <c r="F19" s="1762" t="s">
        <v>1291</v>
      </c>
      <c r="G19" s="136">
        <f ca="1">ROUND(C19*$C$18+D19*$D$18,0)</f>
        <v>145763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49621</v>
      </c>
      <c r="D20" s="138">
        <f ca="1">SUMIF(INDIRECT("'"&amp;D4&amp;"'"&amp;"!A:A"),结果表!B20,INDIRECT("'"&amp;D4&amp;"'"&amp;"!B:B"))</f>
        <v>35966</v>
      </c>
      <c r="E20" s="1764"/>
      <c r="F20" s="1026" t="s">
        <v>1295</v>
      </c>
      <c r="G20" s="139">
        <f ca="1">ROUND(C20*$C$18+D20*$D$18,0)</f>
        <v>41428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0.37967521435062634</v>
      </c>
      <c r="E22" s="129"/>
      <c r="F22" s="129"/>
      <c r="G22" s="129"/>
      <c r="H22" s="129"/>
      <c r="I22" s="129"/>
    </row>
    <row r="23" spans="1:36" ht="13.5" thickBot="1">
      <c r="A23" s="1747"/>
      <c r="B23" s="1747"/>
      <c r="C23" s="1747"/>
      <c r="D23" s="1747"/>
      <c r="E23" s="129"/>
      <c r="F23" s="129"/>
      <c r="G23" s="129"/>
      <c r="H23" s="129"/>
      <c r="I23" s="129"/>
    </row>
    <row r="24" spans="1:36" ht="14.25">
      <c r="A24" s="3611" t="s">
        <v>1299</v>
      </c>
      <c r="B24" s="1762" t="s">
        <v>1291</v>
      </c>
      <c r="C24" s="136">
        <f>IF(B30=0,0,D30)</f>
        <v>0</v>
      </c>
      <c r="D24" s="1769"/>
      <c r="E24" s="129"/>
      <c r="F24" s="129"/>
      <c r="G24" s="129"/>
      <c r="H24" s="129"/>
      <c r="I24" s="129"/>
    </row>
    <row r="25" spans="1:36" ht="14.25">
      <c r="A25" s="361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145763</v>
      </c>
      <c r="D32" s="1775" t="s">
        <v>3407</v>
      </c>
      <c r="E32" s="129"/>
      <c r="F32" s="129"/>
      <c r="G32" s="129"/>
      <c r="H32" s="129"/>
      <c r="I32" s="129"/>
    </row>
    <row r="33" spans="1:15" ht="15">
      <c r="A33" s="786" t="s">
        <v>1306</v>
      </c>
      <c r="B33" s="1776"/>
      <c r="C33" s="1777" t="s">
        <v>3408</v>
      </c>
      <c r="D33" s="1778" t="s">
        <v>3405</v>
      </c>
      <c r="E33" s="1779" t="s">
        <v>1307</v>
      </c>
      <c r="F33" s="1780" t="str">
        <f>IF(D32="楼面单价","取值（单价）","取值（总价）")</f>
        <v>取值（总价）</v>
      </c>
      <c r="G33" s="129"/>
      <c r="H33" s="129"/>
      <c r="I33" s="129"/>
    </row>
    <row r="34" spans="1:15" ht="15">
      <c r="A34" s="1781"/>
      <c r="B34" s="1782" t="s">
        <v>1308</v>
      </c>
      <c r="C34" s="148">
        <f ca="1">IF(C33="自定义",F34,C32-C35)</f>
        <v>126377</v>
      </c>
      <c r="D34" s="861">
        <f ca="1">IF(C33="自定义",ROUND(C34/C32,3),IF(C33="收益比率",SUMIF(INDIRECT("'"&amp;D33&amp;"'"&amp;"!b:b"),"土地收益比率",INDIRECT("'"&amp;D33&amp;"'"&amp;"!c:c")),SUMIF(INDIRECT("'"&amp;D33&amp;"'"&amp;"!b:b"),"土地成本比率",INDIRECT("'"&amp;D33&amp;"'"&amp;"!c:c"))))</f>
        <v>0.86699999999999999</v>
      </c>
      <c r="E34" s="1783" t="s">
        <v>1309</v>
      </c>
      <c r="F34" s="1330"/>
      <c r="G34" s="129"/>
      <c r="H34" s="129"/>
      <c r="I34" s="129"/>
    </row>
    <row r="35" spans="1:15" ht="15.75" thickBot="1">
      <c r="A35" s="1784"/>
      <c r="B35" s="1785" t="s">
        <v>1310</v>
      </c>
      <c r="C35" s="1170">
        <f ca="1">IF(C33="自定义",F35,ROUND(C32*D35,0))</f>
        <v>19386</v>
      </c>
      <c r="D35" s="1171">
        <f ca="1">IF(C33="自定义",ROUND(C35/C32,3),IF(C33="收益比率",SUMIF(INDIRECT("'"&amp;D33&amp;"'"&amp;"!b:b"),"建筑物收益比率",INDIRECT("'"&amp;D33&amp;"'"&amp;"!c:c")),SUMIF(INDIRECT("'"&amp;D33&amp;"'"&amp;"!b:b"),"建筑物成本比率",INDIRECT("'"&amp;D33&amp;"'"&amp;"!c:c"))))</f>
        <v>0.13300000000000001</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08" t="s">
        <v>1326</v>
      </c>
      <c r="B45" s="3609"/>
      <c r="C45" s="3610"/>
      <c r="D45" s="155">
        <f ca="1">ROUND(H101*F45,0)</f>
        <v>81627</v>
      </c>
      <c r="E45" s="156" t="s">
        <v>1327</v>
      </c>
      <c r="F45" s="157">
        <v>0.56000000000000005</v>
      </c>
      <c r="G45" s="158" t="s">
        <v>1328</v>
      </c>
      <c r="H45" s="129"/>
      <c r="I45" s="129"/>
      <c r="J45" s="3686" t="s">
        <v>1329</v>
      </c>
      <c r="K45" s="3686"/>
      <c r="L45" s="3686"/>
      <c r="M45" s="3686"/>
      <c r="N45" s="3686"/>
      <c r="O45" s="3686"/>
    </row>
    <row r="46" spans="1:15" ht="14.25" customHeight="1">
      <c r="A46" s="3605" t="s">
        <v>1330</v>
      </c>
      <c r="B46" s="3606"/>
      <c r="C46" s="3606"/>
      <c r="D46" s="3606"/>
      <c r="E46" s="3606"/>
      <c r="F46" s="3606"/>
      <c r="G46" s="3607"/>
      <c r="H46" s="1806"/>
      <c r="I46" s="159"/>
      <c r="J46" s="2522">
        <v>1</v>
      </c>
      <c r="K46" s="3667" t="s">
        <v>1331</v>
      </c>
      <c r="L46" s="3667"/>
      <c r="M46" s="3687"/>
      <c r="N46" s="3687"/>
      <c r="O46" s="3687"/>
    </row>
    <row r="47" spans="1:15" ht="12" customHeight="1">
      <c r="A47" s="160" t="s">
        <v>1332</v>
      </c>
      <c r="B47" s="161"/>
      <c r="C47" s="162"/>
      <c r="D47" s="1087" t="s">
        <v>1333</v>
      </c>
      <c r="E47" s="302" t="s">
        <v>1334</v>
      </c>
      <c r="F47" s="163" t="s">
        <v>1335</v>
      </c>
      <c r="G47" s="2545" t="s">
        <v>1336</v>
      </c>
      <c r="H47" s="2546"/>
      <c r="I47" s="159"/>
      <c r="J47" s="2522">
        <v>2</v>
      </c>
      <c r="K47" s="3667" t="s">
        <v>1337</v>
      </c>
      <c r="L47" s="3667"/>
      <c r="M47" s="3688">
        <f>'数据-取费表'!B2</f>
        <v>45348</v>
      </c>
      <c r="N47" s="3688"/>
      <c r="O47" s="3688"/>
    </row>
    <row r="48" spans="1:15" ht="25.5">
      <c r="A48" s="3636" t="s">
        <v>1338</v>
      </c>
      <c r="B48" s="3619"/>
      <c r="C48" s="3619"/>
      <c r="D48" s="2323">
        <f ca="1">IF(H48="情况1",0,IF(H48="情况2",D52,IF(H48="情况3",D53,IF(H48="情况4",D54))))</f>
        <v>4353</v>
      </c>
      <c r="E48" s="2333" t="str">
        <f>IF(H48="情况4","(销售额-原购置价)×税（费）率","销售额×税（费）率")</f>
        <v>销售额×税（费）率</v>
      </c>
      <c r="F48" s="2547">
        <f>IF(H48="情况1","免征",'数据-取费表'!B41)</f>
        <v>5.6000000000000001E-2</v>
      </c>
      <c r="G48" s="2548" t="s">
        <v>1339</v>
      </c>
      <c r="H48" s="2549" t="s">
        <v>3414</v>
      </c>
      <c r="I48" s="1806"/>
      <c r="J48" s="2522">
        <v>3</v>
      </c>
      <c r="K48" s="3667" t="s">
        <v>1340</v>
      </c>
      <c r="L48" s="3667"/>
      <c r="M48" s="3689">
        <f ca="1">H101</f>
        <v>145763</v>
      </c>
      <c r="N48" s="3689"/>
      <c r="O48" s="3689"/>
    </row>
    <row r="49" spans="1:35" ht="25.5" customHeight="1">
      <c r="A49" s="2332" t="s">
        <v>1341</v>
      </c>
      <c r="B49" s="3603" t="s">
        <v>1342</v>
      </c>
      <c r="C49" s="3603"/>
      <c r="D49" s="1590">
        <v>0</v>
      </c>
      <c r="E49" s="324" t="s">
        <v>1343</v>
      </c>
      <c r="F49" s="2423" t="s">
        <v>28</v>
      </c>
      <c r="G49" s="3673"/>
      <c r="H49" s="2309" t="s">
        <v>2133</v>
      </c>
      <c r="I49" s="2310"/>
      <c r="J49" s="2522">
        <v>4</v>
      </c>
      <c r="K49" s="3667" t="str">
        <f>IF(项目基本情况!E8="房地产抵押价值","房地产抵押价值","抵押担保权已注销时的房地产抵押价值")</f>
        <v>房地产抵押价值</v>
      </c>
      <c r="L49" s="3667"/>
      <c r="M49" s="3689">
        <f ca="1">IF(项目基本情况!E8="房地产抵押价值",H107,H109)</f>
        <v>145763</v>
      </c>
      <c r="N49" s="3689"/>
      <c r="O49" s="3689"/>
    </row>
    <row r="50" spans="1:35" ht="25.5" customHeight="1">
      <c r="A50" s="2550"/>
      <c r="B50" s="3603" t="s">
        <v>1344</v>
      </c>
      <c r="C50" s="3603"/>
      <c r="D50" s="2551"/>
      <c r="E50" s="332"/>
      <c r="F50" s="2423"/>
      <c r="G50" s="3674"/>
      <c r="H50" s="2311" t="s">
        <v>2134</v>
      </c>
      <c r="I50" s="2310"/>
      <c r="J50" s="3686" t="s">
        <v>1345</v>
      </c>
      <c r="K50" s="3686"/>
      <c r="L50" s="3686"/>
      <c r="M50" s="3686"/>
      <c r="N50" s="3686"/>
      <c r="O50" s="3686"/>
    </row>
    <row r="51" spans="1:35" ht="20.45" customHeight="1">
      <c r="A51" s="2552"/>
      <c r="B51" s="3603" t="s">
        <v>1346</v>
      </c>
      <c r="C51" s="3603"/>
      <c r="D51" s="1087"/>
      <c r="E51" s="327"/>
      <c r="F51" s="2423"/>
      <c r="G51" s="3675"/>
      <c r="H51" s="2311" t="s">
        <v>2135</v>
      </c>
      <c r="I51" s="2310"/>
      <c r="J51" s="2523" t="s">
        <v>1347</v>
      </c>
      <c r="K51" s="3667" t="s">
        <v>1348</v>
      </c>
      <c r="L51" s="3667"/>
      <c r="M51" s="2523" t="s">
        <v>1349</v>
      </c>
      <c r="N51" s="2523" t="s">
        <v>1350</v>
      </c>
      <c r="O51" s="2523" t="s">
        <v>1351</v>
      </c>
    </row>
    <row r="52" spans="1:35" ht="24" customHeight="1">
      <c r="A52" s="2334" t="s">
        <v>1352</v>
      </c>
      <c r="B52" s="3603" t="s">
        <v>1353</v>
      </c>
      <c r="C52" s="3603"/>
      <c r="D52" s="1087">
        <f ca="1">ROUND(D45*'数据-取费表'!B41/(1+'数据-取费表'!C42),0)</f>
        <v>4353</v>
      </c>
      <c r="E52" s="2333" t="s">
        <v>1354</v>
      </c>
      <c r="F52" s="2553">
        <f>'数据-取费表'!B41</f>
        <v>5.6000000000000001E-2</v>
      </c>
      <c r="G52" s="2554"/>
      <c r="H52" s="2543"/>
      <c r="I52" s="1807"/>
      <c r="J52" s="2522">
        <v>1</v>
      </c>
      <c r="K52" s="3668" t="s">
        <v>1355</v>
      </c>
      <c r="L52" s="3668"/>
      <c r="M52" s="2524">
        <f ca="1">D48</f>
        <v>4353</v>
      </c>
      <c r="N52" s="2522" t="str">
        <f>E48</f>
        <v>销售额×税（费）率</v>
      </c>
      <c r="O52" s="2525">
        <f>F48</f>
        <v>5.6000000000000001E-2</v>
      </c>
    </row>
    <row r="53" spans="1:35" ht="12" customHeight="1">
      <c r="A53" s="2334" t="s">
        <v>1356</v>
      </c>
      <c r="B53" s="3629" t="s">
        <v>2290</v>
      </c>
      <c r="C53" s="3630"/>
      <c r="D53" s="1087">
        <f ca="1">ROUND(D45*'数据-取费表'!B41/(1+'数据-取费表'!C42),0)</f>
        <v>4353</v>
      </c>
      <c r="E53" s="2333" t="s">
        <v>1354</v>
      </c>
      <c r="F53" s="2553">
        <f>'数据-取费表'!B41</f>
        <v>5.6000000000000001E-2</v>
      </c>
      <c r="G53" s="2554"/>
      <c r="H53" s="2543"/>
      <c r="I53" s="1807"/>
      <c r="J53" s="2522">
        <v>2</v>
      </c>
      <c r="K53" s="3668" t="s">
        <v>1357</v>
      </c>
      <c r="L53" s="3668"/>
      <c r="M53" s="2524">
        <f t="shared" ref="M53:O54" ca="1" si="0">D55</f>
        <v>41</v>
      </c>
      <c r="N53" s="2522" t="str">
        <f t="shared" si="0"/>
        <v>销售额×税（费）率</v>
      </c>
      <c r="O53" s="2525">
        <f t="shared" si="0"/>
        <v>5.0000000000000001E-4</v>
      </c>
    </row>
    <row r="54" spans="1:35" ht="12" customHeight="1">
      <c r="A54" s="2334" t="s">
        <v>1358</v>
      </c>
      <c r="B54" s="3629" t="s">
        <v>2291</v>
      </c>
      <c r="C54" s="3630"/>
      <c r="D54" s="1087">
        <f ca="1">C68</f>
        <v>4353</v>
      </c>
      <c r="E54" s="327" t="s">
        <v>1359</v>
      </c>
      <c r="F54" s="2553">
        <f>'数据-取费表'!B41</f>
        <v>5.6000000000000001E-2</v>
      </c>
      <c r="G54" s="2554"/>
      <c r="H54" s="2555"/>
      <c r="I54" s="1807"/>
      <c r="J54" s="2522">
        <v>3</v>
      </c>
      <c r="K54" s="3668" t="s">
        <v>1360</v>
      </c>
      <c r="L54" s="3668"/>
      <c r="M54" s="2524">
        <f t="shared" ca="1" si="0"/>
        <v>15502</v>
      </c>
      <c r="N54" s="2522" t="str">
        <f t="shared" si="0"/>
        <v>增值额×税（费）率</v>
      </c>
      <c r="O54" s="2526" t="str">
        <f t="shared" si="0"/>
        <v>——</v>
      </c>
    </row>
    <row r="55" spans="1:35" ht="24" customHeight="1">
      <c r="A55" s="3618" t="s">
        <v>1361</v>
      </c>
      <c r="B55" s="3619"/>
      <c r="C55" s="3619"/>
      <c r="D55" s="2323">
        <f ca="1">IF(H55="个人住宅",0,ROUND(D45*I55,0))</f>
        <v>41</v>
      </c>
      <c r="E55" s="2333" t="s">
        <v>1362</v>
      </c>
      <c r="F55" s="2553">
        <f>IF(H55="正常",I55,"免征")</f>
        <v>5.0000000000000001E-4</v>
      </c>
      <c r="G55" s="2554"/>
      <c r="H55" s="2549" t="s">
        <v>3415</v>
      </c>
      <c r="I55" s="165">
        <f>'数据-取费表'!B49</f>
        <v>5.0000000000000001E-4</v>
      </c>
      <c r="J55" s="2522" t="str">
        <f>IF(H59="非个人房产","",4)</f>
        <v/>
      </c>
      <c r="K55" s="3668" t="str">
        <f>IF(H59="非个人房产","——","个人所得税")</f>
        <v>——</v>
      </c>
      <c r="L55" s="3668"/>
      <c r="M55" s="2527" t="str">
        <f>D59</f>
        <v>——</v>
      </c>
      <c r="N55" s="2039" t="str">
        <f>E59</f>
        <v>——</v>
      </c>
      <c r="O55" s="2528" t="str">
        <f>F59</f>
        <v>——</v>
      </c>
    </row>
    <row r="56" spans="1:35" ht="24.75">
      <c r="A56" s="3618" t="s">
        <v>1363</v>
      </c>
      <c r="B56" s="3619"/>
      <c r="C56" s="3619"/>
      <c r="D56" s="2323">
        <f ca="1">IF(H56="个人住宅",D57,D58)</f>
        <v>15502</v>
      </c>
      <c r="E56" s="2333" t="s">
        <v>1364</v>
      </c>
      <c r="F56" s="2553" t="str">
        <f>IF(H56="正常",F58,"免征")</f>
        <v>——</v>
      </c>
      <c r="G56" s="2556" t="s">
        <v>1365</v>
      </c>
      <c r="H56" s="2557" t="s">
        <v>3415</v>
      </c>
      <c r="I56" s="1808"/>
      <c r="J56" s="2522" t="str">
        <f>IF(项目基本情况!K6="上海银行",IF(J55="",4,J55+1),"")</f>
        <v/>
      </c>
      <c r="K56" s="3691" t="str">
        <f>IF(项目基本情况!K6="上海银行","其他处置费用","")</f>
        <v/>
      </c>
      <c r="L56" s="3692"/>
      <c r="M56" s="2524" t="str">
        <f>IF(项目基本情况!K6="上海银行",M69,"")</f>
        <v/>
      </c>
      <c r="N56" s="3691" t="str">
        <f>IF(项目基本情况!K6="上海银行","包含处置中涉及的律师、诉讼、拍卖、评估等费用","")</f>
        <v/>
      </c>
      <c r="O56" s="3694"/>
    </row>
    <row r="57" spans="1:35" ht="12.75">
      <c r="A57" s="2334" t="s">
        <v>1341</v>
      </c>
      <c r="B57" s="3629" t="s">
        <v>1366</v>
      </c>
      <c r="C57" s="3630"/>
      <c r="D57" s="1590">
        <v>0</v>
      </c>
      <c r="E57" s="324" t="s">
        <v>1343</v>
      </c>
      <c r="F57" s="302"/>
      <c r="G57" s="2554"/>
      <c r="H57" s="2558"/>
      <c r="I57" s="1808"/>
      <c r="J57" s="3668">
        <f>IF(AND(J55="",J56=""),4,IF(项目基本情况!K6="上海银行",结果表!J56+1,结果表!J55+1))</f>
        <v>4</v>
      </c>
      <c r="K57" s="3668" t="s">
        <v>1367</v>
      </c>
      <c r="L57" s="2529" t="s">
        <v>1368</v>
      </c>
      <c r="M57" s="2530"/>
      <c r="N57" s="2531">
        <f ca="1">SUMIF(M52:M56,"&lt;9e307")</f>
        <v>19896</v>
      </c>
      <c r="O57" s="2532"/>
      <c r="P57" s="2688">
        <f ca="1">N57/M49</f>
        <v>0.13649554413671508</v>
      </c>
    </row>
    <row r="58" spans="1:35" ht="24.75">
      <c r="A58" s="2334" t="s">
        <v>1352</v>
      </c>
      <c r="B58" s="3629" t="s">
        <v>1369</v>
      </c>
      <c r="C58" s="3603"/>
      <c r="D58" s="2323">
        <f ca="1">IF(H58="转让取得",C81,C97)</f>
        <v>15502</v>
      </c>
      <c r="E58" s="2333" t="s">
        <v>1364</v>
      </c>
      <c r="F58" s="302" t="s">
        <v>28</v>
      </c>
      <c r="G58" s="2554"/>
      <c r="H58" s="2557" t="s">
        <v>3416</v>
      </c>
      <c r="I58" s="1808"/>
      <c r="J58" s="3668"/>
      <c r="K58" s="3668"/>
      <c r="L58" s="2529" t="s">
        <v>1370</v>
      </c>
      <c r="M58" s="2533"/>
      <c r="N58" s="2534" t="str">
        <f ca="1">NUMBERSTRING(INT(N57*10000),2)&amp;"元整"</f>
        <v>壹亿玖仟捌佰玖拾陆万元整</v>
      </c>
      <c r="O58" s="2535"/>
    </row>
    <row r="59" spans="1:35" ht="24.75" thickBot="1">
      <c r="A59" s="3671" t="s">
        <v>1371</v>
      </c>
      <c r="B59" s="3672"/>
      <c r="C59" s="3672"/>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3417</v>
      </c>
      <c r="I59" s="2312" t="s">
        <v>2136</v>
      </c>
      <c r="J59" s="3669">
        <f>J57+1</f>
        <v>5</v>
      </c>
      <c r="K59" s="3668" t="s">
        <v>1372</v>
      </c>
      <c r="L59" s="2522" t="s">
        <v>1368</v>
      </c>
      <c r="M59" s="2536"/>
      <c r="N59" s="2537">
        <f ca="1">M49-N57</f>
        <v>125867</v>
      </c>
      <c r="O59" s="2538"/>
    </row>
    <row r="60" spans="1:35" ht="12" customHeight="1">
      <c r="A60" s="1809"/>
      <c r="B60" s="1747"/>
      <c r="C60" s="1747"/>
      <c r="D60" s="1747"/>
      <c r="E60" s="1578"/>
      <c r="F60" s="1808"/>
      <c r="G60" s="1808"/>
      <c r="H60" s="1810"/>
      <c r="I60" s="129"/>
      <c r="J60" s="3670"/>
      <c r="K60" s="3668"/>
      <c r="L60" s="2529" t="s">
        <v>1370</v>
      </c>
      <c r="M60" s="2533"/>
      <c r="N60" s="2534" t="str">
        <f ca="1">NUMBERSTRING(INT(N59*10000),2)&amp;"元整"</f>
        <v>壹拾贰亿伍仟捌佰陆拾柒万元整</v>
      </c>
      <c r="O60" s="2535"/>
    </row>
    <row r="61" spans="1:35" ht="13.5" thickBot="1">
      <c r="A61" s="3616" t="s">
        <v>1373</v>
      </c>
      <c r="B61" s="3616"/>
      <c r="C61" s="3616"/>
      <c r="D61" s="3616"/>
      <c r="E61" s="3616"/>
      <c r="F61" s="1808"/>
      <c r="G61" s="1808"/>
      <c r="H61" s="1810"/>
      <c r="I61" s="129"/>
      <c r="J61" s="2522">
        <f>J59+1</f>
        <v>6</v>
      </c>
      <c r="K61" s="3668" t="s">
        <v>1374</v>
      </c>
      <c r="L61" s="3668"/>
      <c r="M61" s="2539"/>
      <c r="N61" s="2540">
        <f ca="1">ROUND(N59*10000/'数据-汇总表'!E3,0)</f>
        <v>35773</v>
      </c>
      <c r="O61" s="2541"/>
    </row>
    <row r="62" spans="1:35" ht="12.75">
      <c r="A62" s="3634" t="s">
        <v>1375</v>
      </c>
      <c r="B62" s="3635"/>
      <c r="C62" s="2020"/>
      <c r="D62" s="2020" t="s">
        <v>1376</v>
      </c>
      <c r="E62" s="166" t="s">
        <v>1377</v>
      </c>
      <c r="F62" s="1808"/>
      <c r="G62" s="1808"/>
      <c r="H62" s="1810"/>
      <c r="I62" s="129"/>
    </row>
    <row r="63" spans="1:35" ht="12.75">
      <c r="A63" s="173" t="s">
        <v>330</v>
      </c>
      <c r="B63" s="167" t="s">
        <v>1378</v>
      </c>
      <c r="C63" s="2563">
        <f ca="1">ROUND((C64+C65)/(1+'数据-取费表'!C42),0)</f>
        <v>77740</v>
      </c>
      <c r="D63" s="167"/>
      <c r="E63" s="168"/>
      <c r="F63" s="1808"/>
      <c r="G63" s="1808"/>
      <c r="H63" s="1810"/>
      <c r="I63" s="129"/>
      <c r="J63" s="3693" t="s">
        <v>1379</v>
      </c>
      <c r="K63" s="1332" t="s">
        <v>1380</v>
      </c>
      <c r="L63" s="1332">
        <f ca="1">IF(M49&gt;10000,M49*0.5%,IF(AND(M49&gt;1000,M49&lt;=10000),M49*1%,IF(AND(M49&gt;100,M49&lt;=1000),M49*3%,IF(AND(M49&gt;10,M49&lt;=100),M49*5%,M49*8%))))</f>
        <v>728.81500000000005</v>
      </c>
      <c r="M63" s="302">
        <f ca="1">ROUND(L63,1)</f>
        <v>728.8</v>
      </c>
      <c r="N63" s="2542"/>
      <c r="Z63" s="1752"/>
      <c r="AI63" s="1753"/>
    </row>
    <row r="64" spans="1:35" ht="14.25" customHeight="1">
      <c r="A64" s="169" t="s">
        <v>325</v>
      </c>
      <c r="B64" s="170" t="s">
        <v>1381</v>
      </c>
      <c r="C64" s="2564">
        <f ca="1">D45</f>
        <v>81627</v>
      </c>
      <c r="D64" s="170" t="s">
        <v>26</v>
      </c>
      <c r="E64" s="172"/>
      <c r="F64" s="1808"/>
      <c r="G64" s="1808"/>
      <c r="H64" s="1810"/>
      <c r="I64" s="129"/>
      <c r="J64" s="3693"/>
      <c r="K64" s="1332" t="s">
        <v>1382</v>
      </c>
      <c r="L64" s="1332">
        <f ca="1">IF(M49&gt;2000,M49*0.5%,IF(AND(M49&gt;1000,M49&lt;=2000),M49*0.6%,IF(AND(M49&gt;500,M49&lt;=1000),M49*0.7%,IF(AND(M49&gt;200,M49&lt;=500),M49*0.8%,IF(AND(M49&gt;100,M49&lt;=200),M49*0.9%,IF(AND(M49&gt;50,M49&lt;=100),M49*1%,IF(AND(M49&gt;20,M49&lt;=50),M49*1.5%,IF(AND(M49&gt;10,M49&lt;=20),M49*2%,IF(AND(M49&gt;1,M49&lt;=10),M49*2.5%)))))))))</f>
        <v>728.81500000000005</v>
      </c>
      <c r="M64" s="302">
        <f t="shared" ref="M64:M65" ca="1" si="1">ROUND(L64,1)</f>
        <v>728.8</v>
      </c>
      <c r="N64" s="2543" t="s">
        <v>1383</v>
      </c>
      <c r="Z64" s="1752"/>
      <c r="AI64" s="1753"/>
    </row>
    <row r="65" spans="1:35" ht="14.25" customHeight="1">
      <c r="A65" s="169" t="s">
        <v>326</v>
      </c>
      <c r="B65" s="170" t="s">
        <v>1384</v>
      </c>
      <c r="C65" s="2565"/>
      <c r="D65" s="170"/>
      <c r="E65" s="172"/>
      <c r="F65" s="1808"/>
      <c r="G65" s="1808"/>
      <c r="H65" s="1810"/>
      <c r="I65" s="129"/>
      <c r="J65" s="3693"/>
      <c r="K65" s="1332" t="s">
        <v>1385</v>
      </c>
      <c r="L65" s="1332">
        <f ca="1">IF(M49&gt;1000,M49*0.1%,IF(AND(M49&gt;500,M49&lt;=1000),M49*0.5%,IF(AND(M49&gt;50,M49&lt;=500),M49*1%,IF(AND(M49&gt;1,M49&lt;=50),M49*1.5%))))</f>
        <v>145.76300000000001</v>
      </c>
      <c r="M65" s="302">
        <f t="shared" ca="1" si="1"/>
        <v>145.80000000000001</v>
      </c>
      <c r="N65" s="2543" t="s">
        <v>1383</v>
      </c>
      <c r="Z65" s="1752"/>
      <c r="AI65" s="1753"/>
    </row>
    <row r="66" spans="1:35" ht="14.25" customHeight="1">
      <c r="A66" s="173" t="s">
        <v>327</v>
      </c>
      <c r="B66" s="174" t="s">
        <v>1386</v>
      </c>
      <c r="C66" s="2566"/>
      <c r="D66" s="174" t="s">
        <v>26</v>
      </c>
      <c r="E66" s="1338" t="s">
        <v>671</v>
      </c>
      <c r="F66" s="1808"/>
      <c r="G66" s="1808"/>
      <c r="H66" s="1810"/>
      <c r="I66" s="129"/>
      <c r="J66" s="3693"/>
      <c r="K66" s="1332" t="s">
        <v>1387</v>
      </c>
      <c r="L66" s="1332">
        <f ca="1">M49*0.5%</f>
        <v>728.81500000000005</v>
      </c>
      <c r="M66" s="302">
        <f ca="1">IF(L66&gt;0.5,0.5,ROUND(L66,0))</f>
        <v>0.5</v>
      </c>
      <c r="N66" s="2543" t="s">
        <v>1388</v>
      </c>
      <c r="Z66" s="1752"/>
      <c r="AI66" s="1753"/>
    </row>
    <row r="67" spans="1:35" ht="14.25" customHeight="1">
      <c r="A67" s="173" t="s">
        <v>328</v>
      </c>
      <c r="B67" s="174" t="s">
        <v>1389</v>
      </c>
      <c r="C67" s="2567">
        <f ca="1">C63-C66</f>
        <v>77740</v>
      </c>
      <c r="D67" s="170" t="s">
        <v>26</v>
      </c>
      <c r="E67" s="172"/>
      <c r="F67" s="1808"/>
      <c r="G67" s="1808"/>
      <c r="H67" s="1810"/>
      <c r="I67" s="129"/>
      <c r="J67" s="3693"/>
      <c r="K67" s="1332" t="s">
        <v>1390</v>
      </c>
      <c r="L67" s="1332">
        <f ca="1">IF(M49&gt;=10000,(8.25+(M49-10000)*0.01%),IF(AND(M49&gt;=8000,M49&lt;10000),(7.85+(M49-8000)*0.02%),IF(AND(M49&gt;=5000,M49&lt;8000),(6.65+(M49-5000)*0.04%),IF(AND(M49&gt;=2000,M49&lt;5000),(4.25+(PM49-2000)*0.08%),IF(AND(M49&gt;=1000,M49&lt;2000),(2.75+(M49-1000)*0.15%),IF(AND(M49&gt;=100,M49&lt;1000),(0.5+(M49-100)*0.25%),IF(AND(M49&gt;0,M49&lt;100),M49*0.5%)))))))</f>
        <v>21.8263</v>
      </c>
      <c r="M67" s="302">
        <f ca="1">ROUND(L67*0.9,1)</f>
        <v>19.600000000000001</v>
      </c>
      <c r="N67" s="2542"/>
      <c r="Z67" s="1752"/>
      <c r="AI67" s="1753"/>
    </row>
    <row r="68" spans="1:35" ht="14.25" customHeight="1" thickBot="1">
      <c r="A68" s="176" t="s">
        <v>329</v>
      </c>
      <c r="B68" s="177" t="s">
        <v>1391</v>
      </c>
      <c r="C68" s="2568">
        <f ca="1">IF(C67&lt;=0,0,ROUND(C67*D68,0))</f>
        <v>4353</v>
      </c>
      <c r="D68" s="2569">
        <f>'数据-取费表'!B41</f>
        <v>5.6000000000000001E-2</v>
      </c>
      <c r="E68" s="178"/>
      <c r="F68" s="1808"/>
      <c r="G68" s="1808"/>
      <c r="H68" s="1810"/>
      <c r="I68" s="129"/>
      <c r="J68" s="3693"/>
      <c r="K68" s="1332" t="s">
        <v>1392</v>
      </c>
      <c r="L68" s="1332">
        <f ca="1">IF(M49&gt;10000,M49*0.5%,IF(AND(M49&gt;5000,M49&lt;=10000),M49*1%,IF(AND(M49&gt;1000,M49&lt;=5000),M49*2%,IF(AND(M49&gt;200,M49&lt;=1000),M49*3%,M49*5%))))</f>
        <v>728.81500000000005</v>
      </c>
      <c r="M68" s="302">
        <f ca="1">ROUND(L68,1)</f>
        <v>728.8</v>
      </c>
      <c r="N68" s="2542"/>
      <c r="Z68" s="1752"/>
      <c r="AI68" s="1753"/>
    </row>
    <row r="69" spans="1:35" s="1772" customFormat="1" ht="16.5" customHeight="1">
      <c r="A69" s="1811"/>
      <c r="B69" s="1812"/>
      <c r="C69" s="1813"/>
      <c r="D69" s="1814"/>
      <c r="E69" s="1815"/>
      <c r="F69" s="1578"/>
      <c r="G69" s="1578"/>
      <c r="H69" s="1577"/>
      <c r="I69" s="1747"/>
      <c r="J69" s="3693"/>
      <c r="K69" s="1332" t="s">
        <v>1393</v>
      </c>
      <c r="L69" s="1332"/>
      <c r="M69" s="302">
        <f ca="1">ROUND(SUM(M63:M68),0)</f>
        <v>2352</v>
      </c>
      <c r="N69" s="2544">
        <f ca="1">M69/M49</f>
        <v>1.6135782057175002E-2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55" t="s">
        <v>1394</v>
      </c>
      <c r="B70" s="3656"/>
      <c r="C70" s="3656"/>
      <c r="D70" s="3656"/>
      <c r="E70" s="3656"/>
      <c r="F70" s="3656"/>
      <c r="G70" s="3656"/>
      <c r="H70" s="365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34" t="s">
        <v>1375</v>
      </c>
      <c r="B71" s="3635"/>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77740</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466</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29" t="s">
        <v>1402</v>
      </c>
      <c r="F76" s="3603"/>
      <c r="G76" s="3603"/>
      <c r="H76" s="365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466</v>
      </c>
      <c r="D78" s="2576">
        <f>'数据-取费表'!B43</f>
        <v>6.000000000000001E-3</v>
      </c>
      <c r="E78" s="3613" t="s">
        <v>1406</v>
      </c>
      <c r="F78" s="3614"/>
      <c r="G78" s="3614"/>
      <c r="H78" s="36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77274</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165.82403433476395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46201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55" t="s">
        <v>1410</v>
      </c>
      <c r="B83" s="3656"/>
      <c r="C83" s="3656"/>
      <c r="D83" s="3656"/>
      <c r="E83" s="3656"/>
      <c r="F83" s="3656"/>
      <c r="G83" s="3656"/>
      <c r="H83" s="365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4" t="s">
        <v>1375</v>
      </c>
      <c r="B84" s="3635"/>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77740</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35951.4755</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5982.4754999999996</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f>1650*'数据-汇总表'!E3/10000</f>
        <v>5805.4754999999996</v>
      </c>
      <c r="D88" s="2576"/>
      <c r="E88" s="193" t="s">
        <v>1413</v>
      </c>
      <c r="F88" s="2326"/>
      <c r="G88" s="194" t="s">
        <v>1414</v>
      </c>
      <c r="H88" s="1824" t="s">
        <v>3561</v>
      </c>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177</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95" t="s">
        <v>2128</v>
      </c>
      <c r="H90" s="3696"/>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 ca="1">IF(H91="——",成本法!C33,I91)</f>
        <v>21314</v>
      </c>
      <c r="D91" s="2576"/>
      <c r="E91" s="3613" t="s">
        <v>1419</v>
      </c>
      <c r="F91" s="3614"/>
      <c r="G91" s="3614"/>
      <c r="H91" s="1825" t="s">
        <v>43</v>
      </c>
      <c r="I91" s="3449"/>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 ca="1">ROUND((C87+C90+C91)*D92,0)</f>
        <v>2730</v>
      </c>
      <c r="D92" s="2582">
        <v>0.1</v>
      </c>
      <c r="E92" s="3613" t="s">
        <v>1422</v>
      </c>
      <c r="F92" s="3614"/>
      <c r="G92" s="3614"/>
      <c r="H92" s="3623"/>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466</v>
      </c>
      <c r="D93" s="2576">
        <f>'数据-取费表'!B43</f>
        <v>6.000000000000001E-3</v>
      </c>
      <c r="E93" s="3613" t="s">
        <v>1406</v>
      </c>
      <c r="F93" s="3614"/>
      <c r="G93" s="3614"/>
      <c r="H93" s="36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 ca="1">ROUND((C87+C90+C91)*D94,0)</f>
        <v>5459</v>
      </c>
      <c r="D94" s="2576">
        <v>0.2</v>
      </c>
      <c r="E94" s="3624" t="s">
        <v>1426</v>
      </c>
      <c r="F94" s="3625"/>
      <c r="G94" s="3625"/>
      <c r="H94" s="362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41789</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1.162372320435082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15502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7" t="s">
        <v>1428</v>
      </c>
      <c r="B100" s="3598"/>
      <c r="C100" s="3598"/>
      <c r="D100" s="3615"/>
      <c r="E100" s="3598" t="s">
        <v>1429</v>
      </c>
      <c r="F100" s="3598"/>
      <c r="G100" s="3598"/>
      <c r="H100" s="3615"/>
      <c r="I100" s="129"/>
    </row>
    <row r="101" spans="1:35" ht="18.75" customHeight="1">
      <c r="A101" s="3676" t="s">
        <v>1430</v>
      </c>
      <c r="B101" s="3677"/>
      <c r="C101" s="2584" t="str">
        <f>C4</f>
        <v>成本法</v>
      </c>
      <c r="D101" s="2585" t="str">
        <f>D4</f>
        <v>收益法</v>
      </c>
      <c r="E101" s="3690" t="s">
        <v>1431</v>
      </c>
      <c r="F101" s="3647"/>
      <c r="G101" s="1826" t="s">
        <v>1432</v>
      </c>
      <c r="H101" s="2594">
        <f ca="1">H118</f>
        <v>145763</v>
      </c>
      <c r="I101" s="129"/>
    </row>
    <row r="102" spans="1:35" ht="18.75" customHeight="1">
      <c r="A102" s="3649" t="s">
        <v>1433</v>
      </c>
      <c r="B102" s="2583" t="s">
        <v>1432</v>
      </c>
      <c r="C102" s="2584">
        <f ca="1">IF(D32="楼面单价",ROUND(C19,0),C19)</f>
        <v>174591</v>
      </c>
      <c r="D102" s="2585">
        <f ca="1">IF(D32="楼面单价",ROUND(D19,0),D19)</f>
        <v>126545</v>
      </c>
      <c r="E102" s="3690"/>
      <c r="F102" s="3647"/>
      <c r="G102" s="1826" t="s">
        <v>1434</v>
      </c>
      <c r="H102" s="2554">
        <f ca="1">I118</f>
        <v>41428</v>
      </c>
      <c r="I102" s="129"/>
    </row>
    <row r="103" spans="1:35" ht="42.75" customHeight="1">
      <c r="A103" s="3649"/>
      <c r="B103" s="2583" t="s">
        <v>1434</v>
      </c>
      <c r="C103" s="2586">
        <f ca="1">C20</f>
        <v>49621</v>
      </c>
      <c r="D103" s="2587">
        <f ca="1">D20</f>
        <v>35966</v>
      </c>
      <c r="E103" s="3684" t="s">
        <v>1435</v>
      </c>
      <c r="F103" s="3685"/>
      <c r="G103" s="1827" t="s">
        <v>1436</v>
      </c>
      <c r="H103" s="2594">
        <f>IF(D36="正常操作",H104+H105+H106,H105+H106)</f>
        <v>0</v>
      </c>
      <c r="I103" s="129"/>
    </row>
    <row r="104" spans="1:35" ht="18.75" customHeight="1">
      <c r="A104" s="3649" t="s">
        <v>1437</v>
      </c>
      <c r="B104" s="2588" t="s">
        <v>1432</v>
      </c>
      <c r="C104" s="2589">
        <f ca="1">H118</f>
        <v>145763</v>
      </c>
      <c r="D104" s="2590"/>
      <c r="E104" s="1674" t="s">
        <v>1438</v>
      </c>
      <c r="F104" s="1666"/>
      <c r="G104" s="1827" t="s">
        <v>1436</v>
      </c>
      <c r="H104" s="2595">
        <f>IF(D36="同一抵押权人同一抵押物续贷",C36&amp;"（续贷，未扣减，详见特别提示）",C36)</f>
        <v>0</v>
      </c>
      <c r="I104" s="129"/>
    </row>
    <row r="105" spans="1:35" ht="18.75" customHeight="1" thickBot="1">
      <c r="A105" s="3650"/>
      <c r="B105" s="2591" t="s">
        <v>1434</v>
      </c>
      <c r="C105" s="2592">
        <f ca="1">I118</f>
        <v>41428</v>
      </c>
      <c r="D105" s="2593"/>
      <c r="E105" s="1674" t="s">
        <v>1439</v>
      </c>
      <c r="F105" s="1666"/>
      <c r="G105" s="1827" t="s">
        <v>1436</v>
      </c>
      <c r="H105" s="2596">
        <f>C37</f>
        <v>0</v>
      </c>
      <c r="I105" s="129"/>
    </row>
    <row r="106" spans="1:35" ht="18.75" customHeight="1">
      <c r="A106" s="1747" t="s">
        <v>1440</v>
      </c>
      <c r="B106" s="1747"/>
      <c r="C106" s="1747"/>
      <c r="D106" s="1747"/>
      <c r="E106" s="1828" t="s">
        <v>1441</v>
      </c>
      <c r="F106" s="1666"/>
      <c r="G106" s="1827" t="s">
        <v>1436</v>
      </c>
      <c r="H106" s="2596">
        <f>C38</f>
        <v>0</v>
      </c>
      <c r="I106" s="129"/>
    </row>
    <row r="107" spans="1:35" ht="18.75" customHeight="1">
      <c r="A107" s="129"/>
      <c r="B107" s="129"/>
      <c r="C107" s="129"/>
      <c r="D107" s="129"/>
      <c r="E107" s="3646" t="str">
        <f>IF(项目基本情况!E8="已注销","——","3.房地产抵押价值")</f>
        <v>3.房地产抵押价值</v>
      </c>
      <c r="F107" s="3647"/>
      <c r="G107" s="1826" t="s">
        <v>1432</v>
      </c>
      <c r="H107" s="2594">
        <f ca="1">IF(E107="——","——",H101-H103)</f>
        <v>145763</v>
      </c>
      <c r="I107" s="129"/>
    </row>
    <row r="108" spans="1:35" ht="18.75" customHeight="1">
      <c r="A108" s="129"/>
      <c r="B108" s="129"/>
      <c r="C108" s="129"/>
      <c r="D108" s="129"/>
      <c r="E108" s="3646"/>
      <c r="F108" s="3647"/>
      <c r="G108" s="1826" t="s">
        <v>1434</v>
      </c>
      <c r="H108" s="2554">
        <f ca="1">IF(H107=H101,H102,ROUND(H107*10000/'数据-汇总表'!E3,0))</f>
        <v>41428</v>
      </c>
      <c r="I108" s="129"/>
    </row>
    <row r="109" spans="1:35" ht="18.75" customHeight="1">
      <c r="A109" s="129"/>
      <c r="B109" s="129"/>
      <c r="C109" s="129"/>
      <c r="D109" s="129"/>
      <c r="E109" s="3646" t="str">
        <f>IF(项目基本情况!E8="已注销及未注销","4.抵押担保权已注销时的房地产抵押价值",IF(项目基本情况!E8="已注销","3.抵押担保权已注销时的房地产抵押价值","——"))</f>
        <v>——</v>
      </c>
      <c r="F109" s="3647"/>
      <c r="G109" s="1826" t="s">
        <v>1432</v>
      </c>
      <c r="H109" s="2597" t="str">
        <f>IF(E109="——","——",H101-H105-H106)</f>
        <v>——</v>
      </c>
      <c r="I109" s="129"/>
    </row>
    <row r="110" spans="1:35" ht="18.75" customHeight="1">
      <c r="A110" s="129"/>
      <c r="B110" s="129"/>
      <c r="C110" s="129"/>
      <c r="D110" s="129"/>
      <c r="E110" s="3646"/>
      <c r="F110" s="3647"/>
      <c r="G110" s="1826" t="s">
        <v>1434</v>
      </c>
      <c r="H110" s="2554" t="str">
        <f>IF(H109="——","——",ROUND(H109*10000/'数据-汇总表'!E3,0))</f>
        <v>——</v>
      </c>
      <c r="I110" s="129"/>
    </row>
    <row r="111" spans="1:35" ht="18.75" customHeight="1">
      <c r="A111" s="129"/>
      <c r="B111" s="129"/>
      <c r="C111" s="129"/>
      <c r="D111" s="129"/>
      <c r="E111" s="3678" t="str">
        <f>IF(项目基本情况!E9="抵押净值",IF(OR(项目基本情况!E8="已注销",项目基本情况!E8="房地产抵押价值"),"4.抵押净值","5.抵押净值"),"——")</f>
        <v>4.抵押净值</v>
      </c>
      <c r="F111" s="3648"/>
      <c r="G111" s="1826" t="s">
        <v>1432</v>
      </c>
      <c r="H111" s="2594">
        <f ca="1">IF(E111="——","——",N59)</f>
        <v>125867</v>
      </c>
      <c r="I111" s="129"/>
    </row>
    <row r="112" spans="1:35" ht="18.75" customHeight="1" thickBot="1">
      <c r="A112" s="129"/>
      <c r="B112" s="129"/>
      <c r="C112" s="129"/>
      <c r="D112" s="129"/>
      <c r="E112" s="3679"/>
      <c r="F112" s="3680"/>
      <c r="G112" s="1829" t="s">
        <v>1434</v>
      </c>
      <c r="H112" s="2598">
        <f ca="1">IF(E111="——","——",N61)</f>
        <v>35773</v>
      </c>
      <c r="I112" s="129"/>
    </row>
    <row r="113" spans="1:27" ht="18.75" customHeight="1">
      <c r="A113" s="129"/>
      <c r="B113" s="129"/>
      <c r="C113" s="129"/>
      <c r="D113" s="129"/>
      <c r="E113" s="3651" t="s">
        <v>1440</v>
      </c>
      <c r="F113" s="3651"/>
      <c r="G113" s="3651"/>
      <c r="H113" s="3651"/>
      <c r="I113" s="129"/>
    </row>
    <row r="114" spans="1:27" ht="3.75" customHeight="1">
      <c r="A114" s="1747"/>
      <c r="B114" s="1747"/>
      <c r="C114" s="1747"/>
      <c r="D114" s="1747"/>
      <c r="E114" s="1809"/>
      <c r="F114" s="1809"/>
      <c r="G114" s="1809"/>
      <c r="H114" s="1809"/>
      <c r="I114" s="1747"/>
    </row>
    <row r="115" spans="1:27" ht="18.75" customHeight="1">
      <c r="A115" s="3661" t="s">
        <v>1442</v>
      </c>
      <c r="B115" s="3662"/>
      <c r="C115" s="3662"/>
      <c r="D115" s="3662"/>
      <c r="E115" s="3662"/>
      <c r="F115" s="3662"/>
      <c r="G115" s="3662"/>
      <c r="H115" s="3662"/>
      <c r="I115" s="3663"/>
    </row>
    <row r="116" spans="1:27" ht="27" customHeight="1">
      <c r="A116" s="3617" t="s">
        <v>1443</v>
      </c>
      <c r="B116" s="3652" t="s">
        <v>1444</v>
      </c>
      <c r="C116" s="3652" t="s">
        <v>1445</v>
      </c>
      <c r="D116" s="3665" t="s">
        <v>1446</v>
      </c>
      <c r="E116" s="3666"/>
      <c r="F116" s="3660" t="s">
        <v>3409</v>
      </c>
      <c r="G116" s="3660"/>
      <c r="H116" s="3617" t="s">
        <v>1447</v>
      </c>
      <c r="I116" s="3617"/>
    </row>
    <row r="117" spans="1:27" ht="18.75" customHeight="1">
      <c r="A117" s="3617"/>
      <c r="B117" s="3653"/>
      <c r="C117" s="3653"/>
      <c r="D117" s="2328" t="s">
        <v>1448</v>
      </c>
      <c r="E117" s="2328" t="s">
        <v>1449</v>
      </c>
      <c r="F117" s="2328" t="s">
        <v>1448</v>
      </c>
      <c r="G117" s="2328" t="s">
        <v>1450</v>
      </c>
      <c r="H117" s="2328" t="s">
        <v>1448</v>
      </c>
      <c r="I117" s="2328" t="s">
        <v>1450</v>
      </c>
    </row>
    <row r="118" spans="1:27" ht="24.75" customHeight="1">
      <c r="A118" s="2599" t="str">
        <f>项目基本情况!S2</f>
        <v>北京市朝阳区朝外大街乙12号房地产</v>
      </c>
      <c r="B118" s="2328">
        <f>M18</f>
        <v>35184.699999999997</v>
      </c>
      <c r="C118" s="2328">
        <f>M19</f>
        <v>0</v>
      </c>
      <c r="D118" s="2328">
        <f ca="1">ROUND(IF(D32="总价",C34,E118*B118/10000),0)</f>
        <v>126377</v>
      </c>
      <c r="E118" s="2328">
        <f ca="1">ROUND(IF(C33="自定义",IF(D32="楼面单价",C34,D118*10000/B118),I118-G118),0)</f>
        <v>35918</v>
      </c>
      <c r="F118" s="2328">
        <f ca="1">ROUND(IF(D32="总价",C35,G118*B118/10000),0)</f>
        <v>19386</v>
      </c>
      <c r="G118" s="2328">
        <f ca="1">ROUND(IF(D32="楼面单价",C35,F118*10000/B118),0)</f>
        <v>5510</v>
      </c>
      <c r="H118" s="2328">
        <f ca="1">ROUND(IF(D32="总价",C32,I118*B118/10000),0)</f>
        <v>145763</v>
      </c>
      <c r="I118" s="2328">
        <f ca="1">ROUND(IF(D32="楼面单价",C32,H118*10000/B118),0)</f>
        <v>41428</v>
      </c>
      <c r="J118" s="725" t="e">
        <f ca="1">D118/C118*666.67</f>
        <v>#DIV/0!</v>
      </c>
      <c r="K118" s="725" t="e">
        <f ca="1">D118/C118*10000</f>
        <v>#DIV/0!</v>
      </c>
    </row>
    <row r="119" spans="1:27" ht="18.75" customHeight="1">
      <c r="A119" s="3617" t="s">
        <v>1451</v>
      </c>
      <c r="B119" s="3617"/>
      <c r="C119" s="3617"/>
      <c r="D119" s="3657" t="str">
        <f ca="1">NUMBERSTRING(INT(D118*10000),2)&amp;"元整"</f>
        <v>壹拾贰亿陆仟叁佰柒拾柒万元整</v>
      </c>
      <c r="E119" s="3659"/>
      <c r="F119" s="3657" t="str">
        <f ca="1">NUMBERSTRING(INT(F118*10000),2)&amp;"元整"</f>
        <v>壹亿玖仟叁佰捌拾陆万元整</v>
      </c>
      <c r="G119" s="3659"/>
      <c r="H119" s="3657" t="str">
        <f ca="1">NUMBERSTRING(INT(H118*10000),2)&amp;"元整"</f>
        <v>壹拾肆亿伍仟柒佰陆拾叁万元整</v>
      </c>
      <c r="I119" s="3659"/>
    </row>
    <row r="120" spans="1:27" ht="18.75" customHeight="1">
      <c r="A120" s="3681" t="str">
        <f>IF(项目基本情况!B9="房地产市场价值","",MID(E103,3,LEN(E103)-2))</f>
        <v>估价师知悉的法定优先受偿款</v>
      </c>
      <c r="B120" s="3682"/>
      <c r="C120" s="3683"/>
      <c r="D120" s="3681">
        <f>H103</f>
        <v>0</v>
      </c>
      <c r="E120" s="3682"/>
      <c r="F120" s="3682"/>
      <c r="G120" s="3682"/>
      <c r="H120" s="3682"/>
      <c r="I120" s="368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57" t="s">
        <v>1451</v>
      </c>
      <c r="B121" s="3658"/>
      <c r="C121" s="3659"/>
      <c r="D121" s="3657" t="str">
        <f>IF(D120=0,"零元整",NUMBERSTRING(INT(D120*10000),2)&amp;"元整")</f>
        <v>零元整</v>
      </c>
      <c r="E121" s="3658"/>
      <c r="F121" s="3658"/>
      <c r="G121" s="3658"/>
      <c r="H121" s="3658"/>
      <c r="I121" s="3659"/>
      <c r="AA121" s="725"/>
    </row>
    <row r="122" spans="1:27" ht="18.75" customHeight="1">
      <c r="A122" s="3648" t="str">
        <f>IF(项目基本情况!B9="房地产市场价值","",MID(E107,3,LEN(E107)-2))</f>
        <v>房地产抵押价值</v>
      </c>
      <c r="B122" s="3648"/>
      <c r="C122" s="3648"/>
      <c r="D122" s="3681">
        <f ca="1">H107</f>
        <v>145763</v>
      </c>
      <c r="E122" s="3682"/>
      <c r="F122" s="3682"/>
      <c r="G122" s="3682"/>
      <c r="H122" s="3682"/>
      <c r="I122" s="3683"/>
      <c r="AA122" s="725"/>
    </row>
    <row r="123" spans="1:27" ht="18.75" customHeight="1">
      <c r="A123" s="3617" t="s">
        <v>1451</v>
      </c>
      <c r="B123" s="3617"/>
      <c r="C123" s="3617"/>
      <c r="D123" s="3657" t="str">
        <f ca="1">NUMBERSTRING(INT(D122*10000),2)&amp;"元整"</f>
        <v>壹拾肆亿伍仟柒佰陆拾叁万元整</v>
      </c>
      <c r="E123" s="3658"/>
      <c r="F123" s="3658"/>
      <c r="G123" s="3658"/>
      <c r="H123" s="3658"/>
      <c r="I123" s="3659"/>
      <c r="AA123" s="725"/>
    </row>
    <row r="124" spans="1:27" ht="18.75" customHeight="1">
      <c r="A124" s="3648" t="str">
        <f>IF(项目基本情况!B9="房地产市场价值","",MID(E109,3,LEN(E109)-2))</f>
        <v/>
      </c>
      <c r="B124" s="3648"/>
      <c r="C124" s="3648"/>
      <c r="D124" s="3681" t="str">
        <f>H109</f>
        <v>——</v>
      </c>
      <c r="E124" s="3682"/>
      <c r="F124" s="3682"/>
      <c r="G124" s="3682"/>
      <c r="H124" s="3682"/>
      <c r="I124" s="3683"/>
      <c r="AA124" s="725"/>
    </row>
    <row r="125" spans="1:27" ht="18.75" customHeight="1">
      <c r="A125" s="3617" t="s">
        <v>1451</v>
      </c>
      <c r="B125" s="3617"/>
      <c r="C125" s="3617"/>
      <c r="D125" s="3657" t="e">
        <f>NUMBERSTRING(INT(D124*10000),2)&amp;"元整"</f>
        <v>#VALUE!</v>
      </c>
      <c r="E125" s="3658"/>
      <c r="F125" s="3658"/>
      <c r="G125" s="3658"/>
      <c r="H125" s="3658"/>
      <c r="I125" s="3659"/>
      <c r="AA125" s="725"/>
    </row>
    <row r="126" spans="1:27" ht="18.75" customHeight="1">
      <c r="A126" s="3648" t="str">
        <f>IF(项目基本情况!B9="房地产市场价值","",MID(E111,3,LEN(E111)-2))</f>
        <v>抵押净值</v>
      </c>
      <c r="B126" s="3648"/>
      <c r="C126" s="3648"/>
      <c r="D126" s="3681">
        <f ca="1">H111</f>
        <v>125867</v>
      </c>
      <c r="E126" s="3682"/>
      <c r="F126" s="3682"/>
      <c r="G126" s="3682"/>
      <c r="H126" s="3682"/>
      <c r="I126" s="3683"/>
      <c r="AA126" s="725"/>
    </row>
    <row r="127" spans="1:27" ht="18.75" customHeight="1">
      <c r="A127" s="3617" t="s">
        <v>1451</v>
      </c>
      <c r="B127" s="3617"/>
      <c r="C127" s="3617"/>
      <c r="D127" s="3657" t="str">
        <f ca="1">NUMBERSTRING(INT(D126*10000),2)&amp;"元整"</f>
        <v>壹拾贰亿伍仟捌佰陆拾柒万元整</v>
      </c>
      <c r="E127" s="3658"/>
      <c r="F127" s="3658"/>
      <c r="G127" s="3658"/>
      <c r="H127" s="3658"/>
      <c r="I127" s="3659"/>
      <c r="AA127" s="725"/>
    </row>
    <row r="128" spans="1:27" ht="21.75" customHeight="1">
      <c r="A128" s="3664" t="s">
        <v>1452</v>
      </c>
      <c r="B128" s="3664"/>
      <c r="C128" s="3664"/>
      <c r="D128" s="3664"/>
      <c r="E128" s="3664"/>
      <c r="F128" s="3664"/>
      <c r="G128" s="3664"/>
      <c r="H128" s="3664"/>
      <c r="I128" s="3664"/>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1"/>
      <c r="G142" s="725"/>
      <c r="H142" s="725"/>
      <c r="I142" s="725"/>
    </row>
    <row r="143" spans="1:35" s="130" customFormat="1" ht="21.75" customHeight="1">
      <c r="A143" s="725"/>
      <c r="B143" s="1849"/>
      <c r="C143" s="1850"/>
      <c r="D143" s="1851"/>
      <c r="E143" s="1851"/>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3" t="str">
        <f>项目基本情况!B1</f>
        <v>北京市朝阳区朝外大街乙12号房地产抵押价值预评估</v>
      </c>
      <c r="C37" s="3513"/>
      <c r="D37" s="3513"/>
      <c r="E37" s="3513"/>
      <c r="F37" s="3513"/>
      <c r="G37" s="3513"/>
      <c r="H37" s="3513"/>
      <c r="I37" s="351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57"/>
  <sheetViews>
    <sheetView view="pageBreakPreview" zoomScale="85" zoomScaleNormal="70" zoomScaleSheetLayoutView="85" workbookViewId="0">
      <selection activeCell="J37" sqref="J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6" s="200" customFormat="1" ht="20.25">
      <c r="A1" s="196" t="s">
        <v>1460</v>
      </c>
      <c r="B1" s="1470"/>
      <c r="C1" s="198"/>
      <c r="D1" s="198"/>
      <c r="E1" s="198"/>
      <c r="F1" s="198"/>
      <c r="G1" s="1126">
        <f>MATCH(B1,'数据-取费表'!A6:A16,0)+5</f>
        <v>7</v>
      </c>
    </row>
    <row r="2" spans="1:16" s="200" customFormat="1" ht="18" customHeight="1">
      <c r="A2" s="201" t="s">
        <v>1461</v>
      </c>
      <c r="B2" s="202">
        <f ca="1">IF(D2="——",C52,C52-E2)</f>
        <v>174591</v>
      </c>
      <c r="C2" s="199" t="s">
        <v>1462</v>
      </c>
      <c r="D2" s="1852" t="s">
        <v>43</v>
      </c>
      <c r="E2" s="1169" t="e">
        <f ca="1">SUMIF(INDIRECT("'"&amp;G2&amp;"'"&amp;"!A:A"),"承租人权益价值",INDIRECT("'"&amp;G2&amp;"'"&amp;"!c:c"))</f>
        <v>#REF!</v>
      </c>
      <c r="F2" s="1853" t="s">
        <v>1462</v>
      </c>
      <c r="G2" s="1854"/>
    </row>
    <row r="3" spans="1:16" s="200" customFormat="1" ht="18" customHeight="1" thickBot="1">
      <c r="A3" s="203" t="s">
        <v>1463</v>
      </c>
      <c r="B3" s="204">
        <f ca="1">ROUND(B2*10000/(IF(B1="",'数据-汇总表'!E3,INDIRECT("'数据-取费表'!k"&amp;$G$1))),0)</f>
        <v>49621</v>
      </c>
      <c r="C3" s="199" t="s">
        <v>1464</v>
      </c>
      <c r="D3" s="199"/>
      <c r="E3" s="199"/>
      <c r="F3" s="199"/>
      <c r="G3" s="199"/>
    </row>
    <row r="4" spans="1:16" s="208" customFormat="1" ht="15.75">
      <c r="A4" s="205" t="s">
        <v>1465</v>
      </c>
      <c r="B4" s="206"/>
      <c r="C4" s="206"/>
      <c r="D4" s="206"/>
      <c r="E4" s="206"/>
      <c r="F4" s="206"/>
      <c r="G4" s="207"/>
    </row>
    <row r="5" spans="1:16" s="214" customFormat="1" ht="13.5" customHeight="1">
      <c r="A5" s="255" t="s">
        <v>1466</v>
      </c>
      <c r="B5" s="210" t="s">
        <v>1467</v>
      </c>
      <c r="C5" s="211">
        <f ca="1">C6+C7+C8</f>
        <v>107734</v>
      </c>
      <c r="D5" s="211" t="s">
        <v>1468</v>
      </c>
      <c r="E5" s="212" t="s">
        <v>1469</v>
      </c>
      <c r="F5" s="212" t="s">
        <v>1470</v>
      </c>
      <c r="G5" s="213"/>
      <c r="L5" s="214">
        <v>7000</v>
      </c>
      <c r="M5" s="214">
        <f ca="1">ROUND(L5*D10/10000,0)</f>
        <v>24629</v>
      </c>
    </row>
    <row r="6" spans="1:16" s="214" customFormat="1" ht="13.5" customHeight="1">
      <c r="A6" s="778" t="s">
        <v>1471</v>
      </c>
      <c r="B6" s="215" t="s">
        <v>1472</v>
      </c>
      <c r="C6" s="216">
        <f>基准地价修正!E33</f>
        <v>103862</v>
      </c>
      <c r="D6" s="217"/>
      <c r="E6" s="218"/>
      <c r="F6" s="218"/>
      <c r="G6" s="219"/>
    </row>
    <row r="7" spans="1:16" s="214" customFormat="1" ht="13.5" customHeight="1">
      <c r="A7" s="778" t="s">
        <v>1473</v>
      </c>
      <c r="B7" s="215" t="s">
        <v>1474</v>
      </c>
      <c r="C7" s="220">
        <f>ROUND(C6*F7,0)</f>
        <v>3168</v>
      </c>
      <c r="D7" s="220"/>
      <c r="E7" s="218"/>
      <c r="F7" s="221">
        <f>IF(项目基本情况!B8="出让",0,'数据-取费表'!B48+'数据-取费表'!B49)</f>
        <v>3.0499999999999999E-2</v>
      </c>
      <c r="G7" s="219"/>
    </row>
    <row r="8" spans="1:16" s="223" customFormat="1">
      <c r="A8" s="778" t="s">
        <v>1475</v>
      </c>
      <c r="B8" s="215" t="s">
        <v>1476</v>
      </c>
      <c r="C8" s="220">
        <f ca="1">IF(G8="已包含在土地购买价格中","0",IF(B1="",'数据-取费表'!B29,IF(G9="全部缴纳",C9+C10,H9)))</f>
        <v>704</v>
      </c>
      <c r="D8" s="222"/>
      <c r="E8" s="220"/>
      <c r="F8" s="221"/>
      <c r="G8" s="1855" t="s">
        <v>3395</v>
      </c>
      <c r="L8" s="223">
        <v>15000</v>
      </c>
      <c r="M8" s="223">
        <v>11000</v>
      </c>
      <c r="N8" s="223">
        <v>13000</v>
      </c>
      <c r="O8" s="223">
        <f>ROUND((L8+M8+N8)/3,0)</f>
        <v>13000</v>
      </c>
      <c r="P8" s="223">
        <f ca="1">ROUND(O8*D10/10000,0)</f>
        <v>45740</v>
      </c>
    </row>
    <row r="9" spans="1:16"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6" t="s">
        <v>3404</v>
      </c>
      <c r="H9" s="1137"/>
      <c r="I9" s="1857" t="s">
        <v>1478</v>
      </c>
    </row>
    <row r="10" spans="1:16" s="214" customFormat="1" ht="13.5" customHeight="1">
      <c r="A10" s="779" t="s">
        <v>356</v>
      </c>
      <c r="B10" s="224" t="s">
        <v>1479</v>
      </c>
      <c r="C10" s="225">
        <f ca="1">ROUND(D10*E10/10000,0)</f>
        <v>704</v>
      </c>
      <c r="D10" s="845">
        <f ca="1">IF(B1="",'数据-汇总表'!E6,IF(INDIRECT("'数据-取费表'!c"&amp;$G$1)="住宅",INDIRECT("'数据-取费表'!s"&amp;$G$1),INDIRECT("'数据-取费表'!k"&amp;$G$1)+INDIRECT("'数据-取费表'!s"&amp;$G$1)))</f>
        <v>35184.699999999997</v>
      </c>
      <c r="E10" s="225">
        <f>'数据-取费表'!B28</f>
        <v>200</v>
      </c>
      <c r="F10" s="221"/>
      <c r="G10" s="226"/>
    </row>
    <row r="11" spans="1:16" s="214" customFormat="1" ht="13.5" hidden="1" customHeight="1">
      <c r="A11" s="227" t="s">
        <v>4</v>
      </c>
      <c r="B11" s="215" t="s">
        <v>1480</v>
      </c>
      <c r="C11" s="211"/>
      <c r="D11" s="847"/>
      <c r="E11" s="218"/>
      <c r="F11" s="218"/>
      <c r="G11" s="219"/>
    </row>
    <row r="12" spans="1:16" s="214" customFormat="1" ht="13.5" hidden="1" customHeight="1">
      <c r="A12" s="227" t="s">
        <v>5</v>
      </c>
      <c r="B12" s="215" t="s">
        <v>1481</v>
      </c>
      <c r="C12" s="211">
        <v>0</v>
      </c>
      <c r="D12" s="847"/>
      <c r="E12" s="228"/>
      <c r="F12" s="221">
        <v>3.0499999999999999E-2</v>
      </c>
      <c r="G12" s="219"/>
    </row>
    <row r="13" spans="1:16" s="214" customFormat="1" ht="13.5" hidden="1" customHeight="1">
      <c r="A13" s="227" t="s">
        <v>6</v>
      </c>
      <c r="B13" s="215" t="s">
        <v>1482</v>
      </c>
      <c r="C13" s="211"/>
      <c r="D13" s="847"/>
      <c r="E13" s="218"/>
      <c r="F13" s="218"/>
      <c r="G13" s="219"/>
    </row>
    <row r="14" spans="1:16" s="214" customFormat="1" ht="13.5" hidden="1" customHeight="1">
      <c r="A14" s="227" t="s">
        <v>7</v>
      </c>
      <c r="B14" s="215" t="s">
        <v>1483</v>
      </c>
      <c r="C14" s="211"/>
      <c r="D14" s="847"/>
      <c r="E14" s="218"/>
      <c r="F14" s="218"/>
      <c r="G14" s="219" t="s">
        <v>1484</v>
      </c>
    </row>
    <row r="15" spans="1:16" s="214" customFormat="1" ht="13.5" hidden="1" customHeight="1">
      <c r="A15" s="227" t="s">
        <v>8</v>
      </c>
      <c r="B15" s="215" t="s">
        <v>1485</v>
      </c>
      <c r="C15" s="220"/>
      <c r="D15" s="847"/>
      <c r="E15" s="218"/>
      <c r="F15" s="218"/>
      <c r="G15" s="219" t="s">
        <v>1486</v>
      </c>
    </row>
    <row r="16" spans="1:16"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35184.699999999997</v>
      </c>
      <c r="E19" s="211">
        <f>'数据-取费表'!B31</f>
        <v>200</v>
      </c>
      <c r="F19" s="231"/>
      <c r="G19" s="1855" t="s">
        <v>3396</v>
      </c>
    </row>
    <row r="20" spans="1:7" s="214" customFormat="1" ht="13.5" customHeight="1">
      <c r="A20" s="255" t="s">
        <v>1492</v>
      </c>
      <c r="B20" s="210" t="s">
        <v>1493</v>
      </c>
      <c r="C20" s="232">
        <f ca="1">ROUND((C5+C19)*F20,0)</f>
        <v>2155</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7636</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7562</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74</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21978</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21978</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151305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21314</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19352</v>
      </c>
      <c r="D34" s="217"/>
      <c r="E34" s="220"/>
      <c r="F34" s="257">
        <f ca="1">IF('数据-取费表'!B24=0,1,IF(B1="",'数据-取费表'!N16,INDIRECT("'数据-取费表'!n"&amp;$G$1)))</f>
        <v>1</v>
      </c>
      <c r="G34" s="219" t="s">
        <v>1525</v>
      </c>
    </row>
    <row r="35" spans="1:7" ht="13.5" customHeight="1">
      <c r="A35" s="780" t="s">
        <v>351</v>
      </c>
      <c r="B35" s="215" t="s">
        <v>1526</v>
      </c>
      <c r="C35" s="220">
        <f ca="1">ROUND(C34*F35,0)</f>
        <v>968</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704</v>
      </c>
      <c r="D37" s="217">
        <f ca="1">D19</f>
        <v>35184.699999999997</v>
      </c>
      <c r="E37" s="249">
        <f>'数据-取费表'!B35</f>
        <v>200</v>
      </c>
      <c r="F37" s="259"/>
      <c r="G37" s="261" t="s">
        <v>1531</v>
      </c>
    </row>
    <row r="38" spans="1:7" ht="13.5" customHeight="1">
      <c r="A38" s="780" t="s">
        <v>354</v>
      </c>
      <c r="B38" s="215" t="s">
        <v>1532</v>
      </c>
      <c r="C38" s="220">
        <f ca="1">ROUND(C34*F38,0)</f>
        <v>290</v>
      </c>
      <c r="D38" s="220"/>
      <c r="E38" s="220"/>
      <c r="F38" s="259">
        <f>'数据-取费表'!B36</f>
        <v>1.4999999999999999E-2</v>
      </c>
      <c r="G38" s="219" t="s">
        <v>1527</v>
      </c>
    </row>
    <row r="39" spans="1:7" s="214" customFormat="1" ht="13.5" customHeight="1">
      <c r="A39" s="255" t="s">
        <v>1533</v>
      </c>
      <c r="B39" s="210" t="s">
        <v>1534</v>
      </c>
      <c r="C39" s="232">
        <f ca="1">ROUND(C33*F20,0)</f>
        <v>426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750</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735</v>
      </c>
      <c r="D42" s="238"/>
      <c r="E42" s="238"/>
      <c r="F42" s="239"/>
      <c r="G42" s="3697" t="s">
        <v>1543</v>
      </c>
    </row>
    <row r="43" spans="1:7" ht="13.5" customHeight="1">
      <c r="A43" s="780" t="s">
        <v>347</v>
      </c>
      <c r="B43" s="215" t="s">
        <v>1544</v>
      </c>
      <c r="C43" s="238">
        <f ca="1">ROUND(IF('数据-取费表'!B22&lt;=1,C39*F22*'数据-取费表'!B21/2,C39*(POWER((1+F22),'数据-取费表'!B21/2)-1)),0)</f>
        <v>15</v>
      </c>
      <c r="D43" s="238"/>
      <c r="E43" s="238"/>
      <c r="F43" s="239"/>
      <c r="G43" s="3698"/>
    </row>
    <row r="44" spans="1:7" ht="13.5" customHeight="1">
      <c r="A44" s="780" t="s">
        <v>348</v>
      </c>
      <c r="B44" s="215" t="s">
        <v>1545</v>
      </c>
      <c r="C44" s="238">
        <f ca="1">ROUND(IF('数据-取费表'!B22&lt;=1,C40*F22*'数据-取费表'!B21/2,C40*(POWER((1+F22),'数据-取费表'!B21/2)-1)),4)</f>
        <v>6.9999999999999999E-4</v>
      </c>
      <c r="D44" s="238"/>
      <c r="E44" s="238"/>
      <c r="F44" s="239"/>
      <c r="G44" s="3699"/>
    </row>
    <row r="45" spans="1:7" s="214" customFormat="1" ht="13.5" customHeight="1">
      <c r="A45" s="255" t="s">
        <v>1546</v>
      </c>
      <c r="B45" s="244" t="s">
        <v>1512</v>
      </c>
      <c r="C45" s="245">
        <f ca="1">C46</f>
        <v>4348</v>
      </c>
      <c r="D45" s="235">
        <f ca="1">C47</f>
        <v>4.0000000000000001E-3</v>
      </c>
      <c r="E45" s="236" t="s">
        <v>1538</v>
      </c>
      <c r="F45" s="246">
        <f ca="1">F27</f>
        <v>0.2</v>
      </c>
      <c r="G45" s="247" t="s">
        <v>1547</v>
      </c>
    </row>
    <row r="46" spans="1:7" s="214" customFormat="1" ht="13.5" customHeight="1">
      <c r="A46" s="780" t="s">
        <v>346</v>
      </c>
      <c r="B46" s="248" t="s">
        <v>1548</v>
      </c>
      <c r="C46" s="249">
        <f ca="1">ROUND((C33+C39)*F27,0)</f>
        <v>4348</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29108</v>
      </c>
      <c r="D49" s="232"/>
      <c r="E49" s="232"/>
      <c r="F49" s="264"/>
      <c r="G49" s="234" t="s">
        <v>1553</v>
      </c>
    </row>
    <row r="50" spans="1:7" s="258" customFormat="1" ht="24">
      <c r="A50" s="255" t="s">
        <v>1554</v>
      </c>
      <c r="B50" s="210" t="s">
        <v>1555</v>
      </c>
      <c r="C50" s="232"/>
      <c r="D50" s="232"/>
      <c r="E50" s="232"/>
      <c r="F50" s="264">
        <f>IF('数据-取费表'!B24=0,'数据-取费表'!N16,1)</f>
        <v>0.8</v>
      </c>
      <c r="G50" s="247" t="s">
        <v>1556</v>
      </c>
    </row>
    <row r="51" spans="1:7" ht="16.5" customHeight="1">
      <c r="A51" s="255" t="s">
        <v>1557</v>
      </c>
      <c r="B51" s="210" t="s">
        <v>1558</v>
      </c>
      <c r="C51" s="232">
        <f ca="1">ROUND(C49*F50,0)</f>
        <v>23286</v>
      </c>
      <c r="D51" s="232"/>
      <c r="E51" s="232"/>
      <c r="F51" s="264"/>
      <c r="G51" s="234" t="s">
        <v>1559</v>
      </c>
    </row>
    <row r="52" spans="1:7" s="208" customFormat="1" ht="16.5" thickBot="1">
      <c r="A52" s="265" t="s">
        <v>1560</v>
      </c>
      <c r="B52" s="266"/>
      <c r="C52" s="267">
        <f ca="1">C31+C51</f>
        <v>174591</v>
      </c>
      <c r="D52" s="266"/>
      <c r="E52" s="266"/>
      <c r="F52" s="266"/>
      <c r="G52" s="268"/>
    </row>
    <row r="55" spans="1:7" ht="15">
      <c r="B55" s="270" t="s">
        <v>1561</v>
      </c>
      <c r="C55" s="271"/>
    </row>
    <row r="56" spans="1:7">
      <c r="B56" s="273" t="s">
        <v>802</v>
      </c>
      <c r="C56" s="275">
        <f ca="1">1-C57</f>
        <v>0.86699999999999999</v>
      </c>
    </row>
    <row r="57" spans="1:7">
      <c r="B57" s="273" t="s">
        <v>803</v>
      </c>
      <c r="C57" s="274">
        <f ca="1">ROUND(C51/C52,3)</f>
        <v>0.13300000000000001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O57" sqref="O5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8" t="s">
        <v>1562</v>
      </c>
      <c r="D1" s="198"/>
      <c r="E1" s="198"/>
      <c r="F1" s="198"/>
      <c r="G1" s="1126">
        <f>MATCH(B1,'数据-取费表'!A6:A16,0)+5</f>
        <v>7</v>
      </c>
      <c r="H1" s="1061" t="str">
        <f>IF(ISERROR(FIND("住宅",B1)),"非住宅","住宅")</f>
        <v>非住宅</v>
      </c>
    </row>
    <row r="2" spans="1:8" s="200" customFormat="1" ht="18" customHeight="1">
      <c r="A2" s="201" t="s">
        <v>1461</v>
      </c>
      <c r="B2" s="3422">
        <f ca="1">ROUND(IF(D2="——",C52/10000,C52/10000-E2),4)</f>
        <v>174589.38080000001</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49621</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1077331922.3</v>
      </c>
      <c r="D5" s="211" t="s">
        <v>1468</v>
      </c>
      <c r="E5" s="212" t="s">
        <v>1469</v>
      </c>
      <c r="F5" s="212" t="s">
        <v>1470</v>
      </c>
      <c r="G5" s="213"/>
    </row>
    <row r="6" spans="1:8" s="214" customFormat="1" ht="13.5" customHeight="1">
      <c r="A6" s="778" t="s">
        <v>1471</v>
      </c>
      <c r="B6" s="215" t="s">
        <v>1472</v>
      </c>
      <c r="C6" s="216">
        <f>ROUND(基准地价修正!C33*基准地价修正!D33,2)</f>
        <v>1038617159.3</v>
      </c>
      <c r="D6" s="217"/>
      <c r="E6" s="218"/>
      <c r="F6" s="218"/>
      <c r="G6" s="219"/>
    </row>
    <row r="7" spans="1:8" s="214" customFormat="1" ht="13.5" customHeight="1">
      <c r="A7" s="778" t="s">
        <v>1473</v>
      </c>
      <c r="B7" s="215" t="s">
        <v>1474</v>
      </c>
      <c r="C7" s="220">
        <f>ROUND(C6*F7,0)</f>
        <v>31677823</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7036940</v>
      </c>
      <c r="D8" s="222"/>
      <c r="E8" s="220"/>
      <c r="F8" s="221"/>
      <c r="G8" s="1855" t="s">
        <v>3395</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7036940</v>
      </c>
      <c r="D10" s="845">
        <f ca="1">IF(B1="",'数据-汇总表'!E6,IF(INDIRECT("'数据-取费表'!c"&amp;$G$1)="住宅",INDIRECT("'数据-取费表'!s"&amp;$G$1),INDIRECT("'数据-取费表'!k"&amp;$G$1)+INDIRECT("'数据-取费表'!s"&amp;$G$1)))</f>
        <v>35184.699999999997</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35184.699999999997</v>
      </c>
      <c r="E19" s="211">
        <f>'数据-取费表'!B31</f>
        <v>200</v>
      </c>
      <c r="F19" s="231"/>
      <c r="G19" s="1855" t="s">
        <v>3396</v>
      </c>
    </row>
    <row r="20" spans="1:7" s="214" customFormat="1" ht="13.5" customHeight="1">
      <c r="A20" s="255" t="s">
        <v>1573</v>
      </c>
      <c r="B20" s="210" t="s">
        <v>1574</v>
      </c>
      <c r="C20" s="232">
        <f ca="1">ROUND((C5+C19)*F20,0)</f>
        <v>21546638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76361556</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75618197</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743359</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219775712</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219775712</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1513032352</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213131321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193515850</v>
      </c>
      <c r="D34" s="217"/>
      <c r="E34" s="220"/>
      <c r="F34" s="257"/>
      <c r="G34" s="219"/>
    </row>
    <row r="35" spans="1:7" ht="13.5" customHeight="1">
      <c r="A35" s="780" t="s">
        <v>351</v>
      </c>
      <c r="B35" s="215" t="s">
        <v>1526</v>
      </c>
      <c r="C35" s="220">
        <f ca="1">ROUND(C34*F35,0)</f>
        <v>9675793</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7036940</v>
      </c>
      <c r="D37" s="217">
        <f ca="1">D19</f>
        <v>35184.699999999997</v>
      </c>
      <c r="E37" s="249">
        <f>'数据-取费表'!B35</f>
        <v>200</v>
      </c>
      <c r="F37" s="259"/>
      <c r="G37" s="261"/>
    </row>
    <row r="38" spans="1:7" ht="13.5" customHeight="1">
      <c r="A38" s="780" t="s">
        <v>354</v>
      </c>
      <c r="B38" s="215" t="s">
        <v>1532</v>
      </c>
      <c r="C38" s="220">
        <f ca="1">ROUND(C34*F38,0)</f>
        <v>2902738</v>
      </c>
      <c r="D38" s="220"/>
      <c r="E38" s="220"/>
      <c r="F38" s="259">
        <f>'数据-取费表'!B36</f>
        <v>1.4999999999999999E-2</v>
      </c>
      <c r="G38" s="219" t="s">
        <v>1527</v>
      </c>
    </row>
    <row r="39" spans="1:7" s="214" customFormat="1" ht="13.5" customHeight="1">
      <c r="A39" s="255" t="s">
        <v>1533</v>
      </c>
      <c r="B39" s="210" t="s">
        <v>1534</v>
      </c>
      <c r="C39" s="232">
        <f ca="1">ROUND(C33*F20,0)</f>
        <v>4262626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7500092</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7353031</v>
      </c>
      <c r="D42" s="238"/>
      <c r="E42" s="238"/>
      <c r="F42" s="239"/>
      <c r="G42" s="3697" t="s">
        <v>1590</v>
      </c>
    </row>
    <row r="43" spans="1:7" ht="13.5" customHeight="1">
      <c r="A43" s="780" t="s">
        <v>347</v>
      </c>
      <c r="B43" s="215" t="s">
        <v>1544</v>
      </c>
      <c r="C43" s="238">
        <f ca="1">ROUND(IF('数据-取费表'!B22&lt;=1,C39*F22*'数据-取费表'!B20/2,C39*(POWER((1+F22),'数据-取费表'!B20/2)-1)),0)</f>
        <v>147061</v>
      </c>
      <c r="D43" s="238"/>
      <c r="E43" s="238"/>
      <c r="F43" s="239"/>
      <c r="G43" s="3698"/>
    </row>
    <row r="44" spans="1:7" ht="13.5" customHeight="1">
      <c r="A44" s="780" t="s">
        <v>348</v>
      </c>
      <c r="B44" s="215" t="s">
        <v>1545</v>
      </c>
      <c r="C44" s="238">
        <f ca="1">ROUND(IF('数据-取费表'!B22&lt;=1,C40*F22*'数据-取费表'!B20/2,C40*(POWER((1+F22),'数据-取费表'!B20/2)-1)),4)</f>
        <v>6.9999999999999999E-4</v>
      </c>
      <c r="D44" s="238"/>
      <c r="E44" s="238"/>
      <c r="F44" s="239"/>
      <c r="G44" s="3699"/>
    </row>
    <row r="45" spans="1:7" s="214" customFormat="1" ht="13.5" customHeight="1">
      <c r="A45" s="255" t="s">
        <v>1546</v>
      </c>
      <c r="B45" s="244" t="s">
        <v>1512</v>
      </c>
      <c r="C45" s="245">
        <f ca="1">C46</f>
        <v>43478789</v>
      </c>
      <c r="D45" s="235">
        <f ca="1">C47</f>
        <v>4.0000000000000001E-3</v>
      </c>
      <c r="E45" s="236" t="s">
        <v>1538</v>
      </c>
      <c r="F45" s="246">
        <f ca="1">F27</f>
        <v>0.2</v>
      </c>
      <c r="G45" s="247" t="s">
        <v>1547</v>
      </c>
    </row>
    <row r="46" spans="1:7" s="214" customFormat="1" ht="13.5" customHeight="1">
      <c r="A46" s="780" t="s">
        <v>346</v>
      </c>
      <c r="B46" s="248" t="s">
        <v>1548</v>
      </c>
      <c r="C46" s="249">
        <f ca="1">ROUND((C33+C39)*F27,0)</f>
        <v>43478789</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291076820</v>
      </c>
      <c r="D49" s="232"/>
      <c r="E49" s="232"/>
      <c r="F49" s="264"/>
      <c r="G49" s="234" t="s">
        <v>1553</v>
      </c>
    </row>
    <row r="50" spans="1:7" s="258" customFormat="1">
      <c r="A50" s="255" t="s">
        <v>1554</v>
      </c>
      <c r="B50" s="210" t="s">
        <v>1555</v>
      </c>
      <c r="C50" s="232"/>
      <c r="D50" s="232"/>
      <c r="E50" s="232"/>
      <c r="F50" s="264">
        <f>IF('数据-取费表'!B24=0,'数据-取费表'!N16,1)</f>
        <v>0.8</v>
      </c>
      <c r="G50" s="247"/>
    </row>
    <row r="51" spans="1:7" ht="16.5" customHeight="1">
      <c r="A51" s="255" t="s">
        <v>1557</v>
      </c>
      <c r="B51" s="210" t="s">
        <v>1592</v>
      </c>
      <c r="C51" s="232">
        <f ca="1">ROUND(C49*F50,0)</f>
        <v>232861456</v>
      </c>
      <c r="D51" s="232"/>
      <c r="E51" s="232"/>
      <c r="F51" s="264"/>
      <c r="G51" s="234" t="s">
        <v>1559</v>
      </c>
    </row>
    <row r="52" spans="1:7" s="208" customFormat="1" ht="16.5" thickBot="1">
      <c r="A52" s="265" t="s">
        <v>1560</v>
      </c>
      <c r="B52" s="266"/>
      <c r="C52" s="267">
        <f ca="1">C31+C51</f>
        <v>1745893808</v>
      </c>
      <c r="D52" s="266"/>
      <c r="E52" s="266"/>
      <c r="F52" s="266"/>
      <c r="G52" s="268"/>
    </row>
    <row r="55" spans="1:7" ht="15">
      <c r="B55" s="270" t="s">
        <v>1561</v>
      </c>
      <c r="C55" s="271"/>
    </row>
    <row r="56" spans="1:7">
      <c r="B56" s="273" t="s">
        <v>802</v>
      </c>
      <c r="C56" s="275">
        <f ca="1">1-C57</f>
        <v>0.86699999999999999</v>
      </c>
    </row>
    <row r="57" spans="1:7">
      <c r="B57" s="273" t="s">
        <v>803</v>
      </c>
      <c r="C57" s="274">
        <f ca="1">ROUND(C51/C52,3)</f>
        <v>0.13300000000000001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0</v>
      </c>
      <c r="C2" s="276" t="s">
        <v>1594</v>
      </c>
      <c r="D2" s="276"/>
      <c r="E2" s="2804"/>
      <c r="F2" s="2804"/>
      <c r="G2" s="2804"/>
      <c r="H2" s="2804"/>
      <c r="I2" s="2804"/>
      <c r="J2" s="2804"/>
      <c r="K2" s="2804"/>
    </row>
    <row r="3" spans="1:33" ht="18" customHeight="1" thickBot="1">
      <c r="A3" s="203" t="s">
        <v>1463</v>
      </c>
      <c r="B3" s="204">
        <f ca="1">ROUND(B2*10000/IF(C1="",'数据-汇总表'!E3,INDIRECT("'数据-取费表'!K"&amp;$K$1)),0)</f>
        <v>0</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35184.699999999997</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35184.699999999997</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7"/>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704</v>
      </c>
      <c r="D20" s="846">
        <f ca="1">IF(C1="",'数据-汇总表'!E6,IF(INDIRECT("'数据-取费表'!c"&amp;$K$1)="住宅",INDIRECT("'数据-取费表'!s"&amp;$K$1),INDIRECT("'数据-取费表'!k"&amp;$K$1)+INDIRECT("'数据-取费表'!s"&amp;$K$1)))</f>
        <v>35184.699999999997</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29.05</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126545</v>
      </c>
      <c r="C2" s="1387" t="s">
        <v>805</v>
      </c>
      <c r="D2" s="1387"/>
      <c r="E2" s="1388"/>
      <c r="F2" s="1389"/>
      <c r="G2" s="2704"/>
      <c r="H2" s="2693"/>
      <c r="I2" s="2693"/>
      <c r="J2" s="2693"/>
      <c r="K2" s="2694"/>
      <c r="L2" s="2693"/>
      <c r="M2" s="2693"/>
    </row>
    <row r="3" spans="1:37" ht="18" customHeight="1" thickBot="1">
      <c r="A3" s="1390" t="s">
        <v>806</v>
      </c>
      <c r="B3" s="1391">
        <f ca="1">IF(ISERROR(B2*10000/F43),0,ROUND(B2*10000/F43,0))</f>
        <v>35966</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8197</v>
      </c>
      <c r="D5" s="1364" t="s">
        <v>693</v>
      </c>
      <c r="E5" s="1071"/>
      <c r="F5" s="1072"/>
      <c r="G5" s="1384"/>
      <c r="H5" s="299">
        <v>1</v>
      </c>
      <c r="I5" s="300" t="s">
        <v>692</v>
      </c>
      <c r="J5" s="1070">
        <f ca="1">J6+J10+J12</f>
        <v>0</v>
      </c>
      <c r="K5" s="1364" t="s">
        <v>693</v>
      </c>
      <c r="L5" s="1071"/>
      <c r="M5" s="1072"/>
    </row>
    <row r="6" spans="1:37" ht="18" customHeight="1">
      <c r="A6" s="1069" t="s">
        <v>398</v>
      </c>
      <c r="B6" s="3702" t="s">
        <v>694</v>
      </c>
      <c r="C6" s="1074">
        <f ca="1">ROUND(F6*F8*F7*(1-F9)/10000,0)</f>
        <v>8187</v>
      </c>
      <c r="D6" s="155" t="s">
        <v>2108</v>
      </c>
      <c r="E6" s="302" t="s">
        <v>696</v>
      </c>
      <c r="F6" s="303">
        <f ca="1">INDIRECT("'数据-取费表'!u"&amp;$G$1)</f>
        <v>7.5</v>
      </c>
      <c r="G6" s="1384"/>
      <c r="H6" s="1069" t="s">
        <v>398</v>
      </c>
      <c r="I6" s="3702" t="s">
        <v>694</v>
      </c>
      <c r="J6" s="301">
        <f ca="1">ROUND(M6*M8*M7*(1-M9)/10000,0)</f>
        <v>0</v>
      </c>
      <c r="K6" s="155" t="s">
        <v>2107</v>
      </c>
      <c r="L6" s="302" t="s">
        <v>696</v>
      </c>
      <c r="M6" s="303">
        <f ca="1">INDIRECT("'数据-取费表'!z"&amp;$G$1)</f>
        <v>0</v>
      </c>
    </row>
    <row r="7" spans="1:37" ht="18" customHeight="1">
      <c r="A7" s="1073"/>
      <c r="B7" s="3703"/>
      <c r="C7" s="1075"/>
      <c r="D7" s="307"/>
      <c r="E7" s="1076" t="s">
        <v>697</v>
      </c>
      <c r="F7" s="303">
        <f ca="1">IF(INDIRECT("'数据-取费表'!ah"&amp;$G$1)="",INDIRECT("'数据-取费表'!k"&amp;$G$1),INDIRECT("'数据-取费表'!ah"&amp;$G$1))</f>
        <v>35184.699999999997</v>
      </c>
      <c r="G7" s="1384"/>
      <c r="H7" s="304"/>
      <c r="I7" s="3703"/>
      <c r="J7" s="306"/>
      <c r="K7" s="307"/>
      <c r="L7" s="302" t="s">
        <v>697</v>
      </c>
      <c r="M7" s="303">
        <f ca="1">F7</f>
        <v>35184.699999999997</v>
      </c>
    </row>
    <row r="8" spans="1:37" ht="18" customHeight="1">
      <c r="A8" s="304"/>
      <c r="B8" s="3703"/>
      <c r="C8" s="306"/>
      <c r="D8" s="307"/>
      <c r="E8" s="302" t="s">
        <v>698</v>
      </c>
      <c r="F8" s="303">
        <f ca="1">INDIRECT("'数据-取费表'!ai"&amp;$G$1)</f>
        <v>365</v>
      </c>
      <c r="G8" s="1384"/>
      <c r="H8" s="304"/>
      <c r="I8" s="3703"/>
      <c r="J8" s="306"/>
      <c r="K8" s="307"/>
      <c r="L8" s="302" t="s">
        <v>698</v>
      </c>
      <c r="M8" s="303">
        <f ca="1">INDIRECT("'数据-取费表'!ai"&amp;$G$1)</f>
        <v>365</v>
      </c>
    </row>
    <row r="9" spans="1:37" ht="18" customHeight="1">
      <c r="A9" s="304"/>
      <c r="B9" s="3704"/>
      <c r="C9" s="306"/>
      <c r="D9" s="307"/>
      <c r="E9" s="302" t="s">
        <v>699</v>
      </c>
      <c r="F9" s="312">
        <f ca="1">INDIRECT("'数据-取费表'!w"&amp;$G$1)</f>
        <v>0.15</v>
      </c>
      <c r="G9" s="1384"/>
      <c r="H9" s="304"/>
      <c r="I9" s="3704"/>
      <c r="J9" s="306"/>
      <c r="K9" s="307"/>
      <c r="L9" s="313" t="s">
        <v>699</v>
      </c>
      <c r="M9" s="314">
        <f ca="1">INDIRECT("'数据-取费表'!ab"&amp;$G$1)</f>
        <v>0</v>
      </c>
    </row>
    <row r="10" spans="1:37" ht="18" customHeight="1">
      <c r="A10" s="1069" t="s">
        <v>402</v>
      </c>
      <c r="B10" s="1365" t="s">
        <v>700</v>
      </c>
      <c r="C10" s="316">
        <f ca="1">ROUND(IF(F10="押一",C6/12*F11,IF(F10="押二",C6/12*2*F11,IF(F10="押三",C6/12*3*F11,C11*F11))),0)</f>
        <v>10</v>
      </c>
      <c r="D10" s="1366" t="s">
        <v>2116</v>
      </c>
      <c r="E10" s="313" t="s">
        <v>701</v>
      </c>
      <c r="F10" s="1116" t="s">
        <v>3397</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23286</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19352</v>
      </c>
      <c r="D14" s="1345" t="s">
        <v>708</v>
      </c>
      <c r="E14" s="1342"/>
      <c r="F14" s="319"/>
      <c r="G14" s="1384"/>
      <c r="H14" s="982" t="s">
        <v>398</v>
      </c>
      <c r="I14" s="302" t="s">
        <v>709</v>
      </c>
      <c r="J14" s="21">
        <f ca="1">C29</f>
        <v>29108</v>
      </c>
      <c r="K14" s="12"/>
      <c r="L14" s="807"/>
      <c r="M14" s="808"/>
    </row>
    <row r="15" spans="1:37" s="1397" customFormat="1" ht="18" customHeight="1" thickBot="1">
      <c r="A15" s="982" t="s">
        <v>399</v>
      </c>
      <c r="B15" s="302" t="s">
        <v>710</v>
      </c>
      <c r="C15" s="21">
        <f ca="1">ROUND(C14*F15,0)</f>
        <v>968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146</v>
      </c>
      <c r="K16" s="1087" t="s">
        <v>715</v>
      </c>
      <c r="L16" s="1088"/>
      <c r="M16" s="1072"/>
    </row>
    <row r="17" spans="1:37" s="1397" customFormat="1" ht="18" customHeight="1">
      <c r="A17" s="982" t="s">
        <v>681</v>
      </c>
      <c r="B17" s="302" t="s">
        <v>716</v>
      </c>
      <c r="C17" s="21">
        <f ca="1">ROUND(F17*(F43+INDIRECT("'数据-取费表'!S"&amp;$G$1))/10000,0)</f>
        <v>704</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21314</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426</v>
      </c>
      <c r="D20" s="323"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145.54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750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-146</v>
      </c>
      <c r="K25" s="1095" t="s">
        <v>753</v>
      </c>
      <c r="L25" s="1096"/>
      <c r="M25" s="1097"/>
    </row>
    <row r="26" spans="1:37">
      <c r="A26" s="982" t="s">
        <v>397</v>
      </c>
      <c r="B26" s="302" t="s">
        <v>754</v>
      </c>
      <c r="C26" s="21">
        <f ca="1">ROUND((C19+C20)*F26,0)</f>
        <v>4348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29108</v>
      </c>
      <c r="D29" s="1092"/>
      <c r="E29" s="1090"/>
      <c r="F29" s="1093"/>
      <c r="G29" s="1396"/>
      <c r="H29" s="334" t="s">
        <v>396</v>
      </c>
      <c r="I29" s="335" t="s">
        <v>768</v>
      </c>
      <c r="J29" s="336">
        <f ca="1">ROUND(J26/(1+F40)^F41,0)</f>
        <v>0</v>
      </c>
      <c r="K29" s="337" t="s">
        <v>769</v>
      </c>
      <c r="L29" s="338"/>
      <c r="M29" s="339">
        <f ca="1">INDIRECT("'数据-取费表'!k"&amp;$G$1)</f>
        <v>35184.699999999997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1582</v>
      </c>
      <c r="D30" s="1087" t="s">
        <v>715</v>
      </c>
      <c r="E30" s="1088"/>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ROUND(IF(AND(项目基本情况!B11="自然人",项目基本情况!B10="北京市"),C6*F31/(1+'数据-取费表'!C42),C32+C33+C34),2)</f>
        <v>1372.3</v>
      </c>
      <c r="D31" s="1345" t="s">
        <v>720</v>
      </c>
      <c r="E31" s="1344" t="s">
        <v>770</v>
      </c>
      <c r="F31" s="2314" t="str">
        <f>IF(项目基本情况!B11="企业","——",IF(M47="住宅",IF(F6*F7*F8/12/(1+'数据-取费表'!F30)&gt;100000,4%,2.5%),IF(F6*F7*F8/12/(1+'数据-取费表'!F30)&gt;100000,12%,7%)))</f>
        <v>——</v>
      </c>
      <c r="G31" s="1384"/>
      <c r="H31" s="2806" t="s">
        <v>2309</v>
      </c>
      <c r="I31" s="1398"/>
      <c r="J31" s="1399"/>
      <c r="K31" s="2474"/>
      <c r="L31" s="2696"/>
      <c r="M31" s="2697"/>
    </row>
    <row r="32" spans="1:37" ht="18" customHeight="1">
      <c r="A32" s="982" t="s">
        <v>397</v>
      </c>
      <c r="B32" s="302" t="s">
        <v>723</v>
      </c>
      <c r="C32" s="21">
        <f ca="1">IF(项目基本情况!B11="自然人","——",ROUND(C6*F32/(1+'数据-取费表'!C42),2))</f>
        <v>436.64</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935.66</v>
      </c>
      <c r="D33" s="1370" t="s">
        <v>3337</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145.54</v>
      </c>
      <c r="D36" s="1344" t="s">
        <v>771</v>
      </c>
      <c r="E36" s="302" t="s">
        <v>712</v>
      </c>
      <c r="F36" s="328">
        <f ca="1">INDIRECT("'数据-取费表'!Ak"&amp;$G$1)</f>
        <v>5.0000000000000001E-3</v>
      </c>
      <c r="G36" s="1384"/>
      <c r="H36" s="2698"/>
      <c r="I36" s="1398"/>
      <c r="J36" s="1399"/>
      <c r="K36" s="2543"/>
      <c r="L36" s="2698"/>
      <c r="M36" s="2698"/>
    </row>
    <row r="37" spans="1:18" ht="18" customHeight="1">
      <c r="A37" s="982" t="s">
        <v>437</v>
      </c>
      <c r="B37" s="302" t="s">
        <v>742</v>
      </c>
      <c r="C37" s="21">
        <f ca="1">ROUND(C13*F37,2)</f>
        <v>23.29</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ROUND(C5*F38,2)</f>
        <v>40.99</v>
      </c>
      <c r="D38" s="1092" t="s">
        <v>748</v>
      </c>
      <c r="E38" s="1090" t="s">
        <v>744</v>
      </c>
      <c r="F38" s="1086">
        <f ca="1">INDIRECT("'数据-取费表'!Am"&amp;$G$1)</f>
        <v>5.0000000000000001E-3</v>
      </c>
      <c r="G38" s="1384"/>
      <c r="H38" s="2698"/>
      <c r="I38" s="1398">
        <f ca="1">C39/C5</f>
        <v>0.80700256191289499</v>
      </c>
      <c r="J38" s="1399"/>
      <c r="K38" s="2702"/>
      <c r="L38" s="2698"/>
      <c r="M38" s="2698"/>
    </row>
    <row r="39" spans="1:18" ht="24.6" customHeight="1" thickTop="1">
      <c r="A39" s="1079" t="s">
        <v>394</v>
      </c>
      <c r="B39" s="1094" t="s">
        <v>772</v>
      </c>
      <c r="C39" s="310">
        <f ca="1">C5-C30</f>
        <v>6615</v>
      </c>
      <c r="D39" s="1095" t="s">
        <v>773</v>
      </c>
      <c r="E39" s="1096"/>
      <c r="F39" s="1097"/>
      <c r="G39" s="1384"/>
      <c r="H39" s="2698"/>
      <c r="I39" s="1398"/>
      <c r="J39" s="1399"/>
      <c r="K39" s="2702"/>
      <c r="L39" s="2698"/>
      <c r="M39" s="2698"/>
    </row>
    <row r="40" spans="1:18" ht="18" customHeight="1">
      <c r="A40" s="299" t="s">
        <v>395</v>
      </c>
      <c r="B40" s="300" t="s">
        <v>774</v>
      </c>
      <c r="C40" s="301">
        <f ca="1">ROUND(C39*(1-((1+F42)/(1+F40))^F41)/(F40-F42),0)</f>
        <v>125121</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29.05</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35561</v>
      </c>
      <c r="D43" s="337" t="s">
        <v>777</v>
      </c>
      <c r="E43" s="338" t="s">
        <v>778</v>
      </c>
      <c r="F43" s="339">
        <f ca="1">INDIRECT("'数据-取费表'!k"&amp;$G$1)</f>
        <v>35184.699999999997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-127545</v>
      </c>
      <c r="D46" s="1406" t="str">
        <f>C2</f>
        <v>万元</v>
      </c>
      <c r="E46" s="1400"/>
      <c r="F46" s="1400"/>
      <c r="I46" s="1407" t="s">
        <v>810</v>
      </c>
      <c r="J46" s="1408"/>
      <c r="K46" s="1409"/>
      <c r="L46" s="1410">
        <f ca="1">IF(M47="住宅",0,IF(L48&gt;J51,L60,J60))</f>
        <v>1424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125121</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29.05</v>
      </c>
      <c r="O48" s="1418" t="s">
        <v>404</v>
      </c>
      <c r="P48" s="1419" t="s">
        <v>821</v>
      </c>
      <c r="Q48" s="1420">
        <f ca="1">J60</f>
        <v>1424</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'数据-取费表'!N17</f>
        <v>2004</v>
      </c>
      <c r="K49" s="1423" t="s">
        <v>824</v>
      </c>
      <c r="L49" s="1427"/>
      <c r="O49" s="1428" t="s">
        <v>405</v>
      </c>
      <c r="P49" s="1419" t="s">
        <v>825</v>
      </c>
      <c r="Q49" s="1420">
        <f ca="1">C29</f>
        <v>29108</v>
      </c>
      <c r="R49" s="1420" t="s">
        <v>818</v>
      </c>
    </row>
    <row r="50" spans="1:18" s="1384" customFormat="1" ht="13.5" thickBot="1">
      <c r="A50" s="976"/>
      <c r="B50" s="979"/>
      <c r="C50" s="1118"/>
      <c r="D50" s="953"/>
      <c r="E50" s="1056" t="s">
        <v>697</v>
      </c>
      <c r="F50" s="1057">
        <f ca="1">F7</f>
        <v>35184.699999999997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85538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29.05</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29.05</v>
      </c>
      <c r="K53" s="3700" t="s">
        <v>837</v>
      </c>
      <c r="L53" s="3701"/>
      <c r="O53" s="1418" t="s">
        <v>409</v>
      </c>
      <c r="P53" s="1419" t="s">
        <v>838</v>
      </c>
      <c r="Q53" s="1420">
        <f ca="1">Q47+Q48</f>
        <v>126545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0.183</v>
      </c>
      <c r="K55" s="1445" t="s">
        <v>841</v>
      </c>
      <c r="L55" s="1446"/>
      <c r="O55" s="1411" t="s">
        <v>811</v>
      </c>
      <c r="P55" s="1412" t="s">
        <v>812</v>
      </c>
      <c r="Q55" s="1413" t="s">
        <v>813</v>
      </c>
      <c r="R55" s="1413" t="s">
        <v>814</v>
      </c>
    </row>
    <row r="56" spans="1:18" s="1384" customFormat="1" ht="25.5" thickTop="1" thickBot="1">
      <c r="A56" s="957">
        <v>2</v>
      </c>
      <c r="B56" s="958" t="s">
        <v>704</v>
      </c>
      <c r="C56" s="232">
        <f ca="1">C13</f>
        <v>23286</v>
      </c>
      <c r="D56" s="1447"/>
      <c r="E56" s="1448"/>
      <c r="F56" s="1440"/>
      <c r="I56" s="1449" t="s">
        <v>842</v>
      </c>
      <c r="J56" s="1450" t="s">
        <v>3413</v>
      </c>
      <c r="K56" s="1421" t="s">
        <v>843</v>
      </c>
      <c r="L56" s="1424" t="str">
        <f ca="1">IF(L48&lt;J51,"——",L48-J53)</f>
        <v>——</v>
      </c>
      <c r="O56" s="1418" t="s">
        <v>403</v>
      </c>
      <c r="P56" s="1419" t="s">
        <v>817</v>
      </c>
      <c r="Q56" s="1420">
        <f ca="1">C40+J29</f>
        <v>125121</v>
      </c>
      <c r="R56" s="1420" t="s">
        <v>818</v>
      </c>
    </row>
    <row r="57" spans="1:18" s="1384" customFormat="1" ht="24.75" thickBot="1">
      <c r="A57" s="1451"/>
      <c r="B57" s="950" t="s">
        <v>767</v>
      </c>
      <c r="C57" s="238">
        <f ca="1">C29</f>
        <v>29108</v>
      </c>
      <c r="D57" s="1452"/>
      <c r="E57" s="1453"/>
      <c r="F57" s="1454"/>
      <c r="I57" s="1455" t="s">
        <v>844</v>
      </c>
      <c r="J57" s="1456">
        <f ca="1">IF(OR(M47="住宅",J51&lt;L48,J56="是"),"——",J51-L48)</f>
        <v>10.95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169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11643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1424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125121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145.54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23.29</v>
      </c>
      <c r="D65" s="964" t="s">
        <v>743</v>
      </c>
      <c r="E65" s="950" t="s">
        <v>744</v>
      </c>
      <c r="F65" s="330">
        <f t="shared" ca="1" si="0"/>
        <v>1E-3</v>
      </c>
      <c r="I65" s="1462" t="s">
        <v>867</v>
      </c>
      <c r="J65" s="1463">
        <v>40</v>
      </c>
      <c r="K65" s="1463">
        <v>30</v>
      </c>
      <c r="L65" s="1463">
        <v>50</v>
      </c>
      <c r="M65" s="1465">
        <v>0.02</v>
      </c>
      <c r="O65" s="1418" t="s">
        <v>403</v>
      </c>
      <c r="P65" s="1419" t="s">
        <v>868</v>
      </c>
      <c r="Q65" s="1420">
        <f ca="1">C40+J29</f>
        <v>125121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-169</v>
      </c>
      <c r="D67" s="963" t="s">
        <v>753</v>
      </c>
      <c r="E67" s="968"/>
      <c r="F67" s="969"/>
      <c r="O67" s="1428" t="s">
        <v>405</v>
      </c>
      <c r="P67" s="1419" t="s">
        <v>850</v>
      </c>
      <c r="Q67" s="1466">
        <f ca="1">L51</f>
        <v>85538</v>
      </c>
      <c r="R67" s="1420" t="s">
        <v>870</v>
      </c>
    </row>
    <row r="68" spans="1:18" s="1384" customFormat="1" ht="16.5" thickBot="1">
      <c r="A68" s="947" t="s">
        <v>395</v>
      </c>
      <c r="B68" s="948" t="s">
        <v>774</v>
      </c>
      <c r="C68" s="301">
        <f ca="1">ROUND(C67*(1-((1+F70)/(1+F68))^F69)/(F68-F70),0)</f>
        <v>-2424</v>
      </c>
      <c r="D68" s="965" t="s">
        <v>758</v>
      </c>
      <c r="E68" s="950" t="s">
        <v>759</v>
      </c>
      <c r="F68" s="312">
        <f ca="1">F40</f>
        <v>5.5E-2</v>
      </c>
      <c r="O68" s="1428" t="s">
        <v>406</v>
      </c>
      <c r="P68" s="1467" t="s">
        <v>871</v>
      </c>
      <c r="Q68" s="1420">
        <f ca="1">ROUND(Q69-Q70*Q71,0)</f>
        <v>4985</v>
      </c>
      <c r="R68" s="1420" t="s">
        <v>414</v>
      </c>
    </row>
    <row r="69" spans="1:18" s="1384" customFormat="1" ht="13.5" thickBot="1">
      <c r="A69" s="951"/>
      <c r="B69" s="952"/>
      <c r="C69" s="306"/>
      <c r="D69" s="970" t="s">
        <v>762</v>
      </c>
      <c r="E69" s="950" t="s">
        <v>763</v>
      </c>
      <c r="F69" s="333">
        <f ca="1">F41</f>
        <v>29.05</v>
      </c>
      <c r="O69" s="1428" t="s">
        <v>411</v>
      </c>
      <c r="P69" s="1467" t="s">
        <v>872</v>
      </c>
      <c r="Q69" s="1420">
        <f ca="1">C39</f>
        <v>6615</v>
      </c>
      <c r="R69" s="1420" t="s">
        <v>818</v>
      </c>
    </row>
    <row r="70" spans="1:18" s="1384" customFormat="1" ht="13.5" thickBot="1">
      <c r="A70" s="954"/>
      <c r="B70" s="955"/>
      <c r="C70" s="310"/>
      <c r="D70" s="966"/>
      <c r="E70" s="950" t="s">
        <v>766</v>
      </c>
      <c r="F70" s="1054"/>
      <c r="O70" s="1428" t="s">
        <v>412</v>
      </c>
      <c r="P70" s="1467" t="s">
        <v>873</v>
      </c>
      <c r="Q70" s="1420">
        <f ca="1">C13</f>
        <v>23286</v>
      </c>
      <c r="R70" s="1420" t="s">
        <v>818</v>
      </c>
    </row>
    <row r="71" spans="1:18" s="1384" customFormat="1" ht="13.5" thickBot="1">
      <c r="A71" s="971" t="s">
        <v>396</v>
      </c>
      <c r="B71" s="972" t="s">
        <v>776</v>
      </c>
      <c r="C71" s="336">
        <f ca="1">ROUND(C68*10000/F71,0)</f>
        <v>-689</v>
      </c>
      <c r="D71" s="973" t="s">
        <v>777</v>
      </c>
      <c r="E71" s="974" t="s">
        <v>778</v>
      </c>
      <c r="F71" s="339">
        <f ca="1">F43</f>
        <v>35184.699999999997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1630</v>
      </c>
      <c r="D75" s="1384"/>
      <c r="E75" s="1384"/>
      <c r="F75" s="1384"/>
      <c r="K75" s="1402"/>
      <c r="L75" s="1384"/>
      <c r="O75" s="1418" t="s">
        <v>409</v>
      </c>
      <c r="P75" s="1419" t="s">
        <v>838</v>
      </c>
      <c r="Q75" s="1420">
        <f ca="1">Q65+Q66</f>
        <v>125121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0.754</v>
      </c>
    </row>
    <row r="80" spans="1:18">
      <c r="B80" s="340" t="s">
        <v>800</v>
      </c>
      <c r="C80" s="274">
        <f ca="1">ROUND(C75/C39,3)</f>
        <v>0.246</v>
      </c>
    </row>
    <row r="81" spans="2:3">
      <c r="B81" s="270" t="s">
        <v>801</v>
      </c>
      <c r="C81" s="238"/>
    </row>
    <row r="82" spans="2:3">
      <c r="B82" s="273" t="s">
        <v>802</v>
      </c>
      <c r="C82" s="275">
        <f ca="1">1-C83</f>
        <v>0.81400000000000006</v>
      </c>
    </row>
    <row r="83" spans="2:3">
      <c r="B83" s="273" t="s">
        <v>803</v>
      </c>
      <c r="C83" s="274">
        <f ca="1">ROUND(C13/C40,3)</f>
        <v>0.186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29.05</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125123.9709</v>
      </c>
      <c r="C2" s="1387" t="s">
        <v>879</v>
      </c>
      <c r="D2" s="1471">
        <f ca="1">C40+J29+L46</f>
        <v>1251239709</v>
      </c>
      <c r="E2" s="1388" t="s">
        <v>880</v>
      </c>
      <c r="F2" s="1389"/>
      <c r="G2" s="2704"/>
      <c r="H2" s="2693"/>
      <c r="I2" s="2693"/>
      <c r="J2" s="2693"/>
      <c r="K2" s="2694"/>
      <c r="L2" s="2693"/>
      <c r="M2" s="2693"/>
    </row>
    <row r="3" spans="1:37" ht="18" customHeight="1" thickBot="1">
      <c r="A3" s="1390" t="s">
        <v>881</v>
      </c>
      <c r="B3" s="1391">
        <f ca="1">IF(ISERROR(D2/F43),0,ROUND(D2/F43,0))</f>
        <v>35562</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81972737</v>
      </c>
      <c r="D5" s="1364" t="s">
        <v>889</v>
      </c>
      <c r="E5" s="1071"/>
      <c r="F5" s="1072"/>
      <c r="G5" s="1384"/>
      <c r="H5" s="299">
        <v>1</v>
      </c>
      <c r="I5" s="300" t="s">
        <v>888</v>
      </c>
      <c r="J5" s="1070">
        <f ca="1">J6+J10+J12</f>
        <v>0</v>
      </c>
      <c r="K5" s="1364" t="s">
        <v>889</v>
      </c>
      <c r="L5" s="1071"/>
      <c r="M5" s="1072"/>
    </row>
    <row r="6" spans="1:37" ht="18" customHeight="1">
      <c r="A6" s="1069" t="s">
        <v>398</v>
      </c>
      <c r="B6" s="3702" t="s">
        <v>694</v>
      </c>
      <c r="C6" s="1074">
        <f ca="1">ROUND(F6*F8*F7*(1-F9),0)</f>
        <v>81870399</v>
      </c>
      <c r="D6" s="155" t="s">
        <v>2105</v>
      </c>
      <c r="E6" s="302" t="s">
        <v>696</v>
      </c>
      <c r="F6" s="303">
        <f ca="1">INDIRECT("'数据-取费表'!u"&amp;$G$1)</f>
        <v>7.5</v>
      </c>
      <c r="G6" s="1384"/>
      <c r="H6" s="1069" t="s">
        <v>398</v>
      </c>
      <c r="I6" s="3702" t="s">
        <v>694</v>
      </c>
      <c r="J6" s="301">
        <f ca="1">ROUND(M6*M8*M7*(1-M9),0)</f>
        <v>0</v>
      </c>
      <c r="K6" s="1376" t="s">
        <v>2106</v>
      </c>
      <c r="L6" s="302" t="s">
        <v>696</v>
      </c>
      <c r="M6" s="303">
        <f ca="1">INDIRECT("'数据-取费表'!z"&amp;$G$1)</f>
        <v>0</v>
      </c>
    </row>
    <row r="7" spans="1:37" ht="18" customHeight="1">
      <c r="A7" s="1073"/>
      <c r="B7" s="3703"/>
      <c r="C7" s="1075"/>
      <c r="D7" s="307"/>
      <c r="E7" s="1076" t="s">
        <v>697</v>
      </c>
      <c r="F7" s="303">
        <f ca="1">IF(INDIRECT("'数据-取费表'!ah"&amp;$G$1)="",INDIRECT("'数据-取费表'!k"&amp;$G$1),INDIRECT("'数据-取费表'!ah"&amp;$G$1))</f>
        <v>35184.699999999997</v>
      </c>
      <c r="G7" s="1384"/>
      <c r="H7" s="304"/>
      <c r="I7" s="3703"/>
      <c r="J7" s="306"/>
      <c r="K7" s="307"/>
      <c r="L7" s="302" t="s">
        <v>697</v>
      </c>
      <c r="M7" s="303">
        <f ca="1">F7</f>
        <v>35184.699999999997</v>
      </c>
    </row>
    <row r="8" spans="1:37" ht="18" customHeight="1">
      <c r="A8" s="304"/>
      <c r="B8" s="3703"/>
      <c r="C8" s="306"/>
      <c r="D8" s="307"/>
      <c r="E8" s="302" t="s">
        <v>698</v>
      </c>
      <c r="F8" s="303">
        <f ca="1">INDIRECT("'数据-取费表'!ai"&amp;$G$1)</f>
        <v>365</v>
      </c>
      <c r="G8" s="1384"/>
      <c r="H8" s="304"/>
      <c r="I8" s="3703"/>
      <c r="J8" s="306"/>
      <c r="K8" s="307"/>
      <c r="L8" s="302" t="s">
        <v>698</v>
      </c>
      <c r="M8" s="303">
        <f ca="1">INDIRECT("'数据-取费表'!ai"&amp;$G$1)</f>
        <v>365</v>
      </c>
    </row>
    <row r="9" spans="1:37" ht="18" customHeight="1">
      <c r="A9" s="304"/>
      <c r="B9" s="3704"/>
      <c r="C9" s="306"/>
      <c r="D9" s="307"/>
      <c r="E9" s="302" t="s">
        <v>699</v>
      </c>
      <c r="F9" s="312">
        <f ca="1">INDIRECT("'数据-取费表'!w"&amp;$G$1)</f>
        <v>0.15</v>
      </c>
      <c r="G9" s="1384"/>
      <c r="H9" s="304"/>
      <c r="I9" s="3704"/>
      <c r="J9" s="306"/>
      <c r="K9" s="307"/>
      <c r="L9" s="313" t="s">
        <v>699</v>
      </c>
      <c r="M9" s="314">
        <f ca="1">INDIRECT("'数据-取费表'!ab"&amp;$G$1)</f>
        <v>0</v>
      </c>
    </row>
    <row r="10" spans="1:37" ht="18" customHeight="1">
      <c r="A10" s="1069" t="s">
        <v>402</v>
      </c>
      <c r="B10" s="1365" t="s">
        <v>700</v>
      </c>
      <c r="C10" s="316">
        <f ca="1">ROUND(IF(F10="押一",C6/12*F11,IF(F10="押二",C6/12*2*F11,IF(F10="押三",C6/12*3*F11,C11*F11))),0)</f>
        <v>102338</v>
      </c>
      <c r="D10" s="1366" t="s">
        <v>2115</v>
      </c>
      <c r="E10" s="313" t="s">
        <v>701</v>
      </c>
      <c r="F10" s="1116" t="s">
        <v>3397</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232861456</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193515850</v>
      </c>
      <c r="D14" s="1345" t="s">
        <v>708</v>
      </c>
      <c r="E14" s="1342"/>
      <c r="F14" s="319"/>
      <c r="G14" s="1384"/>
      <c r="H14" s="982" t="s">
        <v>398</v>
      </c>
      <c r="I14" s="302" t="s">
        <v>709</v>
      </c>
      <c r="J14" s="21">
        <f ca="1">C29</f>
        <v>291076820</v>
      </c>
      <c r="K14" s="12"/>
      <c r="L14" s="807"/>
      <c r="M14" s="808"/>
    </row>
    <row r="15" spans="1:37" s="1397" customFormat="1" ht="18" customHeight="1" thickBot="1">
      <c r="A15" s="982" t="s">
        <v>399</v>
      </c>
      <c r="B15" s="302" t="s">
        <v>710</v>
      </c>
      <c r="C15" s="21">
        <f ca="1">ROUND(C14*F15,0)</f>
        <v>9675793</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1455384</v>
      </c>
      <c r="K16" s="1087" t="s">
        <v>715</v>
      </c>
      <c r="L16" s="1088"/>
      <c r="M16" s="1072"/>
    </row>
    <row r="17" spans="1:37" s="1397" customFormat="1" ht="18" customHeight="1">
      <c r="A17" s="982" t="s">
        <v>681</v>
      </c>
      <c r="B17" s="302" t="s">
        <v>716</v>
      </c>
      <c r="C17" s="21">
        <f ca="1">ROUND(F17*(F43+INDIRECT("'数据-取费表'!S"&amp;$G$1)),0)</f>
        <v>7036940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2902738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213131321</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4262626</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1455384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7500092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-1455384</v>
      </c>
      <c r="K25" s="1095" t="s">
        <v>753</v>
      </c>
      <c r="L25" s="1096"/>
      <c r="M25" s="1097"/>
    </row>
    <row r="26" spans="1:37" ht="18" customHeight="1">
      <c r="A26" s="982" t="s">
        <v>397</v>
      </c>
      <c r="B26" s="302" t="s">
        <v>754</v>
      </c>
      <c r="C26" s="21">
        <f ca="1">ROUND((C19+C20)*F26,0)</f>
        <v>43478789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291076820</v>
      </c>
      <c r="D29" s="1092"/>
      <c r="E29" s="1090"/>
      <c r="F29" s="1093"/>
      <c r="G29" s="1396"/>
      <c r="H29" s="334" t="s">
        <v>396</v>
      </c>
      <c r="I29" s="335" t="s">
        <v>768</v>
      </c>
      <c r="J29" s="336">
        <f ca="1">ROUND(J26/(1+F40)^F41,0)</f>
        <v>0</v>
      </c>
      <c r="K29" s="337" t="s">
        <v>769</v>
      </c>
      <c r="L29" s="338"/>
      <c r="M29" s="339">
        <f ca="1">INDIRECT("'数据-取费表'!k"&amp;$G$1)</f>
        <v>35184.699999999997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15821147</v>
      </c>
      <c r="D30" s="1087" t="s">
        <v>715</v>
      </c>
      <c r="E30" s="1088"/>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ROUND(IF(AND(项目基本情况!B11="自然人",项目基本情况!B10="北京市"),C6*F31/(1+'数据-取费表'!C42),C32+C33+C34),0)</f>
        <v>13723038</v>
      </c>
      <c r="D31" s="1345" t="s">
        <v>720</v>
      </c>
      <c r="E31" s="1344" t="s">
        <v>770</v>
      </c>
      <c r="F31" s="2314" t="str">
        <f>IF(项目基本情况!B11="企业","——",IF(M47="住宅",IF(F6*F7*F8/12/(1+'数据-取费表'!F30)&gt;100000,4%,2.5%),IF(F6*F7*F8/12/(1+'数据-取费表'!F30)&gt;100000,12%,7%)))</f>
        <v>——</v>
      </c>
      <c r="G31" s="1384"/>
      <c r="H31" s="2806" t="s">
        <v>2309</v>
      </c>
      <c r="I31" s="1398"/>
      <c r="J31" s="1399"/>
      <c r="K31" s="2474"/>
      <c r="L31" s="2696"/>
      <c r="M31" s="2697"/>
    </row>
    <row r="32" spans="1:37" ht="18" customHeight="1">
      <c r="A32" s="982" t="s">
        <v>397</v>
      </c>
      <c r="B32" s="302" t="s">
        <v>723</v>
      </c>
      <c r="C32" s="21">
        <f ca="1">IF(项目基本情况!B11="自然人","——",ROUND(C6*F32/(1+'数据-取费表'!C42),0))</f>
        <v>4366421</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9356617</v>
      </c>
      <c r="D33" s="1370" t="s">
        <v>3337</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1455384</v>
      </c>
      <c r="D36" s="1344" t="s">
        <v>771</v>
      </c>
      <c r="E36" s="302" t="s">
        <v>712</v>
      </c>
      <c r="F36" s="328">
        <f ca="1">INDIRECT("'数据-取费表'!Ak"&amp;$G$1)</f>
        <v>5.0000000000000001E-3</v>
      </c>
      <c r="G36" s="1384"/>
      <c r="H36" s="2698"/>
      <c r="I36" s="1398"/>
      <c r="J36" s="1399"/>
      <c r="K36" s="2543"/>
      <c r="L36" s="2698"/>
      <c r="M36" s="2698"/>
    </row>
    <row r="37" spans="1:18" ht="18" customHeight="1">
      <c r="A37" s="982" t="s">
        <v>437</v>
      </c>
      <c r="B37" s="302" t="s">
        <v>742</v>
      </c>
      <c r="C37" s="21">
        <f ca="1">ROUND(C13*F37,0)</f>
        <v>232861</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ROUND(C5*F38,0)</f>
        <v>409864</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66151590</v>
      </c>
      <c r="D39" s="1095" t="s">
        <v>773</v>
      </c>
      <c r="E39" s="1096"/>
      <c r="F39" s="1097"/>
      <c r="G39" s="1384"/>
      <c r="H39" s="2698"/>
      <c r="I39" s="1398"/>
      <c r="J39" s="1399"/>
      <c r="K39" s="2702"/>
      <c r="L39" s="2698"/>
      <c r="M39" s="2698"/>
    </row>
    <row r="40" spans="1:18" ht="18" customHeight="1">
      <c r="A40" s="299" t="s">
        <v>395</v>
      </c>
      <c r="B40" s="300" t="s">
        <v>774</v>
      </c>
      <c r="C40" s="301">
        <f ca="1">ROUND(C39*(1-((1+F42)/(1+F40))^F41)/(F40-F42),0)</f>
        <v>1251239709</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29.05</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35562</v>
      </c>
      <c r="D43" s="337" t="s">
        <v>777</v>
      </c>
      <c r="E43" s="338" t="s">
        <v>778</v>
      </c>
      <c r="F43" s="339">
        <f ca="1">INDIRECT("'数据-取费表'!k"&amp;$G$1)</f>
        <v>35184.699999999997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3353</v>
      </c>
      <c r="B45" s="1400"/>
      <c r="C45" s="1472">
        <f ca="1">ROUND((C68-C40)/10000,4)</f>
        <v>-127545.4866</v>
      </c>
      <c r="D45" s="3430" t="s">
        <v>3354</v>
      </c>
      <c r="E45" s="1400"/>
      <c r="F45" s="1400"/>
      <c r="O45" s="1403" t="s">
        <v>808</v>
      </c>
      <c r="P45" s="1461"/>
      <c r="Q45" s="1461"/>
      <c r="R45" s="1461"/>
    </row>
    <row r="46" spans="1:18" s="1384" customFormat="1" ht="13.5" thickBot="1">
      <c r="A46" s="1404" t="s">
        <v>809</v>
      </c>
      <c r="C46" s="1405">
        <f ca="1">ROUND(C45,0)</f>
        <v>-127545</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1251239709</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29.05</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291076820</v>
      </c>
      <c r="R49" s="1420" t="s">
        <v>818</v>
      </c>
    </row>
    <row r="50" spans="1:18" s="1384" customFormat="1" ht="13.5" thickBot="1">
      <c r="A50" s="976"/>
      <c r="B50" s="979"/>
      <c r="C50" s="980"/>
      <c r="D50" s="953"/>
      <c r="E50" s="1056" t="s">
        <v>697</v>
      </c>
      <c r="F50" s="1057">
        <f ca="1">F7</f>
        <v>35184.699999999997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880512001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29.05</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29.05</v>
      </c>
      <c r="K53" s="3700" t="s">
        <v>837</v>
      </c>
      <c r="L53" s="3701"/>
      <c r="O53" s="1418" t="s">
        <v>409</v>
      </c>
      <c r="P53" s="1419" t="s">
        <v>838</v>
      </c>
      <c r="Q53" s="1420">
        <f ca="1">Q47+Q48</f>
        <v>1251239709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232861456</v>
      </c>
      <c r="D56" s="1447"/>
      <c r="E56" s="1448"/>
      <c r="F56" s="1440"/>
      <c r="I56" s="1449" t="s">
        <v>842</v>
      </c>
      <c r="J56" s="1450" t="s">
        <v>3381</v>
      </c>
      <c r="K56" s="1421" t="s">
        <v>843</v>
      </c>
      <c r="L56" s="1424" t="str">
        <f ca="1">IF(L48&lt;J51,"——",L48-J51)</f>
        <v>——</v>
      </c>
      <c r="O56" s="1418" t="s">
        <v>403</v>
      </c>
      <c r="P56" s="1419" t="s">
        <v>817</v>
      </c>
      <c r="Q56" s="1420">
        <f ca="1">C40+J29</f>
        <v>1251239709</v>
      </c>
      <c r="R56" s="1420" t="s">
        <v>818</v>
      </c>
    </row>
    <row r="57" spans="1:18" s="1384" customFormat="1" ht="24.75" thickBot="1">
      <c r="A57" s="1451"/>
      <c r="B57" s="950" t="s">
        <v>767</v>
      </c>
      <c r="C57" s="238">
        <f ca="1">C29</f>
        <v>291076820</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1688245</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1251239709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1455384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232861</v>
      </c>
      <c r="D65" s="964" t="s">
        <v>743</v>
      </c>
      <c r="E65" s="950" t="s">
        <v>744</v>
      </c>
      <c r="F65" s="330">
        <f t="shared" ca="1" si="0"/>
        <v>1E-3</v>
      </c>
      <c r="I65" s="1462" t="s">
        <v>867</v>
      </c>
      <c r="J65" s="1463">
        <v>40</v>
      </c>
      <c r="K65" s="1463">
        <v>30</v>
      </c>
      <c r="L65" s="1463">
        <v>50</v>
      </c>
      <c r="M65" s="1465">
        <v>0.02</v>
      </c>
      <c r="O65" s="1418" t="s">
        <v>403</v>
      </c>
      <c r="P65" s="1419" t="s">
        <v>868</v>
      </c>
      <c r="Q65" s="1420">
        <f ca="1">C40+J29</f>
        <v>1251239709</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-1688245</v>
      </c>
      <c r="D67" s="963" t="s">
        <v>753</v>
      </c>
      <c r="E67" s="968"/>
      <c r="F67" s="969"/>
      <c r="O67" s="1428" t="s">
        <v>405</v>
      </c>
      <c r="P67" s="1419" t="s">
        <v>850</v>
      </c>
      <c r="Q67" s="1466">
        <f ca="1">L51</f>
        <v>880512001</v>
      </c>
      <c r="R67" s="1420" t="s">
        <v>870</v>
      </c>
    </row>
    <row r="68" spans="1:18" s="1384" customFormat="1" ht="16.5" thickBot="1">
      <c r="A68" s="947" t="s">
        <v>395</v>
      </c>
      <c r="B68" s="948" t="s">
        <v>774</v>
      </c>
      <c r="C68" s="301">
        <f ca="1">ROUND(C67*(1-((1+F70)/(1+F68))^F69)/(F68-F70),0)</f>
        <v>-24215157</v>
      </c>
      <c r="D68" s="965" t="s">
        <v>758</v>
      </c>
      <c r="E68" s="950" t="s">
        <v>759</v>
      </c>
      <c r="F68" s="312">
        <f ca="1">F40</f>
        <v>5.5E-2</v>
      </c>
      <c r="O68" s="1428" t="s">
        <v>406</v>
      </c>
      <c r="P68" s="1467" t="s">
        <v>871</v>
      </c>
      <c r="Q68" s="1420">
        <f ca="1">ROUND(Q69-Q70*Q71,0)</f>
        <v>49851288</v>
      </c>
      <c r="R68" s="1420" t="s">
        <v>414</v>
      </c>
    </row>
    <row r="69" spans="1:18" s="1384" customFormat="1" ht="13.5" thickBot="1">
      <c r="A69" s="951"/>
      <c r="B69" s="952"/>
      <c r="C69" s="306"/>
      <c r="D69" s="970" t="s">
        <v>762</v>
      </c>
      <c r="E69" s="950" t="s">
        <v>763</v>
      </c>
      <c r="F69" s="333">
        <f ca="1">F41</f>
        <v>29.05</v>
      </c>
      <c r="O69" s="1428" t="s">
        <v>411</v>
      </c>
      <c r="P69" s="1467" t="s">
        <v>872</v>
      </c>
      <c r="Q69" s="1420">
        <f ca="1">C39</f>
        <v>66151590</v>
      </c>
      <c r="R69" s="1420" t="s">
        <v>818</v>
      </c>
    </row>
    <row r="70" spans="1:18" s="1384" customFormat="1" ht="13.5" thickBot="1">
      <c r="A70" s="954"/>
      <c r="B70" s="955"/>
      <c r="C70" s="310"/>
      <c r="D70" s="966"/>
      <c r="E70" s="950" t="s">
        <v>766</v>
      </c>
      <c r="F70" s="1054"/>
      <c r="O70" s="1428" t="s">
        <v>412</v>
      </c>
      <c r="P70" s="1467" t="s">
        <v>873</v>
      </c>
      <c r="Q70" s="1420">
        <f ca="1">C13</f>
        <v>232861456</v>
      </c>
      <c r="R70" s="1420" t="s">
        <v>818</v>
      </c>
    </row>
    <row r="71" spans="1:18" s="1384" customFormat="1" ht="13.5" thickBot="1">
      <c r="A71" s="971" t="s">
        <v>396</v>
      </c>
      <c r="B71" s="972" t="s">
        <v>776</v>
      </c>
      <c r="C71" s="336">
        <f ca="1">ROUND(C68/F71,0)</f>
        <v>-688</v>
      </c>
      <c r="D71" s="973" t="s">
        <v>777</v>
      </c>
      <c r="E71" s="974" t="s">
        <v>778</v>
      </c>
      <c r="F71" s="339">
        <f ca="1">F43</f>
        <v>35184.699999999997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16300302</v>
      </c>
      <c r="D75" s="1384"/>
      <c r="E75" s="1384"/>
      <c r="F75" s="1384"/>
      <c r="K75" s="1402"/>
      <c r="L75" s="1384"/>
      <c r="O75" s="1418" t="s">
        <v>409</v>
      </c>
      <c r="P75" s="1419" t="s">
        <v>838</v>
      </c>
      <c r="Q75" s="1420">
        <f ca="1">Q65+Q66</f>
        <v>1251239709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0.754</v>
      </c>
    </row>
    <row r="80" spans="1:18">
      <c r="B80" s="340" t="s">
        <v>800</v>
      </c>
      <c r="C80" s="274">
        <f ca="1">ROUND(C75/C39,3)</f>
        <v>0.246</v>
      </c>
    </row>
    <row r="81" spans="2:3">
      <c r="B81" s="270" t="s">
        <v>801</v>
      </c>
      <c r="C81" s="238"/>
    </row>
    <row r="82" spans="2:3">
      <c r="B82" s="273" t="s">
        <v>802</v>
      </c>
      <c r="C82" s="275">
        <f ca="1">1-C83</f>
        <v>0.81400000000000006</v>
      </c>
    </row>
    <row r="83" spans="2:3">
      <c r="B83" s="273" t="s">
        <v>803</v>
      </c>
      <c r="C83" s="274">
        <f ca="1">ROUND(C13/C40,3)</f>
        <v>0.186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3360</v>
      </c>
      <c r="E2" s="3442"/>
      <c r="F2" s="2844"/>
      <c r="G2" s="2845"/>
      <c r="H2" s="2846"/>
      <c r="I2" s="2847"/>
      <c r="J2" s="3711" t="s">
        <v>2320</v>
      </c>
      <c r="K2" s="3712"/>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13" t="s">
        <v>2330</v>
      </c>
      <c r="K3" s="3714"/>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13" t="s">
        <v>2332</v>
      </c>
      <c r="K4" s="3714"/>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19" t="s">
        <v>2336</v>
      </c>
      <c r="B6" s="3720"/>
      <c r="C6" s="3721"/>
      <c r="D6" s="2868"/>
      <c r="E6" s="2869"/>
      <c r="F6" s="2870"/>
      <c r="G6" s="2871"/>
      <c r="H6" s="2846"/>
      <c r="I6" s="2847"/>
      <c r="J6" s="3705">
        <v>1</v>
      </c>
      <c r="K6" s="3706"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05"/>
      <c r="K7" s="3707"/>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22" t="s">
        <v>2350</v>
      </c>
      <c r="C8" s="3723"/>
      <c r="D8" s="2887" t="s">
        <v>2351</v>
      </c>
      <c r="E8" s="2888" t="s">
        <v>2352</v>
      </c>
      <c r="F8" s="2889" t="s">
        <v>2353</v>
      </c>
      <c r="G8" s="2890"/>
      <c r="H8" s="2846"/>
      <c r="I8" s="2847"/>
      <c r="J8" s="3705"/>
      <c r="K8" s="3707"/>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22" t="s">
        <v>2356</v>
      </c>
      <c r="C9" s="3723"/>
      <c r="D9" s="2887">
        <f>ROUND(D6*E9,0)</f>
        <v>0</v>
      </c>
      <c r="E9" s="2891"/>
      <c r="F9" s="2892" t="s">
        <v>2357</v>
      </c>
      <c r="G9" s="2871"/>
      <c r="H9" s="2846"/>
      <c r="I9" s="2847"/>
      <c r="J9" s="3705"/>
      <c r="K9" s="3707"/>
      <c r="L9" s="2881" t="s">
        <v>2358</v>
      </c>
      <c r="M9" s="2882"/>
      <c r="N9" s="2858"/>
      <c r="O9" s="2883"/>
      <c r="P9" s="2883"/>
      <c r="Q9" s="2884">
        <v>365</v>
      </c>
      <c r="R9" s="2885">
        <f t="shared" si="0"/>
        <v>0</v>
      </c>
      <c r="S9" s="2839"/>
      <c r="T9" s="2839"/>
      <c r="U9" s="2839"/>
      <c r="V9" s="2847"/>
    </row>
    <row r="10" spans="1:22" s="2851" customFormat="1" ht="13.15" customHeight="1">
      <c r="A10" s="2886">
        <v>2</v>
      </c>
      <c r="B10" s="3722" t="s">
        <v>2359</v>
      </c>
      <c r="C10" s="3723"/>
      <c r="D10" s="2887">
        <f>ROUND(D6*E10,0)</f>
        <v>0</v>
      </c>
      <c r="E10" s="2891"/>
      <c r="F10" s="2892" t="s">
        <v>2360</v>
      </c>
      <c r="G10" s="2871"/>
      <c r="H10" s="2846"/>
      <c r="I10" s="2847"/>
      <c r="J10" s="3705"/>
      <c r="K10" s="3707"/>
      <c r="L10" s="2881" t="s">
        <v>2361</v>
      </c>
      <c r="M10" s="2882"/>
      <c r="N10" s="2858"/>
      <c r="O10" s="2883"/>
      <c r="P10" s="2883"/>
      <c r="Q10" s="2884">
        <v>365</v>
      </c>
      <c r="R10" s="2885">
        <f t="shared" si="0"/>
        <v>0</v>
      </c>
      <c r="S10" s="2839"/>
      <c r="T10" s="2839"/>
      <c r="U10" s="2839"/>
      <c r="V10" s="2847"/>
    </row>
    <row r="11" spans="1:22" s="2851" customFormat="1" ht="13.15" customHeight="1">
      <c r="A11" s="2886">
        <v>3</v>
      </c>
      <c r="B11" s="3722" t="s">
        <v>2362</v>
      </c>
      <c r="C11" s="3723"/>
      <c r="D11" s="2887">
        <f>D12+D14+D15+D16</f>
        <v>0</v>
      </c>
      <c r="E11" s="2893" t="e">
        <f>D11/D6</f>
        <v>#DIV/0!</v>
      </c>
      <c r="F11" s="2889"/>
      <c r="G11" s="2890"/>
      <c r="H11" s="2846"/>
      <c r="I11" s="2847"/>
      <c r="J11" s="3705"/>
      <c r="K11" s="3707"/>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15" t="s">
        <v>2365</v>
      </c>
      <c r="C12" s="3716"/>
      <c r="D12" s="2895">
        <f>ROUND(D13*1.2%*(1-30%),0)</f>
        <v>0</v>
      </c>
      <c r="E12" s="2896">
        <v>1.2E-2</v>
      </c>
      <c r="F12" s="2889" t="s">
        <v>2366</v>
      </c>
      <c r="G12" s="2890"/>
      <c r="H12" s="2846"/>
      <c r="I12" s="2847"/>
      <c r="J12" s="3705"/>
      <c r="K12" s="3707"/>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05"/>
      <c r="K13" s="3707"/>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15" t="s">
        <v>2371</v>
      </c>
      <c r="C14" s="3716"/>
      <c r="D14" s="2895">
        <f>ROUND(E14*B5/10000,0)</f>
        <v>0</v>
      </c>
      <c r="E14" s="2884"/>
      <c r="F14" s="2889" t="s">
        <v>2372</v>
      </c>
      <c r="G14" s="2890"/>
      <c r="H14" s="2846"/>
      <c r="I14" s="2847"/>
      <c r="J14" s="3705"/>
      <c r="K14" s="3708"/>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15" t="s">
        <v>2375</v>
      </c>
      <c r="C15" s="3716"/>
      <c r="D15" s="2895">
        <f>ROUND(D6*E15,0)</f>
        <v>0</v>
      </c>
      <c r="E15" s="2896">
        <v>5.5E-2</v>
      </c>
      <c r="F15" s="2889" t="s">
        <v>2376</v>
      </c>
      <c r="G15" s="2871"/>
      <c r="H15" s="2846"/>
      <c r="I15" s="2847"/>
      <c r="J15" s="3705">
        <v>2</v>
      </c>
      <c r="K15" s="3706"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15" t="s">
        <v>2384</v>
      </c>
      <c r="C16" s="3716"/>
      <c r="D16" s="2906">
        <f>D6*E16</f>
        <v>0</v>
      </c>
      <c r="E16" s="2907"/>
      <c r="F16" s="2892" t="s">
        <v>2385</v>
      </c>
      <c r="G16" s="2871"/>
      <c r="H16" s="2846"/>
      <c r="I16" s="2847"/>
      <c r="J16" s="3705"/>
      <c r="K16" s="3707"/>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17" t="s">
        <v>2387</v>
      </c>
      <c r="C17" s="3718"/>
      <c r="D17" s="2909">
        <f>ROUND(D6*E17,0)</f>
        <v>0</v>
      </c>
      <c r="E17" s="2910"/>
      <c r="F17" s="2911" t="s">
        <v>2388</v>
      </c>
      <c r="G17" s="2871"/>
      <c r="H17" s="2846"/>
      <c r="I17" s="2847"/>
      <c r="J17" s="3705"/>
      <c r="K17" s="3707"/>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05"/>
      <c r="K18" s="3707"/>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05"/>
      <c r="K19" s="3708"/>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5">
        <v>3</v>
      </c>
      <c r="K20" s="3706"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05"/>
      <c r="K21" s="3707"/>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05"/>
      <c r="K22" s="3707"/>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05"/>
      <c r="K23" s="3707"/>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05"/>
      <c r="K24" s="3708"/>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0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1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11" t="s">
        <v>2320</v>
      </c>
      <c r="K32" s="3712"/>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13" t="s">
        <v>2330</v>
      </c>
      <c r="K33" s="3714"/>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13" t="s">
        <v>2332</v>
      </c>
      <c r="K34" s="371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05">
        <v>1</v>
      </c>
      <c r="K36" s="3706"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05"/>
      <c r="K37" s="3707"/>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5"/>
      <c r="K38" s="3707"/>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05"/>
      <c r="K39" s="3707"/>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05"/>
      <c r="K40" s="3708"/>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1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1657</v>
      </c>
      <c r="B1" s="1867"/>
      <c r="C1" s="1867"/>
      <c r="D1" s="1867"/>
      <c r="E1" s="1868"/>
      <c r="F1" s="2705"/>
      <c r="G1" s="1489"/>
      <c r="H1" s="1489"/>
      <c r="I1" s="1489"/>
      <c r="J1" s="1489"/>
      <c r="K1" s="1489"/>
      <c r="L1" s="1489"/>
      <c r="M1" s="1489"/>
      <c r="N1" s="1489"/>
      <c r="O1" s="1489"/>
      <c r="P1" s="1489"/>
      <c r="Q1" s="1489"/>
      <c r="R1" s="1489"/>
      <c r="S1" s="1489"/>
    </row>
    <row r="2" spans="1:22" ht="15.75">
      <c r="A2" s="1869" t="s">
        <v>1461</v>
      </c>
      <c r="B2" s="1870">
        <f ca="1">SUMIF(B6:B13,"&lt;&gt;#ref!",B6:B13)</f>
        <v>126545</v>
      </c>
      <c r="C2" s="1871" t="s">
        <v>1650</v>
      </c>
      <c r="D2" s="1872" t="s">
        <v>1651</v>
      </c>
      <c r="E2" s="2606">
        <f>SUM(E6:E13)</f>
        <v>35184.699999999997</v>
      </c>
      <c r="F2" s="2705"/>
      <c r="G2" s="1489"/>
      <c r="H2" s="1489"/>
      <c r="I2" s="1489"/>
      <c r="J2" s="1489"/>
      <c r="K2" s="1489"/>
      <c r="L2" s="1489"/>
      <c r="M2" s="1489"/>
      <c r="N2" s="1489"/>
      <c r="O2" s="1489"/>
      <c r="P2" s="1489"/>
      <c r="Q2" s="1489"/>
      <c r="R2" s="1489"/>
      <c r="S2" s="1489"/>
    </row>
    <row r="3" spans="1:22" ht="15.75">
      <c r="A3" s="1869" t="s">
        <v>686</v>
      </c>
      <c r="B3" s="2600">
        <f ca="1">ROUND(B2*10000/E2,0)</f>
        <v>35966</v>
      </c>
      <c r="C3" s="1871"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1652</v>
      </c>
      <c r="B5" s="3724" t="s">
        <v>1653</v>
      </c>
      <c r="C5" s="3725"/>
      <c r="D5" s="2706"/>
      <c r="E5" s="1873" t="s">
        <v>1654</v>
      </c>
      <c r="F5" s="1874" t="s">
        <v>1655</v>
      </c>
      <c r="G5" s="1489"/>
      <c r="H5" s="1489"/>
      <c r="I5" s="1489"/>
      <c r="J5" s="1489"/>
      <c r="K5" s="1489"/>
      <c r="L5" s="1489"/>
      <c r="M5" s="1489"/>
      <c r="N5" s="1489"/>
      <c r="O5" s="1489"/>
      <c r="P5" s="1489"/>
      <c r="Q5" s="1489"/>
      <c r="R5" s="1489"/>
      <c r="S5" s="1489"/>
    </row>
    <row r="6" spans="1:22">
      <c r="A6" s="2603" t="str">
        <f>'数据-取费表'!AN6</f>
        <v>收益法</v>
      </c>
      <c r="B6" s="2601">
        <f ca="1">IF(F6="是",'数据-取费表'!AO6,0)</f>
        <v>126545</v>
      </c>
      <c r="C6" s="1871" t="s">
        <v>1650</v>
      </c>
      <c r="D6" s="2707"/>
      <c r="E6" s="2605">
        <f>IF(OR(A6=0,F6="否"),0,'数据-取费表'!K6+'数据-取费表'!S6)</f>
        <v>35184.699999999997</v>
      </c>
      <c r="F6" s="1875"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1" t="s">
        <v>1650</v>
      </c>
      <c r="D7" s="2707"/>
      <c r="E7" s="2605">
        <f>IF(OR(A7=0,F7="否"),0,'数据-取费表'!K7+'数据-取费表'!S7)</f>
        <v>0</v>
      </c>
      <c r="F7" s="1875"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1" t="s">
        <v>1650</v>
      </c>
      <c r="D8" s="2707"/>
      <c r="E8" s="2605">
        <f>IF(OR(A8=0,F8="否"),0,'数据-取费表'!K8+'数据-取费表'!S8)</f>
        <v>0</v>
      </c>
      <c r="F8" s="1875"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1" t="s">
        <v>1650</v>
      </c>
      <c r="D9" s="2707"/>
      <c r="E9" s="2605">
        <f>IF(OR(A9=0,F9="否"),0,'数据-取费表'!K9+'数据-取费表'!S9)</f>
        <v>0</v>
      </c>
      <c r="F9" s="1875"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1" t="s">
        <v>1650</v>
      </c>
      <c r="D10" s="2707"/>
      <c r="E10" s="2605">
        <f>IF(OR(A10=0,F10="否"),0,'数据-取费表'!K10+'数据-取费表'!S10)</f>
        <v>0</v>
      </c>
      <c r="F10" s="1875"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1" t="s">
        <v>1650</v>
      </c>
      <c r="D11" s="2707"/>
      <c r="E11" s="2605">
        <f>IF(OR(A11=0,F11="否"),0,'数据-取费表'!K11+'数据-取费表'!S11)</f>
        <v>0</v>
      </c>
      <c r="F11" s="1875"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1" t="s">
        <v>1650</v>
      </c>
      <c r="D12" s="2707"/>
      <c r="E12" s="2605">
        <f>IF(OR(A12=0,F12="否"),0,'数据-取费表'!K12+'数据-取费表'!S12)</f>
        <v>0</v>
      </c>
      <c r="F12" s="1875"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6" t="s">
        <v>1650</v>
      </c>
      <c r="D13" s="2708"/>
      <c r="E13" s="2605">
        <f>IF(OR(A13=0,F13="否"),0,'数据-取费表'!K13+'数据-取费表'!S13)</f>
        <v>0</v>
      </c>
      <c r="F13" s="1875"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1660</v>
      </c>
      <c r="C1" s="1238" t="s">
        <v>1661</v>
      </c>
      <c r="D1" s="1225"/>
      <c r="E1" s="3424"/>
      <c r="F1" s="1878"/>
      <c r="G1" s="1235" t="s">
        <v>1662</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35184.699999999997</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1665</v>
      </c>
      <c r="B4" s="356"/>
      <c r="C4" s="3744" t="s">
        <v>1666</v>
      </c>
      <c r="D4" s="3745"/>
      <c r="E4" s="3746" t="s">
        <v>1667</v>
      </c>
      <c r="F4" s="3747"/>
      <c r="G4" s="3744" t="s">
        <v>1668</v>
      </c>
      <c r="H4" s="3745"/>
      <c r="I4" s="3744" t="s">
        <v>1669</v>
      </c>
      <c r="J4" s="3745"/>
      <c r="K4" s="1888" t="s">
        <v>1670</v>
      </c>
      <c r="L4" s="2713"/>
      <c r="M4" s="2714"/>
      <c r="N4" s="2714"/>
      <c r="O4" s="2714"/>
      <c r="P4" s="3748" t="s">
        <v>1671</v>
      </c>
      <c r="Q4" s="3749"/>
      <c r="R4" s="3754" t="s">
        <v>1667</v>
      </c>
      <c r="S4" s="3755"/>
      <c r="T4" s="3754" t="s">
        <v>1668</v>
      </c>
      <c r="U4" s="3755"/>
      <c r="V4" s="3760" t="s">
        <v>1669</v>
      </c>
      <c r="W4" s="3760"/>
      <c r="X4" s="1355"/>
      <c r="Y4" s="3754" t="s">
        <v>1671</v>
      </c>
      <c r="Z4" s="3755"/>
      <c r="AA4" s="3741" t="s">
        <v>1667</v>
      </c>
      <c r="AB4" s="3741" t="s">
        <v>1668</v>
      </c>
      <c r="AC4" s="3741" t="s">
        <v>1669</v>
      </c>
    </row>
    <row r="5" spans="1:29" ht="15">
      <c r="A5" s="358"/>
      <c r="B5" s="359"/>
      <c r="C5" s="3763" t="s">
        <v>1672</v>
      </c>
      <c r="D5" s="3764"/>
      <c r="E5" s="3770" t="s">
        <v>1673</v>
      </c>
      <c r="F5" s="3771"/>
      <c r="G5" s="3763" t="s">
        <v>1674</v>
      </c>
      <c r="H5" s="3764"/>
      <c r="I5" s="3763" t="s">
        <v>1675</v>
      </c>
      <c r="J5" s="3764"/>
      <c r="K5" s="1889"/>
      <c r="L5" s="2713"/>
      <c r="M5" s="2714"/>
      <c r="N5" s="2714"/>
      <c r="O5" s="2714"/>
      <c r="P5" s="3750"/>
      <c r="Q5" s="3751"/>
      <c r="R5" s="3756"/>
      <c r="S5" s="3757"/>
      <c r="T5" s="3756"/>
      <c r="U5" s="3757"/>
      <c r="V5" s="3760"/>
      <c r="W5" s="3760"/>
      <c r="X5" s="1355"/>
      <c r="Y5" s="3756"/>
      <c r="Z5" s="3757"/>
      <c r="AA5" s="3742"/>
      <c r="AB5" s="3742"/>
      <c r="AC5" s="3742"/>
    </row>
    <row r="6" spans="1:29" ht="15.75" thickBot="1">
      <c r="A6" s="360"/>
      <c r="B6" s="361"/>
      <c r="C6" s="3761" t="s">
        <v>1676</v>
      </c>
      <c r="D6" s="3762"/>
      <c r="E6" s="3768" t="s">
        <v>1676</v>
      </c>
      <c r="F6" s="3769"/>
      <c r="G6" s="3761" t="s">
        <v>1676</v>
      </c>
      <c r="H6" s="3762"/>
      <c r="I6" s="3761" t="s">
        <v>1676</v>
      </c>
      <c r="J6" s="3762"/>
      <c r="K6" s="1889" t="s">
        <v>1677</v>
      </c>
      <c r="L6" s="2713"/>
      <c r="M6" s="2714"/>
      <c r="N6" s="2714"/>
      <c r="O6" s="2714"/>
      <c r="P6" s="3752"/>
      <c r="Q6" s="3753"/>
      <c r="R6" s="3756"/>
      <c r="S6" s="3757"/>
      <c r="T6" s="3758"/>
      <c r="U6" s="3759"/>
      <c r="V6" s="3760"/>
      <c r="W6" s="3760"/>
      <c r="X6" s="1355"/>
      <c r="Y6" s="3758"/>
      <c r="Z6" s="3759"/>
      <c r="AA6" s="3743"/>
      <c r="AB6" s="3743"/>
      <c r="AC6" s="3743"/>
    </row>
    <row r="7" spans="1:29" s="108" customFormat="1" ht="15.75" thickBot="1">
      <c r="A7" s="362" t="s">
        <v>1678</v>
      </c>
      <c r="B7" s="363"/>
      <c r="C7" s="364">
        <f>'数据-取费表'!B2</f>
        <v>45348</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65" t="s">
        <v>1679</v>
      </c>
      <c r="Q7" s="3767"/>
      <c r="R7" s="701" t="s">
        <v>20</v>
      </c>
      <c r="S7" s="702">
        <f t="shared" ref="S7:S15" si="0">F7</f>
        <v>0</v>
      </c>
      <c r="T7" s="701" t="s">
        <v>20</v>
      </c>
      <c r="U7" s="702">
        <f t="shared" ref="U7:U15" si="1">H7</f>
        <v>0</v>
      </c>
      <c r="V7" s="701" t="s">
        <v>20</v>
      </c>
      <c r="W7" s="702">
        <f t="shared" ref="W7:W15" si="2">J7</f>
        <v>0</v>
      </c>
      <c r="X7" s="703"/>
      <c r="Y7" s="3765" t="s">
        <v>1679</v>
      </c>
      <c r="Z7" s="3766"/>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65" t="s">
        <v>1682</v>
      </c>
      <c r="Q8" s="3766"/>
      <c r="R8" s="701" t="s">
        <v>20</v>
      </c>
      <c r="S8" s="702">
        <f t="shared" si="0"/>
        <v>100</v>
      </c>
      <c r="T8" s="701" t="s">
        <v>20</v>
      </c>
      <c r="U8" s="702">
        <f t="shared" si="1"/>
        <v>100</v>
      </c>
      <c r="V8" s="701" t="s">
        <v>20</v>
      </c>
      <c r="W8" s="702">
        <f t="shared" si="2"/>
        <v>100</v>
      </c>
      <c r="X8" s="703"/>
      <c r="Y8" s="3765" t="s">
        <v>1682</v>
      </c>
      <c r="Z8" s="3766"/>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40" t="s">
        <v>1685</v>
      </c>
      <c r="Q9" s="1343" t="str">
        <f t="shared" ref="Q9:Q15" si="6">B9</f>
        <v>用途</v>
      </c>
      <c r="R9" s="701" t="s">
        <v>14</v>
      </c>
      <c r="S9" s="702">
        <f t="shared" si="0"/>
        <v>100</v>
      </c>
      <c r="T9" s="701" t="s">
        <v>14</v>
      </c>
      <c r="U9" s="702">
        <f t="shared" si="1"/>
        <v>100</v>
      </c>
      <c r="V9" s="701" t="s">
        <v>14</v>
      </c>
      <c r="W9" s="702">
        <f t="shared" si="2"/>
        <v>100</v>
      </c>
      <c r="X9" s="703"/>
      <c r="Y9" s="3604"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40"/>
      <c r="Q10" s="1343"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40"/>
      <c r="Q11" s="1343" t="str">
        <f t="shared" si="6"/>
        <v>容积率</v>
      </c>
      <c r="R11" s="701" t="s">
        <v>18</v>
      </c>
      <c r="S11" s="702" t="e">
        <f t="shared" si="0"/>
        <v>#N/A</v>
      </c>
      <c r="T11" s="701" t="s">
        <v>18</v>
      </c>
      <c r="U11" s="702" t="e">
        <f t="shared" si="1"/>
        <v>#N/A</v>
      </c>
      <c r="V11" s="701" t="s">
        <v>18</v>
      </c>
      <c r="W11" s="702" t="e">
        <f t="shared" si="2"/>
        <v>#N/A</v>
      </c>
      <c r="X11" s="703"/>
      <c r="Y11" s="3604"/>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40"/>
      <c r="Q12" s="1343">
        <f t="shared" si="6"/>
        <v>111</v>
      </c>
      <c r="R12" s="701" t="s">
        <v>18</v>
      </c>
      <c r="S12" s="702">
        <f t="shared" si="0"/>
        <v>100</v>
      </c>
      <c r="T12" s="701" t="s">
        <v>18</v>
      </c>
      <c r="U12" s="702">
        <f t="shared" si="1"/>
        <v>100</v>
      </c>
      <c r="V12" s="701" t="s">
        <v>18</v>
      </c>
      <c r="W12" s="702">
        <f t="shared" si="2"/>
        <v>100</v>
      </c>
      <c r="X12" s="703"/>
      <c r="Y12" s="360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40"/>
      <c r="Q13" s="1343">
        <f t="shared" si="6"/>
        <v>111</v>
      </c>
      <c r="R13" s="701" t="s">
        <v>18</v>
      </c>
      <c r="S13" s="702">
        <f t="shared" si="0"/>
        <v>100</v>
      </c>
      <c r="T13" s="701" t="s">
        <v>18</v>
      </c>
      <c r="U13" s="702">
        <f t="shared" si="1"/>
        <v>100</v>
      </c>
      <c r="V13" s="701" t="s">
        <v>18</v>
      </c>
      <c r="W13" s="702">
        <f t="shared" si="2"/>
        <v>100</v>
      </c>
      <c r="X13" s="703"/>
      <c r="Y13" s="3604"/>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40"/>
      <c r="Q14" s="1343">
        <f t="shared" si="6"/>
        <v>111</v>
      </c>
      <c r="R14" s="701" t="s">
        <v>18</v>
      </c>
      <c r="S14" s="702">
        <f t="shared" si="0"/>
        <v>100</v>
      </c>
      <c r="T14" s="701" t="s">
        <v>18</v>
      </c>
      <c r="U14" s="702">
        <f t="shared" si="1"/>
        <v>100</v>
      </c>
      <c r="V14" s="701" t="s">
        <v>18</v>
      </c>
      <c r="W14" s="702">
        <f t="shared" si="2"/>
        <v>100</v>
      </c>
      <c r="X14" s="703"/>
      <c r="Y14" s="3604"/>
      <c r="Z14" s="52">
        <f t="shared" si="7"/>
        <v>111</v>
      </c>
      <c r="AA14" s="704">
        <f t="shared" si="3"/>
        <v>1</v>
      </c>
      <c r="AB14" s="704">
        <f t="shared" si="4"/>
        <v>1</v>
      </c>
      <c r="AC14" s="704">
        <f t="shared" si="5"/>
        <v>1</v>
      </c>
    </row>
    <row r="15" spans="1:29" ht="85.5">
      <c r="A15" s="391" t="s">
        <v>1689</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8" t="s">
        <v>1690</v>
      </c>
      <c r="Q15" s="1352" t="str">
        <f t="shared" si="6"/>
        <v>居住社区成熟度</v>
      </c>
      <c r="R15" s="705" t="s">
        <v>18</v>
      </c>
      <c r="S15" s="706">
        <f t="shared" si="0"/>
        <v>100</v>
      </c>
      <c r="T15" s="705" t="s">
        <v>18</v>
      </c>
      <c r="U15" s="706">
        <f t="shared" si="1"/>
        <v>100</v>
      </c>
      <c r="V15" s="705" t="s">
        <v>18</v>
      </c>
      <c r="W15" s="706">
        <f t="shared" si="2"/>
        <v>100</v>
      </c>
      <c r="X15" s="1355"/>
      <c r="Y15" s="3731" t="s">
        <v>1690</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0"/>
      <c r="M16" s="2714"/>
      <c r="N16" s="2714"/>
      <c r="O16" s="2714"/>
      <c r="P16" s="3739"/>
      <c r="Q16" s="1352"/>
      <c r="R16" s="705"/>
      <c r="S16" s="706"/>
      <c r="T16" s="705"/>
      <c r="U16" s="706"/>
      <c r="V16" s="705"/>
      <c r="W16" s="706"/>
      <c r="X16" s="1355"/>
      <c r="Y16" s="3732"/>
      <c r="Z16" s="1356"/>
      <c r="AA16" s="1353">
        <v>1</v>
      </c>
      <c r="AB16" s="1353">
        <v>1</v>
      </c>
      <c r="AC16" s="1353">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9"/>
      <c r="Q17" s="1352" t="str">
        <f>B17</f>
        <v>交通便捷度</v>
      </c>
      <c r="R17" s="705" t="s">
        <v>18</v>
      </c>
      <c r="S17" s="706">
        <f>F17</f>
        <v>100</v>
      </c>
      <c r="T17" s="705" t="s">
        <v>18</v>
      </c>
      <c r="U17" s="706">
        <f>H17</f>
        <v>100</v>
      </c>
      <c r="V17" s="705" t="s">
        <v>18</v>
      </c>
      <c r="W17" s="706">
        <f>J17</f>
        <v>100</v>
      </c>
      <c r="X17" s="1355"/>
      <c r="Y17" s="3732"/>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0"/>
      <c r="M18" s="2714"/>
      <c r="N18" s="2714"/>
      <c r="O18" s="2714"/>
      <c r="P18" s="3739"/>
      <c r="Q18" s="1352"/>
      <c r="R18" s="705"/>
      <c r="S18" s="706"/>
      <c r="T18" s="705"/>
      <c r="U18" s="706"/>
      <c r="V18" s="705"/>
      <c r="W18" s="706"/>
      <c r="X18" s="1355"/>
      <c r="Y18" s="3732"/>
      <c r="Z18" s="1356"/>
      <c r="AA18" s="1353">
        <v>1</v>
      </c>
      <c r="AB18" s="1353">
        <v>1</v>
      </c>
      <c r="AC18" s="1353">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9"/>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0"/>
      <c r="M20" s="2714"/>
      <c r="N20" s="2714"/>
      <c r="O20" s="2714"/>
      <c r="P20" s="3739"/>
      <c r="Q20" s="1352"/>
      <c r="R20" s="705"/>
      <c r="S20" s="706"/>
      <c r="T20" s="705"/>
      <c r="U20" s="706"/>
      <c r="V20" s="705"/>
      <c r="W20" s="706"/>
      <c r="X20" s="1355"/>
      <c r="Y20" s="3732"/>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0"/>
      <c r="M22" s="2714"/>
      <c r="N22" s="2714"/>
      <c r="O22" s="2714"/>
      <c r="P22" s="3739"/>
      <c r="Q22" s="1352"/>
      <c r="R22" s="705"/>
      <c r="S22" s="706"/>
      <c r="T22" s="705"/>
      <c r="U22" s="706"/>
      <c r="V22" s="705"/>
      <c r="W22" s="706"/>
      <c r="X22" s="1355"/>
      <c r="Y22" s="3732"/>
      <c r="Z22" s="1356"/>
      <c r="AA22" s="1353">
        <v>1</v>
      </c>
      <c r="AB22" s="1353">
        <v>1</v>
      </c>
      <c r="AC22" s="1353">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9"/>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0"/>
      <c r="M24" s="2714"/>
      <c r="N24" s="2714"/>
      <c r="O24" s="2714"/>
      <c r="P24" s="3739"/>
      <c r="Q24" s="1352"/>
      <c r="R24" s="705"/>
      <c r="S24" s="706"/>
      <c r="T24" s="705"/>
      <c r="U24" s="706"/>
      <c r="V24" s="705"/>
      <c r="W24" s="706"/>
      <c r="X24" s="1355"/>
      <c r="Y24" s="3732"/>
      <c r="Z24" s="1356"/>
      <c r="AA24" s="1353">
        <v>1</v>
      </c>
      <c r="AB24" s="1353">
        <v>1</v>
      </c>
      <c r="AC24" s="1353">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39"/>
      <c r="Q26" s="1352" t="str">
        <f t="shared" si="11"/>
        <v>朝向</v>
      </c>
      <c r="R26" s="705" t="s">
        <v>18</v>
      </c>
      <c r="S26" s="706">
        <f t="shared" si="12"/>
        <v>100</v>
      </c>
      <c r="T26" s="705" t="s">
        <v>18</v>
      </c>
      <c r="U26" s="706">
        <f t="shared" si="13"/>
        <v>100</v>
      </c>
      <c r="V26" s="705" t="s">
        <v>18</v>
      </c>
      <c r="W26" s="706">
        <f t="shared" si="14"/>
        <v>100</v>
      </c>
      <c r="X26" s="1355"/>
      <c r="Y26" s="373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39"/>
      <c r="Q27" s="1343">
        <f t="shared" si="11"/>
        <v>111</v>
      </c>
      <c r="R27" s="701" t="s">
        <v>18</v>
      </c>
      <c r="S27" s="702">
        <f t="shared" si="12"/>
        <v>100</v>
      </c>
      <c r="T27" s="701" t="s">
        <v>18</v>
      </c>
      <c r="U27" s="702">
        <f t="shared" si="13"/>
        <v>100</v>
      </c>
      <c r="V27" s="701" t="s">
        <v>18</v>
      </c>
      <c r="W27" s="702">
        <f t="shared" si="14"/>
        <v>100</v>
      </c>
      <c r="X27" s="703"/>
      <c r="Y27" s="373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39"/>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39"/>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39"/>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39"/>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33" t="s">
        <v>1695</v>
      </c>
      <c r="Q32" s="1352" t="str">
        <f t="shared" si="11"/>
        <v>建筑类型</v>
      </c>
      <c r="R32" s="705" t="s">
        <v>18</v>
      </c>
      <c r="S32" s="706">
        <f t="shared" si="12"/>
        <v>100</v>
      </c>
      <c r="T32" s="705" t="s">
        <v>18</v>
      </c>
      <c r="U32" s="706">
        <f t="shared" si="13"/>
        <v>100</v>
      </c>
      <c r="V32" s="705" t="s">
        <v>18</v>
      </c>
      <c r="W32" s="706">
        <f t="shared" si="14"/>
        <v>100</v>
      </c>
      <c r="X32" s="1355"/>
      <c r="Y32" s="3736"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34"/>
      <c r="Q33" s="707" t="str">
        <f t="shared" si="11"/>
        <v>项目建筑规模</v>
      </c>
      <c r="R33" s="708" t="s">
        <v>18</v>
      </c>
      <c r="S33" s="709" t="e">
        <f t="shared" si="12"/>
        <v>#N/A</v>
      </c>
      <c r="T33" s="708" t="s">
        <v>18</v>
      </c>
      <c r="U33" s="709" t="e">
        <f t="shared" si="13"/>
        <v>#N/A</v>
      </c>
      <c r="V33" s="708" t="s">
        <v>18</v>
      </c>
      <c r="W33" s="709" t="e">
        <f t="shared" si="14"/>
        <v>#N/A</v>
      </c>
      <c r="X33" s="710"/>
      <c r="Y33" s="3736"/>
      <c r="Z33" s="711" t="str">
        <f t="shared" si="18"/>
        <v>项目建筑规模</v>
      </c>
      <c r="AA33" s="1353" t="e">
        <f t="shared" si="15"/>
        <v>#N/A</v>
      </c>
      <c r="AB33" s="1353" t="e">
        <f t="shared" si="16"/>
        <v>#N/A</v>
      </c>
      <c r="AC33" s="1353"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4"/>
      <c r="Q37" s="1343" t="str">
        <f t="shared" si="11"/>
        <v>成新度</v>
      </c>
      <c r="R37" s="701" t="s">
        <v>18</v>
      </c>
      <c r="S37" s="702" t="e">
        <f t="shared" si="12"/>
        <v>#N/A</v>
      </c>
      <c r="T37" s="701" t="s">
        <v>18</v>
      </c>
      <c r="U37" s="702" t="e">
        <f t="shared" si="13"/>
        <v>#N/A</v>
      </c>
      <c r="V37" s="701" t="s">
        <v>18</v>
      </c>
      <c r="W37" s="702" t="e">
        <f t="shared" si="14"/>
        <v>#N/A</v>
      </c>
      <c r="X37" s="703"/>
      <c r="Y37" s="3736"/>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34" t="s">
        <v>1695</v>
      </c>
      <c r="Q38" s="1352" t="str">
        <f t="shared" si="11"/>
        <v>物业管理</v>
      </c>
      <c r="R38" s="705" t="s">
        <v>18</v>
      </c>
      <c r="S38" s="706">
        <f t="shared" si="12"/>
        <v>100</v>
      </c>
      <c r="T38" s="705" t="s">
        <v>18</v>
      </c>
      <c r="U38" s="706">
        <f t="shared" si="13"/>
        <v>100</v>
      </c>
      <c r="V38" s="705" t="s">
        <v>18</v>
      </c>
      <c r="W38" s="706">
        <f t="shared" si="14"/>
        <v>100</v>
      </c>
      <c r="X38" s="1355"/>
      <c r="Y38" s="3736" t="s">
        <v>1695</v>
      </c>
      <c r="Z38" s="1356" t="str">
        <f t="shared" si="18"/>
        <v>物业管理</v>
      </c>
      <c r="AA38" s="1353">
        <f t="shared" si="15"/>
        <v>1</v>
      </c>
      <c r="AB38" s="1353">
        <f t="shared" si="16"/>
        <v>1</v>
      </c>
      <c r="AC38" s="1353">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34"/>
      <c r="Q42" s="1352" t="str">
        <f t="shared" si="11"/>
        <v>内部装修</v>
      </c>
      <c r="R42" s="705" t="s">
        <v>18</v>
      </c>
      <c r="S42" s="706">
        <f t="shared" si="12"/>
        <v>100</v>
      </c>
      <c r="T42" s="705" t="s">
        <v>18</v>
      </c>
      <c r="U42" s="706">
        <f t="shared" si="13"/>
        <v>100</v>
      </c>
      <c r="V42" s="705" t="s">
        <v>18</v>
      </c>
      <c r="W42" s="706">
        <f t="shared" si="14"/>
        <v>100</v>
      </c>
      <c r="X42" s="1355"/>
      <c r="Y42" s="3736"/>
      <c r="Z42" s="1356" t="str">
        <f t="shared" si="18"/>
        <v>内部装修</v>
      </c>
      <c r="AA42" s="1353">
        <f t="shared" si="15"/>
        <v>1</v>
      </c>
      <c r="AB42" s="1353">
        <f t="shared" si="16"/>
        <v>1</v>
      </c>
      <c r="AC42" s="1353">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34"/>
      <c r="Q44" s="1343">
        <f t="shared" si="11"/>
        <v>111</v>
      </c>
      <c r="R44" s="701" t="s">
        <v>18</v>
      </c>
      <c r="S44" s="702">
        <f t="shared" si="12"/>
        <v>100</v>
      </c>
      <c r="T44" s="701" t="s">
        <v>18</v>
      </c>
      <c r="U44" s="702">
        <f t="shared" si="13"/>
        <v>100</v>
      </c>
      <c r="V44" s="701" t="s">
        <v>18</v>
      </c>
      <c r="W44" s="702">
        <f t="shared" si="14"/>
        <v>100</v>
      </c>
      <c r="X44" s="703"/>
      <c r="Y44" s="373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3"/>
      <c r="L47" s="2722"/>
      <c r="M47" s="2723"/>
      <c r="N47" s="2714"/>
      <c r="O47" s="2723"/>
      <c r="P47" s="3729" t="str">
        <f>A47</f>
        <v>成交单价（元/平方米）</v>
      </c>
      <c r="Q47" s="3729"/>
      <c r="R47" s="3730">
        <f>E47</f>
        <v>0</v>
      </c>
      <c r="S47" s="3730"/>
      <c r="T47" s="3730">
        <f>G47</f>
        <v>0</v>
      </c>
      <c r="U47" s="3730"/>
      <c r="V47" s="3730">
        <f>I47</f>
        <v>0</v>
      </c>
      <c r="W47" s="3730"/>
      <c r="X47" s="690"/>
      <c r="Y47" s="712"/>
      <c r="Z47" s="690"/>
      <c r="AA47" s="690"/>
      <c r="AB47" s="690"/>
      <c r="AC47" s="690"/>
    </row>
    <row r="48" spans="1:29" ht="15.75" thickBot="1">
      <c r="A48" s="437" t="s">
        <v>1708</v>
      </c>
      <c r="B48" s="438"/>
      <c r="C48" s="1160" t="e">
        <f>R49</f>
        <v>#DIV/0!</v>
      </c>
      <c r="D48" s="2316" t="s">
        <v>2137</v>
      </c>
      <c r="E48" s="1161" t="e">
        <f>R48</f>
        <v>#DIV/0!</v>
      </c>
      <c r="F48" s="2317"/>
      <c r="G48" s="1160" t="e">
        <f>T48</f>
        <v>#DIV/0!</v>
      </c>
      <c r="H48" s="2317"/>
      <c r="I48" s="1161" t="e">
        <f>V48</f>
        <v>#DIV/0!</v>
      </c>
      <c r="J48" s="2317"/>
      <c r="K48" s="2318">
        <f>F48+H48+J48</f>
        <v>0</v>
      </c>
      <c r="L48" s="2722"/>
      <c r="M48" s="2723"/>
      <c r="N48" s="2723"/>
      <c r="O48" s="2723"/>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2"/>
      <c r="M49" s="2723"/>
      <c r="N49" s="2723"/>
      <c r="O49" s="2723"/>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1765</v>
      </c>
      <c r="C1" s="1238" t="s">
        <v>1661</v>
      </c>
      <c r="D1" s="1225"/>
      <c r="E1" s="3424"/>
      <c r="F1" s="1878"/>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35184.699999999997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1768</v>
      </c>
      <c r="B4" s="356"/>
      <c r="C4" s="3744" t="s">
        <v>1769</v>
      </c>
      <c r="D4" s="3745"/>
      <c r="E4" s="3746" t="s">
        <v>1770</v>
      </c>
      <c r="F4" s="3747"/>
      <c r="G4" s="3744" t="s">
        <v>1771</v>
      </c>
      <c r="H4" s="3745"/>
      <c r="I4" s="3744" t="s">
        <v>1772</v>
      </c>
      <c r="J4" s="3745"/>
      <c r="K4" s="559" t="s">
        <v>1773</v>
      </c>
      <c r="L4" s="2713"/>
      <c r="M4" s="2714"/>
      <c r="N4" s="2714"/>
      <c r="O4" s="2714"/>
      <c r="P4" s="3748" t="s">
        <v>1774</v>
      </c>
      <c r="Q4" s="3749"/>
      <c r="R4" s="3754" t="s">
        <v>1770</v>
      </c>
      <c r="S4" s="3755"/>
      <c r="T4" s="3754" t="s">
        <v>1771</v>
      </c>
      <c r="U4" s="3755"/>
      <c r="V4" s="3760" t="s">
        <v>1772</v>
      </c>
      <c r="W4" s="3760"/>
      <c r="X4" s="1355"/>
      <c r="Y4" s="3754" t="s">
        <v>1774</v>
      </c>
      <c r="Z4" s="3755"/>
      <c r="AA4" s="3741" t="s">
        <v>1770</v>
      </c>
      <c r="AB4" s="3760" t="s">
        <v>1771</v>
      </c>
      <c r="AC4" s="3741" t="s">
        <v>1772</v>
      </c>
    </row>
    <row r="5" spans="1:29" ht="15">
      <c r="A5" s="358"/>
      <c r="B5" s="359"/>
      <c r="C5" s="3763" t="s">
        <v>1672</v>
      </c>
      <c r="D5" s="3764"/>
      <c r="E5" s="3770" t="s">
        <v>1673</v>
      </c>
      <c r="F5" s="3771"/>
      <c r="G5" s="3763" t="s">
        <v>1674</v>
      </c>
      <c r="H5" s="3764"/>
      <c r="I5" s="3763" t="s">
        <v>1675</v>
      </c>
      <c r="J5" s="3764"/>
      <c r="K5" s="559"/>
      <c r="L5" s="2713"/>
      <c r="M5" s="2714"/>
      <c r="N5" s="2714"/>
      <c r="O5" s="2714"/>
      <c r="P5" s="3750"/>
      <c r="Q5" s="3751"/>
      <c r="R5" s="3756"/>
      <c r="S5" s="3757"/>
      <c r="T5" s="3756"/>
      <c r="U5" s="3757"/>
      <c r="V5" s="3760"/>
      <c r="W5" s="3760"/>
      <c r="X5" s="1355"/>
      <c r="Y5" s="3756"/>
      <c r="Z5" s="3757"/>
      <c r="AA5" s="3742"/>
      <c r="AB5" s="3760"/>
      <c r="AC5" s="3742"/>
    </row>
    <row r="6" spans="1:29" ht="15.75" thickBot="1">
      <c r="A6" s="360"/>
      <c r="B6" s="361"/>
      <c r="C6" s="3761" t="s">
        <v>1676</v>
      </c>
      <c r="D6" s="3762"/>
      <c r="E6" s="3768" t="s">
        <v>1676</v>
      </c>
      <c r="F6" s="3769"/>
      <c r="G6" s="3761" t="s">
        <v>1676</v>
      </c>
      <c r="H6" s="3762"/>
      <c r="I6" s="3761" t="s">
        <v>1676</v>
      </c>
      <c r="J6" s="3762"/>
      <c r="K6" s="559" t="s">
        <v>1677</v>
      </c>
      <c r="L6" s="2713"/>
      <c r="M6" s="2714"/>
      <c r="N6" s="2714"/>
      <c r="O6" s="2714"/>
      <c r="P6" s="3752"/>
      <c r="Q6" s="3753"/>
      <c r="R6" s="3756"/>
      <c r="S6" s="3757"/>
      <c r="T6" s="3758"/>
      <c r="U6" s="3759"/>
      <c r="V6" s="3760"/>
      <c r="W6" s="3760"/>
      <c r="X6" s="1355"/>
      <c r="Y6" s="3758"/>
      <c r="Z6" s="3759"/>
      <c r="AA6" s="3743"/>
      <c r="AB6" s="3760"/>
      <c r="AC6" s="3743"/>
    </row>
    <row r="7" spans="1:29" s="108" customFormat="1" ht="15.75" thickBot="1">
      <c r="A7" s="362" t="s">
        <v>1678</v>
      </c>
      <c r="B7" s="363"/>
      <c r="C7" s="364">
        <f>'数据-取费表'!B2</f>
        <v>45348</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65" t="s">
        <v>1679</v>
      </c>
      <c r="Q7" s="3767"/>
      <c r="R7" s="701" t="s">
        <v>14</v>
      </c>
      <c r="S7" s="702">
        <f t="shared" ref="S7:S15" si="0">F7</f>
        <v>0</v>
      </c>
      <c r="T7" s="701" t="s">
        <v>14</v>
      </c>
      <c r="U7" s="702">
        <f t="shared" ref="U7:U15" si="1">H7</f>
        <v>0</v>
      </c>
      <c r="V7" s="701" t="s">
        <v>14</v>
      </c>
      <c r="W7" s="702">
        <f t="shared" ref="W7:W15" si="2">J7</f>
        <v>0</v>
      </c>
      <c r="X7" s="703"/>
      <c r="Y7" s="3765" t="s">
        <v>1679</v>
      </c>
      <c r="Z7" s="3766"/>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65" t="s">
        <v>1682</v>
      </c>
      <c r="Q8" s="3766"/>
      <c r="R8" s="701" t="s">
        <v>14</v>
      </c>
      <c r="S8" s="702">
        <f t="shared" si="0"/>
        <v>100</v>
      </c>
      <c r="T8" s="701" t="s">
        <v>14</v>
      </c>
      <c r="U8" s="702">
        <f t="shared" si="1"/>
        <v>100</v>
      </c>
      <c r="V8" s="701" t="s">
        <v>14</v>
      </c>
      <c r="W8" s="702">
        <f t="shared" si="2"/>
        <v>100</v>
      </c>
      <c r="X8" s="703"/>
      <c r="Y8" s="3765" t="s">
        <v>1682</v>
      </c>
      <c r="Z8" s="3766"/>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40" t="s">
        <v>1685</v>
      </c>
      <c r="Q9" s="1343" t="str">
        <f t="shared" ref="Q9:Q15" si="6">B9</f>
        <v>用途</v>
      </c>
      <c r="R9" s="701" t="s">
        <v>14</v>
      </c>
      <c r="S9" s="702">
        <f t="shared" si="0"/>
        <v>100</v>
      </c>
      <c r="T9" s="701" t="s">
        <v>14</v>
      </c>
      <c r="U9" s="702">
        <f t="shared" si="1"/>
        <v>100</v>
      </c>
      <c r="V9" s="701" t="s">
        <v>14</v>
      </c>
      <c r="W9" s="702">
        <f t="shared" si="2"/>
        <v>100</v>
      </c>
      <c r="X9" s="703"/>
      <c r="Y9" s="3604"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40"/>
      <c r="Q10" s="1343"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40"/>
      <c r="Q11" s="1343" t="str">
        <f t="shared" si="6"/>
        <v>容积率</v>
      </c>
      <c r="R11" s="701" t="s">
        <v>14</v>
      </c>
      <c r="S11" s="702" t="e">
        <f t="shared" si="0"/>
        <v>#N/A</v>
      </c>
      <c r="T11" s="701" t="s">
        <v>14</v>
      </c>
      <c r="U11" s="702" t="e">
        <f t="shared" si="1"/>
        <v>#N/A</v>
      </c>
      <c r="V11" s="701" t="s">
        <v>14</v>
      </c>
      <c r="W11" s="702" t="e">
        <f t="shared" si="2"/>
        <v>#N/A</v>
      </c>
      <c r="X11" s="703"/>
      <c r="Y11" s="360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40"/>
      <c r="Q12" s="1343">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40"/>
      <c r="Q13" s="1343">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40"/>
      <c r="Q14" s="1343">
        <f t="shared" si="6"/>
        <v>111</v>
      </c>
      <c r="R14" s="701" t="s">
        <v>14</v>
      </c>
      <c r="S14" s="702">
        <f t="shared" si="0"/>
        <v>100</v>
      </c>
      <c r="T14" s="701" t="s">
        <v>14</v>
      </c>
      <c r="U14" s="702">
        <f t="shared" si="1"/>
        <v>100</v>
      </c>
      <c r="V14" s="701" t="s">
        <v>14</v>
      </c>
      <c r="W14" s="702">
        <f t="shared" si="2"/>
        <v>100</v>
      </c>
      <c r="X14" s="703"/>
      <c r="Y14" s="3604"/>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8" t="s">
        <v>1690</v>
      </c>
      <c r="Q15" s="1352" t="str">
        <f t="shared" si="6"/>
        <v>商业繁华度</v>
      </c>
      <c r="R15" s="705" t="s">
        <v>14</v>
      </c>
      <c r="S15" s="706">
        <f t="shared" si="0"/>
        <v>100</v>
      </c>
      <c r="T15" s="705" t="s">
        <v>14</v>
      </c>
      <c r="U15" s="706">
        <f t="shared" si="1"/>
        <v>100</v>
      </c>
      <c r="V15" s="705" t="s">
        <v>14</v>
      </c>
      <c r="W15" s="706">
        <f t="shared" si="2"/>
        <v>100</v>
      </c>
      <c r="X15" s="1355"/>
      <c r="Y15" s="3731"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39"/>
      <c r="Q16" s="1352"/>
      <c r="R16" s="705"/>
      <c r="S16" s="706"/>
      <c r="T16" s="705"/>
      <c r="U16" s="706"/>
      <c r="V16" s="705"/>
      <c r="W16" s="706"/>
      <c r="X16" s="1355"/>
      <c r="Y16" s="3732"/>
      <c r="Z16" s="1356"/>
      <c r="AA16" s="1353">
        <v>1</v>
      </c>
      <c r="AB16" s="1353">
        <v>1</v>
      </c>
      <c r="AC16" s="13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0"/>
      <c r="M18" s="2714"/>
      <c r="N18" s="2714"/>
      <c r="O18" s="2714"/>
      <c r="P18" s="3739"/>
      <c r="Q18" s="1352"/>
      <c r="R18" s="705"/>
      <c r="S18" s="706"/>
      <c r="T18" s="705"/>
      <c r="U18" s="706"/>
      <c r="V18" s="705"/>
      <c r="W18" s="706"/>
      <c r="X18" s="1355"/>
      <c r="Y18" s="3732"/>
      <c r="Z18" s="1356"/>
      <c r="AA18" s="1353">
        <v>1</v>
      </c>
      <c r="AB18" s="1353">
        <v>1</v>
      </c>
      <c r="AC18" s="1353">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0"/>
      <c r="M20" s="2714"/>
      <c r="N20" s="2714"/>
      <c r="O20" s="2714"/>
      <c r="P20" s="3739"/>
      <c r="Q20" s="1352"/>
      <c r="R20" s="705"/>
      <c r="S20" s="706"/>
      <c r="T20" s="705"/>
      <c r="U20" s="706"/>
      <c r="V20" s="705"/>
      <c r="W20" s="706"/>
      <c r="X20" s="1355"/>
      <c r="Y20" s="3732"/>
      <c r="Z20" s="1356"/>
      <c r="AA20" s="1353">
        <v>1</v>
      </c>
      <c r="AB20" s="1353">
        <v>1</v>
      </c>
      <c r="AC20" s="1353">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0"/>
      <c r="M22" s="2714"/>
      <c r="N22" s="2714"/>
      <c r="O22" s="2714"/>
      <c r="P22" s="3739"/>
      <c r="Q22" s="1352"/>
      <c r="R22" s="705"/>
      <c r="S22" s="706"/>
      <c r="T22" s="705"/>
      <c r="U22" s="706"/>
      <c r="V22" s="705"/>
      <c r="W22" s="706"/>
      <c r="X22" s="1355"/>
      <c r="Y22" s="3732"/>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9"/>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0"/>
      <c r="M24" s="2714"/>
      <c r="N24" s="2714"/>
      <c r="O24" s="2714"/>
      <c r="P24" s="3739"/>
      <c r="Q24" s="1352"/>
      <c r="R24" s="705"/>
      <c r="S24" s="706"/>
      <c r="T24" s="705"/>
      <c r="U24" s="706"/>
      <c r="V24" s="705"/>
      <c r="W24" s="706"/>
      <c r="X24" s="1355"/>
      <c r="Y24" s="3732"/>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9"/>
      <c r="Q25" s="1352" t="str">
        <f t="shared" ref="Q25:Q46" si="11">B25</f>
        <v>临街状况</v>
      </c>
      <c r="R25" s="705" t="s">
        <v>14</v>
      </c>
      <c r="S25" s="706">
        <f>F25</f>
        <v>100</v>
      </c>
      <c r="T25" s="705" t="s">
        <v>14</v>
      </c>
      <c r="U25" s="706">
        <f>H25</f>
        <v>100</v>
      </c>
      <c r="V25" s="705" t="s">
        <v>14</v>
      </c>
      <c r="W25" s="706">
        <f>J25</f>
        <v>100</v>
      </c>
      <c r="X25" s="1355"/>
      <c r="Y25" s="3732"/>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9"/>
      <c r="Q26" s="1352" t="str">
        <f t="shared" si="11"/>
        <v>平面位置/可视性</v>
      </c>
      <c r="R26" s="705" t="s">
        <v>14</v>
      </c>
      <c r="S26" s="706">
        <f>F26</f>
        <v>100</v>
      </c>
      <c r="T26" s="705" t="s">
        <v>14</v>
      </c>
      <c r="U26" s="706">
        <f>H26</f>
        <v>100</v>
      </c>
      <c r="V26" s="705" t="s">
        <v>14</v>
      </c>
      <c r="W26" s="706">
        <f>J26</f>
        <v>100</v>
      </c>
      <c r="X26" s="1355"/>
      <c r="Y26" s="3732"/>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39"/>
      <c r="Q27" s="1343" t="str">
        <f t="shared" si="11"/>
        <v>人流量</v>
      </c>
      <c r="R27" s="701" t="s">
        <v>14</v>
      </c>
      <c r="S27" s="702">
        <f>F27</f>
        <v>100</v>
      </c>
      <c r="T27" s="701" t="s">
        <v>14</v>
      </c>
      <c r="U27" s="702">
        <f>H27</f>
        <v>100</v>
      </c>
      <c r="V27" s="701" t="s">
        <v>14</v>
      </c>
      <c r="W27" s="702">
        <f>J27</f>
        <v>100</v>
      </c>
      <c r="X27" s="703"/>
      <c r="Y27" s="3732"/>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9"/>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33" t="s">
        <v>1695</v>
      </c>
      <c r="Q32" s="1352" t="str">
        <f t="shared" si="11"/>
        <v>商业类型</v>
      </c>
      <c r="R32" s="705" t="s">
        <v>14</v>
      </c>
      <c r="S32" s="706">
        <f t="shared" si="12"/>
        <v>100</v>
      </c>
      <c r="T32" s="705" t="s">
        <v>14</v>
      </c>
      <c r="U32" s="706">
        <f t="shared" si="13"/>
        <v>100</v>
      </c>
      <c r="V32" s="705" t="s">
        <v>14</v>
      </c>
      <c r="W32" s="706">
        <f t="shared" si="14"/>
        <v>100</v>
      </c>
      <c r="X32" s="1355"/>
      <c r="Y32" s="3736"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4"/>
      <c r="Q33" s="707" t="str">
        <f t="shared" si="11"/>
        <v>项目建筑规模</v>
      </c>
      <c r="R33" s="708" t="s">
        <v>14</v>
      </c>
      <c r="S33" s="709" t="e">
        <f t="shared" si="12"/>
        <v>#N/A</v>
      </c>
      <c r="T33" s="708" t="s">
        <v>14</v>
      </c>
      <c r="U33" s="709" t="e">
        <f t="shared" si="13"/>
        <v>#N/A</v>
      </c>
      <c r="V33" s="708" t="s">
        <v>14</v>
      </c>
      <c r="W33" s="709" t="e">
        <f t="shared" si="14"/>
        <v>#N/A</v>
      </c>
      <c r="X33" s="710"/>
      <c r="Y33" s="3736"/>
      <c r="Z33" s="711" t="str">
        <f t="shared" si="15"/>
        <v>项目建筑规模</v>
      </c>
      <c r="AA33" s="1353" t="e">
        <f t="shared" si="3"/>
        <v>#N/A</v>
      </c>
      <c r="AB33" s="1353" t="e">
        <f t="shared" si="4"/>
        <v>#N/A</v>
      </c>
      <c r="AC33" s="1353"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4"/>
      <c r="Q36" s="1352" t="str">
        <f t="shared" si="11"/>
        <v>成新度</v>
      </c>
      <c r="R36" s="705" t="s">
        <v>14</v>
      </c>
      <c r="S36" s="706" t="e">
        <f t="shared" si="12"/>
        <v>#N/A</v>
      </c>
      <c r="T36" s="705" t="s">
        <v>14</v>
      </c>
      <c r="U36" s="706" t="e">
        <f t="shared" si="13"/>
        <v>#N/A</v>
      </c>
      <c r="V36" s="705" t="s">
        <v>14</v>
      </c>
      <c r="W36" s="706" t="e">
        <f t="shared" si="14"/>
        <v>#N/A</v>
      </c>
      <c r="X36" s="1355"/>
      <c r="Y36" s="3736"/>
      <c r="Z36" s="1356" t="str">
        <f t="shared" si="15"/>
        <v>成新度</v>
      </c>
      <c r="AA36" s="1353" t="e">
        <f t="shared" si="3"/>
        <v>#N/A</v>
      </c>
      <c r="AB36" s="1353" t="e">
        <f t="shared" si="4"/>
        <v>#N/A</v>
      </c>
      <c r="AC36" s="1353"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34" t="s">
        <v>1695</v>
      </c>
      <c r="Q38" s="1352" t="str">
        <f t="shared" si="11"/>
        <v>业态</v>
      </c>
      <c r="R38" s="705" t="s">
        <v>14</v>
      </c>
      <c r="S38" s="706">
        <f t="shared" si="12"/>
        <v>100</v>
      </c>
      <c r="T38" s="705" t="s">
        <v>14</v>
      </c>
      <c r="U38" s="706">
        <f t="shared" si="13"/>
        <v>100</v>
      </c>
      <c r="V38" s="705" t="s">
        <v>14</v>
      </c>
      <c r="W38" s="706">
        <f t="shared" si="14"/>
        <v>100</v>
      </c>
      <c r="X38" s="1355"/>
      <c r="Y38" s="3736" t="s">
        <v>1695</v>
      </c>
      <c r="Z38" s="1356" t="str">
        <f t="shared" si="15"/>
        <v>业态</v>
      </c>
      <c r="AA38" s="1353">
        <f t="shared" si="3"/>
        <v>1</v>
      </c>
      <c r="AB38" s="1353">
        <f t="shared" si="4"/>
        <v>1</v>
      </c>
      <c r="AC38" s="1353">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34"/>
      <c r="Q39" s="1352" t="str">
        <f t="shared" si="11"/>
        <v>层高</v>
      </c>
      <c r="R39" s="705" t="s">
        <v>14</v>
      </c>
      <c r="S39" s="706">
        <f t="shared" si="12"/>
        <v>100</v>
      </c>
      <c r="T39" s="705" t="s">
        <v>14</v>
      </c>
      <c r="U39" s="706">
        <f t="shared" si="13"/>
        <v>100</v>
      </c>
      <c r="V39" s="705" t="s">
        <v>14</v>
      </c>
      <c r="W39" s="706">
        <f t="shared" si="14"/>
        <v>100</v>
      </c>
      <c r="X39" s="1355"/>
      <c r="Y39" s="3736"/>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4"/>
      <c r="Q44" s="1343">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729" t="str">
        <f>A47</f>
        <v>成交单价（元/平方米）</v>
      </c>
      <c r="Q47" s="3729"/>
      <c r="R47" s="3760">
        <f>E47</f>
        <v>0</v>
      </c>
      <c r="S47" s="3760"/>
      <c r="T47" s="3760">
        <f>G47</f>
        <v>0</v>
      </c>
      <c r="U47" s="3760"/>
      <c r="V47" s="3760">
        <f>I47</f>
        <v>0</v>
      </c>
      <c r="W47" s="3760"/>
      <c r="X47" s="690"/>
      <c r="Y47" s="712"/>
      <c r="Z47" s="690"/>
      <c r="AA47" s="690"/>
      <c r="AB47" s="690"/>
      <c r="AC47" s="690"/>
    </row>
    <row r="48" spans="1:29" ht="15.75" thickBot="1">
      <c r="A48" s="437" t="s">
        <v>1792</v>
      </c>
      <c r="B48" s="438"/>
      <c r="C48" s="1160" t="e">
        <f>R49</f>
        <v>#DIV/0!</v>
      </c>
      <c r="D48" s="2316" t="s">
        <v>2137</v>
      </c>
      <c r="E48" s="1161" t="e">
        <f>R48</f>
        <v>#DIV/0!</v>
      </c>
      <c r="F48" s="2317"/>
      <c r="G48" s="1160" t="e">
        <f>T48</f>
        <v>#DIV/0!</v>
      </c>
      <c r="H48" s="2317"/>
      <c r="I48" s="1161" t="e">
        <f>V48</f>
        <v>#DIV/0!</v>
      </c>
      <c r="J48" s="2317"/>
      <c r="K48" s="2319">
        <f>F48+H48+J48</f>
        <v>0</v>
      </c>
      <c r="L48" s="2722"/>
      <c r="M48" s="2723"/>
      <c r="N48" s="2714"/>
      <c r="O48" s="2723"/>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1809</v>
      </c>
      <c r="C1" s="1224" t="s">
        <v>1661</v>
      </c>
      <c r="D1" s="1225"/>
      <c r="E1" s="3431"/>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35184.699999999997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44" t="s">
        <v>1769</v>
      </c>
      <c r="D4" s="3745"/>
      <c r="E4" s="3746" t="s">
        <v>1770</v>
      </c>
      <c r="F4" s="3747"/>
      <c r="G4" s="3744" t="s">
        <v>1771</v>
      </c>
      <c r="H4" s="3745"/>
      <c r="I4" s="3744" t="s">
        <v>1772</v>
      </c>
      <c r="J4" s="3745"/>
      <c r="K4" s="559" t="s">
        <v>1773</v>
      </c>
      <c r="L4" s="2713"/>
      <c r="M4" s="2714"/>
      <c r="N4" s="2714"/>
      <c r="O4" s="2714"/>
      <c r="P4" s="3778" t="s">
        <v>1774</v>
      </c>
      <c r="Q4" s="3779"/>
      <c r="R4" s="3782" t="s">
        <v>1770</v>
      </c>
      <c r="S4" s="3783"/>
      <c r="T4" s="3782" t="s">
        <v>1771</v>
      </c>
      <c r="U4" s="3783"/>
      <c r="V4" s="3784" t="s">
        <v>1772</v>
      </c>
      <c r="W4" s="3784"/>
      <c r="X4" s="1957"/>
      <c r="Y4" s="3782" t="s">
        <v>1774</v>
      </c>
      <c r="Z4" s="3783"/>
      <c r="AA4" s="3786" t="s">
        <v>1770</v>
      </c>
      <c r="AB4" s="3786" t="s">
        <v>1771</v>
      </c>
      <c r="AC4" s="3775" t="s">
        <v>1772</v>
      </c>
    </row>
    <row r="5" spans="1:29" ht="15">
      <c r="A5" s="358"/>
      <c r="B5" s="359"/>
      <c r="C5" s="3763" t="s">
        <v>1672</v>
      </c>
      <c r="D5" s="3764"/>
      <c r="E5" s="3770" t="s">
        <v>1673</v>
      </c>
      <c r="F5" s="3771"/>
      <c r="G5" s="3763" t="s">
        <v>1674</v>
      </c>
      <c r="H5" s="3764"/>
      <c r="I5" s="3763" t="s">
        <v>1675</v>
      </c>
      <c r="J5" s="3764"/>
      <c r="K5" s="559"/>
      <c r="L5" s="2713"/>
      <c r="M5" s="2714"/>
      <c r="N5" s="2714"/>
      <c r="O5" s="2714"/>
      <c r="P5" s="3780"/>
      <c r="Q5" s="3751"/>
      <c r="R5" s="3756"/>
      <c r="S5" s="3757"/>
      <c r="T5" s="3756"/>
      <c r="U5" s="3757"/>
      <c r="V5" s="3760"/>
      <c r="W5" s="3760"/>
      <c r="X5" s="1355"/>
      <c r="Y5" s="3756"/>
      <c r="Z5" s="3757"/>
      <c r="AA5" s="3742"/>
      <c r="AB5" s="3742"/>
      <c r="AC5" s="3776"/>
    </row>
    <row r="6" spans="1:29" ht="15.75" thickBot="1">
      <c r="A6" s="360"/>
      <c r="B6" s="361"/>
      <c r="C6" s="3761" t="s">
        <v>1676</v>
      </c>
      <c r="D6" s="3762"/>
      <c r="E6" s="3768" t="s">
        <v>1676</v>
      </c>
      <c r="F6" s="3769"/>
      <c r="G6" s="3761" t="s">
        <v>1676</v>
      </c>
      <c r="H6" s="3762"/>
      <c r="I6" s="3761" t="s">
        <v>1676</v>
      </c>
      <c r="J6" s="3762"/>
      <c r="K6" s="559" t="s">
        <v>1677</v>
      </c>
      <c r="L6" s="2713"/>
      <c r="M6" s="2714"/>
      <c r="N6" s="2714"/>
      <c r="O6" s="2714"/>
      <c r="P6" s="3781"/>
      <c r="Q6" s="3753"/>
      <c r="R6" s="3756"/>
      <c r="S6" s="3757"/>
      <c r="T6" s="3758"/>
      <c r="U6" s="3759"/>
      <c r="V6" s="3760"/>
      <c r="W6" s="3760"/>
      <c r="X6" s="1355"/>
      <c r="Y6" s="3758"/>
      <c r="Z6" s="3759"/>
      <c r="AA6" s="3743"/>
      <c r="AB6" s="3743"/>
      <c r="AC6" s="3777"/>
    </row>
    <row r="7" spans="1:29" s="108" customFormat="1" ht="15.75" thickBot="1">
      <c r="A7" s="362" t="s">
        <v>1678</v>
      </c>
      <c r="B7" s="363"/>
      <c r="C7" s="364">
        <f>'数据-取费表'!B2</f>
        <v>45348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85" t="s">
        <v>1679</v>
      </c>
      <c r="Q7" s="3767"/>
      <c r="R7" s="701" t="s">
        <v>14</v>
      </c>
      <c r="S7" s="702">
        <f t="shared" ref="S7:S15" si="0">F7</f>
        <v>0</v>
      </c>
      <c r="T7" s="701" t="s">
        <v>14</v>
      </c>
      <c r="U7" s="702">
        <f t="shared" ref="U7:U15" si="1">H7</f>
        <v>0</v>
      </c>
      <c r="V7" s="701" t="s">
        <v>14</v>
      </c>
      <c r="W7" s="702">
        <f t="shared" ref="W7:W15" si="2">J7</f>
        <v>0</v>
      </c>
      <c r="X7" s="703"/>
      <c r="Y7" s="3765" t="s">
        <v>1679</v>
      </c>
      <c r="Z7" s="3766"/>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85" t="s">
        <v>1682</v>
      </c>
      <c r="Q8" s="3766"/>
      <c r="R8" s="701" t="s">
        <v>14</v>
      </c>
      <c r="S8" s="702">
        <f t="shared" si="0"/>
        <v>100</v>
      </c>
      <c r="T8" s="701" t="s">
        <v>14</v>
      </c>
      <c r="U8" s="702">
        <f t="shared" si="1"/>
        <v>100</v>
      </c>
      <c r="V8" s="701" t="s">
        <v>14</v>
      </c>
      <c r="W8" s="702">
        <f t="shared" si="2"/>
        <v>100</v>
      </c>
      <c r="X8" s="703"/>
      <c r="Y8" s="3765" t="s">
        <v>1682</v>
      </c>
      <c r="Z8" s="3766"/>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40" t="s">
        <v>1685</v>
      </c>
      <c r="Q9" s="1343" t="str">
        <f t="shared" ref="Q9:Q15" si="6">B9</f>
        <v>用途</v>
      </c>
      <c r="R9" s="701" t="s">
        <v>14</v>
      </c>
      <c r="S9" s="702">
        <f t="shared" si="0"/>
        <v>100</v>
      </c>
      <c r="T9" s="701" t="s">
        <v>14</v>
      </c>
      <c r="U9" s="702">
        <f t="shared" si="1"/>
        <v>100</v>
      </c>
      <c r="V9" s="701" t="s">
        <v>14</v>
      </c>
      <c r="W9" s="702">
        <f t="shared" si="2"/>
        <v>100</v>
      </c>
      <c r="X9" s="703"/>
      <c r="Y9" s="3604" t="s">
        <v>1686</v>
      </c>
      <c r="Z9" s="52" t="str">
        <f t="shared" ref="Z9:Z15" si="7">Q9</f>
        <v>用途</v>
      </c>
      <c r="AA9" s="704">
        <f t="shared" si="3"/>
        <v>1</v>
      </c>
      <c r="AB9" s="704">
        <f t="shared" si="4"/>
        <v>1</v>
      </c>
      <c r="AC9" s="1958">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40"/>
      <c r="Q10" s="1343"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40"/>
      <c r="Q11" s="1343" t="str">
        <f t="shared" si="6"/>
        <v>容积率</v>
      </c>
      <c r="R11" s="701" t="s">
        <v>14</v>
      </c>
      <c r="S11" s="702">
        <f t="shared" si="0"/>
        <v>100</v>
      </c>
      <c r="T11" s="701" t="s">
        <v>14</v>
      </c>
      <c r="U11" s="702">
        <f t="shared" si="1"/>
        <v>100</v>
      </c>
      <c r="V11" s="701" t="s">
        <v>14</v>
      </c>
      <c r="W11" s="702">
        <f t="shared" si="2"/>
        <v>100</v>
      </c>
      <c r="X11" s="703"/>
      <c r="Y11" s="3604"/>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40"/>
      <c r="Q12" s="1343">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40"/>
      <c r="Q13" s="1343">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40"/>
      <c r="Q14" s="1343">
        <f t="shared" si="6"/>
        <v>111</v>
      </c>
      <c r="R14" s="701" t="s">
        <v>14</v>
      </c>
      <c r="S14" s="702">
        <f t="shared" si="0"/>
        <v>100</v>
      </c>
      <c r="T14" s="701" t="s">
        <v>14</v>
      </c>
      <c r="U14" s="702">
        <f t="shared" si="1"/>
        <v>100</v>
      </c>
      <c r="V14" s="701" t="s">
        <v>14</v>
      </c>
      <c r="W14" s="702">
        <f t="shared" si="2"/>
        <v>100</v>
      </c>
      <c r="X14" s="703"/>
      <c r="Y14" s="3604"/>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8" t="s">
        <v>1690</v>
      </c>
      <c r="Q15" s="1352" t="str">
        <f t="shared" si="6"/>
        <v>办公集聚程度</v>
      </c>
      <c r="R15" s="705" t="s">
        <v>14</v>
      </c>
      <c r="S15" s="706">
        <f t="shared" si="0"/>
        <v>100</v>
      </c>
      <c r="T15" s="705" t="s">
        <v>14</v>
      </c>
      <c r="U15" s="706">
        <f t="shared" si="1"/>
        <v>100</v>
      </c>
      <c r="V15" s="705" t="s">
        <v>14</v>
      </c>
      <c r="W15" s="706">
        <f t="shared" si="2"/>
        <v>100</v>
      </c>
      <c r="X15" s="1355"/>
      <c r="Y15" s="3731" t="s">
        <v>1690</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0"/>
      <c r="M16" s="2714"/>
      <c r="N16" s="2714"/>
      <c r="O16" s="2714"/>
      <c r="P16" s="3739"/>
      <c r="Q16" s="1352"/>
      <c r="R16" s="705"/>
      <c r="S16" s="706"/>
      <c r="T16" s="705"/>
      <c r="U16" s="706"/>
      <c r="V16" s="705"/>
      <c r="W16" s="706"/>
      <c r="X16" s="1355"/>
      <c r="Y16" s="3732"/>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0"/>
      <c r="M18" s="2714"/>
      <c r="N18" s="2714"/>
      <c r="O18" s="2714"/>
      <c r="P18" s="3739"/>
      <c r="Q18" s="1352"/>
      <c r="R18" s="705"/>
      <c r="S18" s="706"/>
      <c r="T18" s="705"/>
      <c r="U18" s="706"/>
      <c r="V18" s="705"/>
      <c r="W18" s="706"/>
      <c r="X18" s="1355"/>
      <c r="Y18" s="3732"/>
      <c r="Z18" s="1356"/>
      <c r="AA18" s="1353">
        <v>1</v>
      </c>
      <c r="AB18" s="1353">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0"/>
      <c r="M20" s="2714"/>
      <c r="N20" s="2714"/>
      <c r="O20" s="2714"/>
      <c r="P20" s="3739"/>
      <c r="Q20" s="1352"/>
      <c r="R20" s="705"/>
      <c r="S20" s="706"/>
      <c r="T20" s="705"/>
      <c r="U20" s="706"/>
      <c r="V20" s="705"/>
      <c r="W20" s="706"/>
      <c r="X20" s="1355"/>
      <c r="Y20" s="3732"/>
      <c r="Z20" s="1356"/>
      <c r="AA20" s="1353">
        <v>1</v>
      </c>
      <c r="AB20" s="1353">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39"/>
      <c r="Q22" s="1352"/>
      <c r="R22" s="705"/>
      <c r="S22" s="706"/>
      <c r="T22" s="705"/>
      <c r="U22" s="706"/>
      <c r="V22" s="705"/>
      <c r="W22" s="706"/>
      <c r="X22" s="1355"/>
      <c r="Y22" s="3732"/>
      <c r="Z22" s="1356"/>
      <c r="AA22" s="1353">
        <v>1</v>
      </c>
      <c r="AB22" s="1353">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9"/>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0"/>
      <c r="M24" s="2714"/>
      <c r="N24" s="2714"/>
      <c r="O24" s="2714"/>
      <c r="P24" s="3739"/>
      <c r="Q24" s="1352"/>
      <c r="R24" s="705"/>
      <c r="S24" s="706"/>
      <c r="T24" s="705"/>
      <c r="U24" s="706"/>
      <c r="V24" s="705"/>
      <c r="W24" s="706"/>
      <c r="X24" s="1355"/>
      <c r="Y24" s="3732"/>
      <c r="Z24" s="1356"/>
      <c r="AA24" s="1353">
        <v>1</v>
      </c>
      <c r="AB24" s="1353">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39"/>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739"/>
      <c r="Q26" s="1352"/>
      <c r="R26" s="705"/>
      <c r="S26" s="706"/>
      <c r="T26" s="705"/>
      <c r="U26" s="706"/>
      <c r="V26" s="705"/>
      <c r="W26" s="706"/>
      <c r="X26" s="1355"/>
      <c r="Y26" s="3732"/>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9"/>
      <c r="Q27" s="1352" t="str">
        <f t="shared" ref="Q27:Q47" si="11">B27</f>
        <v>楼层</v>
      </c>
      <c r="R27" s="705" t="s">
        <v>14</v>
      </c>
      <c r="S27" s="706">
        <f>F27</f>
        <v>100</v>
      </c>
      <c r="T27" s="705" t="s">
        <v>14</v>
      </c>
      <c r="U27" s="706">
        <f>H27</f>
        <v>100</v>
      </c>
      <c r="V27" s="705" t="s">
        <v>14</v>
      </c>
      <c r="W27" s="706">
        <f>J27</f>
        <v>100</v>
      </c>
      <c r="X27" s="1355"/>
      <c r="Y27" s="3732"/>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39"/>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39"/>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39"/>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33" t="s">
        <v>1695</v>
      </c>
      <c r="Q33" s="1352" t="str">
        <f t="shared" si="11"/>
        <v>建筑类型</v>
      </c>
      <c r="R33" s="705" t="s">
        <v>14</v>
      </c>
      <c r="S33" s="706">
        <f t="shared" si="12"/>
        <v>100</v>
      </c>
      <c r="T33" s="705" t="s">
        <v>14</v>
      </c>
      <c r="U33" s="706">
        <f t="shared" si="13"/>
        <v>100</v>
      </c>
      <c r="V33" s="705" t="s">
        <v>14</v>
      </c>
      <c r="W33" s="706">
        <f t="shared" si="14"/>
        <v>100</v>
      </c>
      <c r="X33" s="1355"/>
      <c r="Y33" s="3736"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4"/>
      <c r="Q34" s="707" t="str">
        <f t="shared" si="11"/>
        <v>项目建筑规模</v>
      </c>
      <c r="R34" s="708" t="s">
        <v>14</v>
      </c>
      <c r="S34" s="709" t="e">
        <f t="shared" si="12"/>
        <v>#N/A</v>
      </c>
      <c r="T34" s="708" t="s">
        <v>14</v>
      </c>
      <c r="U34" s="709" t="e">
        <f t="shared" si="13"/>
        <v>#N/A</v>
      </c>
      <c r="V34" s="708" t="s">
        <v>14</v>
      </c>
      <c r="W34" s="709" t="e">
        <f t="shared" si="14"/>
        <v>#N/A</v>
      </c>
      <c r="X34" s="710"/>
      <c r="Y34" s="3736"/>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4"/>
      <c r="Q37" s="1352" t="str">
        <f t="shared" si="11"/>
        <v>成新度</v>
      </c>
      <c r="R37" s="705" t="s">
        <v>14</v>
      </c>
      <c r="S37" s="706" t="e">
        <f t="shared" si="12"/>
        <v>#N/A</v>
      </c>
      <c r="T37" s="705" t="s">
        <v>14</v>
      </c>
      <c r="U37" s="706" t="e">
        <f t="shared" si="13"/>
        <v>#N/A</v>
      </c>
      <c r="V37" s="705" t="s">
        <v>14</v>
      </c>
      <c r="W37" s="706" t="e">
        <f t="shared" si="14"/>
        <v>#N/A</v>
      </c>
      <c r="X37" s="1355"/>
      <c r="Y37" s="3736"/>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4" t="s">
        <v>1695</v>
      </c>
      <c r="Q39" s="1352" t="str">
        <f t="shared" si="11"/>
        <v>物业管理</v>
      </c>
      <c r="R39" s="705" t="s">
        <v>14</v>
      </c>
      <c r="S39" s="706">
        <f t="shared" si="12"/>
        <v>100</v>
      </c>
      <c r="T39" s="705" t="s">
        <v>14</v>
      </c>
      <c r="U39" s="706">
        <f t="shared" si="13"/>
        <v>100</v>
      </c>
      <c r="V39" s="705" t="s">
        <v>14</v>
      </c>
      <c r="W39" s="706">
        <f t="shared" si="14"/>
        <v>100</v>
      </c>
      <c r="X39" s="1355"/>
      <c r="Y39" s="3736"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4"/>
      <c r="Q43" s="1352" t="str">
        <f t="shared" si="11"/>
        <v>内部装修</v>
      </c>
      <c r="R43" s="705" t="s">
        <v>14</v>
      </c>
      <c r="S43" s="706">
        <f t="shared" si="12"/>
        <v>100</v>
      </c>
      <c r="T43" s="705" t="s">
        <v>14</v>
      </c>
      <c r="U43" s="706">
        <f t="shared" si="13"/>
        <v>100</v>
      </c>
      <c r="V43" s="705" t="s">
        <v>14</v>
      </c>
      <c r="W43" s="706">
        <f t="shared" si="14"/>
        <v>100</v>
      </c>
      <c r="X43" s="1355"/>
      <c r="Y43" s="3736"/>
      <c r="Z43" s="1356" t="str">
        <f t="shared" si="15"/>
        <v>内部装修</v>
      </c>
      <c r="AA43" s="1353">
        <f t="shared" si="3"/>
        <v>1</v>
      </c>
      <c r="AB43" s="1353">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1">
        <f t="shared" si="5"/>
        <v>1</v>
      </c>
    </row>
    <row r="48" spans="1:29" ht="15">
      <c r="A48" s="430" t="s">
        <v>1707</v>
      </c>
      <c r="B48" s="431"/>
      <c r="C48" s="1154" t="s">
        <v>0</v>
      </c>
      <c r="D48" s="1155"/>
      <c r="E48" s="1156"/>
      <c r="F48" s="1157"/>
      <c r="G48" s="1158"/>
      <c r="H48" s="1159"/>
      <c r="I48" s="1156"/>
      <c r="J48" s="436"/>
      <c r="K48" s="714"/>
      <c r="L48" s="2722"/>
      <c r="M48" s="2714"/>
      <c r="N48" s="2714"/>
      <c r="O48" s="2714"/>
      <c r="P48" s="3740" t="str">
        <f>A48</f>
        <v>成交单价（元/平方米）</v>
      </c>
      <c r="Q48" s="3729"/>
      <c r="R48" s="3730">
        <f>E48</f>
        <v>0</v>
      </c>
      <c r="S48" s="3730"/>
      <c r="T48" s="3730">
        <f>G48</f>
        <v>0</v>
      </c>
      <c r="U48" s="3730"/>
      <c r="V48" s="3730">
        <f>I48</f>
        <v>0</v>
      </c>
      <c r="W48" s="3730"/>
      <c r="X48" s="397"/>
      <c r="Y48" s="712"/>
      <c r="Z48" s="397"/>
      <c r="AA48" s="397"/>
      <c r="AB48" s="397"/>
      <c r="AC48" s="578"/>
    </row>
    <row r="49" spans="1:29" ht="15.75" thickBot="1">
      <c r="A49" s="437" t="s">
        <v>1792</v>
      </c>
      <c r="B49" s="438"/>
      <c r="C49" s="1160" t="e">
        <f>R50</f>
        <v>#DIV/0!</v>
      </c>
      <c r="D49" s="2316" t="s">
        <v>2137</v>
      </c>
      <c r="E49" s="1161" t="e">
        <f>R49</f>
        <v>#DIV/0!</v>
      </c>
      <c r="F49" s="2317"/>
      <c r="G49" s="1160" t="e">
        <f>T49</f>
        <v>#DIV/0!</v>
      </c>
      <c r="H49" s="2317"/>
      <c r="I49" s="1161" t="e">
        <f>V49</f>
        <v>#DIV/0!</v>
      </c>
      <c r="J49" s="2317"/>
      <c r="K49" s="2319">
        <f>F49+H49+J49</f>
        <v>0</v>
      </c>
      <c r="L49" s="2722"/>
      <c r="M49" s="2714"/>
      <c r="N49" s="2714"/>
      <c r="O49" s="2714"/>
      <c r="P49" s="3740"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72" t="str">
        <f>A50</f>
        <v>估价对象XX用房的比较价值（楼面单价，元/平方米）</v>
      </c>
      <c r="Q50" s="3773"/>
      <c r="R50" s="3774" t="e">
        <f>IF(F1="售价",ROUND(IF(D49="简单平均",AVERAGE(R49:V49),R49*F49+T49*H49+V49*J49),0),ROUND(IF(D49="简单平均",AVERAGE(R49:V49),R49*F49+T49*H49+V49*J49),1))</f>
        <v>#DIV/0!</v>
      </c>
      <c r="S50" s="3774"/>
      <c r="T50" s="3774"/>
      <c r="U50" s="3774"/>
      <c r="V50" s="3774"/>
      <c r="W50" s="3774"/>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受贵公司委托，我公司对北京市朝阳区朝外大街乙12号房地产抵押价值进行了预评估。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估价对象为北京市朝阳区朝外大街乙12号房地产，为所有。根据《国有土地使用证》[]，估价对象（分摊）出让国有建设用地使用权面积为0平方米，建筑面积为35184.7平方米。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估价对象为北京市朝阳区朝外大街乙12号房地产,属开发建设的，该项目尚在开发建设中。根据《国有土地使用证》[]，估价对象（分摊）出让国有建设用地使用权面积为0平方米，规划建筑面积为35184.7平方米。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1825</v>
      </c>
      <c r="C1" s="1224" t="s">
        <v>1661</v>
      </c>
      <c r="D1" s="1225"/>
      <c r="E1" s="3431"/>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35184.699999999997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44" t="s">
        <v>1769</v>
      </c>
      <c r="D4" s="3745"/>
      <c r="E4" s="3746" t="s">
        <v>1770</v>
      </c>
      <c r="F4" s="3747"/>
      <c r="G4" s="3744" t="s">
        <v>1771</v>
      </c>
      <c r="H4" s="3745"/>
      <c r="I4" s="3744" t="s">
        <v>1772</v>
      </c>
      <c r="J4" s="3745"/>
      <c r="K4" s="559" t="s">
        <v>1773</v>
      </c>
      <c r="L4" s="913"/>
      <c r="M4" s="914"/>
      <c r="N4" s="914"/>
      <c r="O4" s="914"/>
      <c r="P4" s="3748" t="s">
        <v>1774</v>
      </c>
      <c r="Q4" s="3749"/>
      <c r="R4" s="3754" t="s">
        <v>1770</v>
      </c>
      <c r="S4" s="3755"/>
      <c r="T4" s="3754" t="s">
        <v>1771</v>
      </c>
      <c r="U4" s="3755"/>
      <c r="V4" s="3760" t="s">
        <v>1772</v>
      </c>
      <c r="W4" s="3760"/>
      <c r="X4" s="1355"/>
      <c r="Y4" s="3754" t="s">
        <v>1774</v>
      </c>
      <c r="Z4" s="3755"/>
      <c r="AA4" s="3741" t="s">
        <v>1770</v>
      </c>
      <c r="AB4" s="3742" t="s">
        <v>1771</v>
      </c>
      <c r="AC4" s="3741" t="s">
        <v>1772</v>
      </c>
    </row>
    <row r="5" spans="1:29" ht="15">
      <c r="A5" s="358"/>
      <c r="B5" s="359"/>
      <c r="C5" s="3763" t="s">
        <v>1672</v>
      </c>
      <c r="D5" s="3764"/>
      <c r="E5" s="3770" t="s">
        <v>1673</v>
      </c>
      <c r="F5" s="3771"/>
      <c r="G5" s="3763" t="s">
        <v>1674</v>
      </c>
      <c r="H5" s="3764"/>
      <c r="I5" s="3763" t="s">
        <v>1675</v>
      </c>
      <c r="J5" s="3764"/>
      <c r="K5" s="559"/>
      <c r="L5" s="913"/>
      <c r="M5" s="914"/>
      <c r="N5" s="914"/>
      <c r="O5" s="914"/>
      <c r="P5" s="3750"/>
      <c r="Q5" s="3751"/>
      <c r="R5" s="3756"/>
      <c r="S5" s="3757"/>
      <c r="T5" s="3756"/>
      <c r="U5" s="3757"/>
      <c r="V5" s="3760"/>
      <c r="W5" s="3760"/>
      <c r="X5" s="1355"/>
      <c r="Y5" s="3756"/>
      <c r="Z5" s="3757"/>
      <c r="AA5" s="3742"/>
      <c r="AB5" s="3742"/>
      <c r="AC5" s="3742"/>
    </row>
    <row r="6" spans="1:29" ht="15.75" thickBot="1">
      <c r="A6" s="360"/>
      <c r="B6" s="361"/>
      <c r="C6" s="3761" t="s">
        <v>1676</v>
      </c>
      <c r="D6" s="3762"/>
      <c r="E6" s="3768" t="s">
        <v>1676</v>
      </c>
      <c r="F6" s="3769"/>
      <c r="G6" s="3761" t="s">
        <v>1676</v>
      </c>
      <c r="H6" s="3762"/>
      <c r="I6" s="3761" t="s">
        <v>1676</v>
      </c>
      <c r="J6" s="3762"/>
      <c r="K6" s="559" t="s">
        <v>1677</v>
      </c>
      <c r="L6" s="913"/>
      <c r="M6" s="914"/>
      <c r="N6" s="914"/>
      <c r="O6" s="914"/>
      <c r="P6" s="3752"/>
      <c r="Q6" s="3753"/>
      <c r="R6" s="3756"/>
      <c r="S6" s="3757"/>
      <c r="T6" s="3758"/>
      <c r="U6" s="3759"/>
      <c r="V6" s="3760"/>
      <c r="W6" s="3760"/>
      <c r="X6" s="1355"/>
      <c r="Y6" s="3758"/>
      <c r="Z6" s="3759"/>
      <c r="AA6" s="3743"/>
      <c r="AB6" s="3743"/>
      <c r="AC6" s="3743"/>
    </row>
    <row r="7" spans="1:29" s="108" customFormat="1" ht="15.75" thickBot="1">
      <c r="A7" s="362" t="s">
        <v>1678</v>
      </c>
      <c r="B7" s="363"/>
      <c r="C7" s="364">
        <f>'数据-取费表'!B2</f>
        <v>45348</v>
      </c>
      <c r="D7" s="365">
        <v>100</v>
      </c>
      <c r="E7" s="366"/>
      <c r="F7" s="367">
        <f>SUMIF(52:52,YEAR(E7)&amp;"-"&amp;MONTH(E7),53:53)</f>
        <v>0</v>
      </c>
      <c r="G7" s="366"/>
      <c r="H7" s="365">
        <f>SUMIF(52:52,YEAR(G7)&amp;"-"&amp;MONTH(G7),53:53)</f>
        <v>0</v>
      </c>
      <c r="I7" s="366"/>
      <c r="J7" s="365">
        <f>SUMIF(52:52,YEAR(I7)&amp;"-"&amp;MONTH(I7),53:53)</f>
        <v>0</v>
      </c>
      <c r="K7" s="560"/>
      <c r="L7" s="915"/>
      <c r="M7" s="916"/>
      <c r="N7" s="916"/>
      <c r="O7" s="916"/>
      <c r="P7" s="3765" t="s">
        <v>1679</v>
      </c>
      <c r="Q7" s="3767"/>
      <c r="R7" s="701" t="s">
        <v>14</v>
      </c>
      <c r="S7" s="702">
        <f t="shared" ref="S7:S15" si="0">F7</f>
        <v>0</v>
      </c>
      <c r="T7" s="701" t="s">
        <v>14</v>
      </c>
      <c r="U7" s="702">
        <f t="shared" ref="U7:U15" si="1">H7</f>
        <v>0</v>
      </c>
      <c r="V7" s="701" t="s">
        <v>14</v>
      </c>
      <c r="W7" s="702">
        <f t="shared" ref="W7:W15" si="2">J7</f>
        <v>0</v>
      </c>
      <c r="X7" s="703"/>
      <c r="Y7" s="3765" t="s">
        <v>1679</v>
      </c>
      <c r="Z7" s="3766"/>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5" t="s">
        <v>1682</v>
      </c>
      <c r="Q8" s="3766"/>
      <c r="R8" s="701" t="s">
        <v>14</v>
      </c>
      <c r="S8" s="702">
        <f t="shared" si="0"/>
        <v>100</v>
      </c>
      <c r="T8" s="701" t="s">
        <v>14</v>
      </c>
      <c r="U8" s="702">
        <f t="shared" si="1"/>
        <v>100</v>
      </c>
      <c r="V8" s="701" t="s">
        <v>14</v>
      </c>
      <c r="W8" s="702">
        <f t="shared" si="2"/>
        <v>100</v>
      </c>
      <c r="X8" s="703"/>
      <c r="Y8" s="3765" t="s">
        <v>1682</v>
      </c>
      <c r="Z8" s="3766"/>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9" t="s">
        <v>1685</v>
      </c>
      <c r="Q9" s="1343" t="str">
        <f t="shared" ref="Q9:Q15" si="6">B9</f>
        <v>用途</v>
      </c>
      <c r="R9" s="701" t="s">
        <v>14</v>
      </c>
      <c r="S9" s="702">
        <f t="shared" si="0"/>
        <v>100</v>
      </c>
      <c r="T9" s="701" t="s">
        <v>14</v>
      </c>
      <c r="U9" s="702">
        <f t="shared" si="1"/>
        <v>100</v>
      </c>
      <c r="V9" s="701" t="s">
        <v>14</v>
      </c>
      <c r="W9" s="702">
        <f t="shared" si="2"/>
        <v>100</v>
      </c>
      <c r="X9" s="703"/>
      <c r="Y9" s="3604"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9"/>
      <c r="Q10" s="1343"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9"/>
      <c r="Q11" s="1343" t="str">
        <f t="shared" si="6"/>
        <v>容积率</v>
      </c>
      <c r="R11" s="701" t="s">
        <v>14</v>
      </c>
      <c r="S11" s="702">
        <f t="shared" si="0"/>
        <v>100</v>
      </c>
      <c r="T11" s="701" t="s">
        <v>14</v>
      </c>
      <c r="U11" s="702">
        <f t="shared" si="1"/>
        <v>100</v>
      </c>
      <c r="V11" s="701" t="s">
        <v>14</v>
      </c>
      <c r="W11" s="702">
        <f t="shared" si="2"/>
        <v>100</v>
      </c>
      <c r="X11" s="703"/>
      <c r="Y11" s="360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29"/>
      <c r="Q12" s="1343">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29"/>
      <c r="Q13" s="1343">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29"/>
      <c r="Q14" s="1343">
        <f t="shared" si="6"/>
        <v>111</v>
      </c>
      <c r="R14" s="701" t="s">
        <v>14</v>
      </c>
      <c r="S14" s="702">
        <f t="shared" si="0"/>
        <v>100</v>
      </c>
      <c r="T14" s="701" t="s">
        <v>14</v>
      </c>
      <c r="U14" s="702">
        <f t="shared" si="1"/>
        <v>100</v>
      </c>
      <c r="V14" s="701" t="s">
        <v>14</v>
      </c>
      <c r="W14" s="702">
        <f t="shared" si="2"/>
        <v>100</v>
      </c>
      <c r="X14" s="703"/>
      <c r="Y14" s="3604"/>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1690</v>
      </c>
      <c r="Q15" s="1352" t="str">
        <f t="shared" si="6"/>
        <v>产业集聚程度</v>
      </c>
      <c r="R15" s="705" t="s">
        <v>14</v>
      </c>
      <c r="S15" s="706">
        <f t="shared" si="0"/>
        <v>100</v>
      </c>
      <c r="T15" s="705" t="s">
        <v>14</v>
      </c>
      <c r="U15" s="706">
        <f t="shared" si="1"/>
        <v>100</v>
      </c>
      <c r="V15" s="705" t="s">
        <v>14</v>
      </c>
      <c r="W15" s="706">
        <f t="shared" si="2"/>
        <v>100</v>
      </c>
      <c r="X15" s="1355"/>
      <c r="Y15" s="3731"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87" t="s">
        <v>1695</v>
      </c>
      <c r="Q29" s="1352" t="str">
        <f t="shared" si="11"/>
        <v>建筑类型</v>
      </c>
      <c r="R29" s="705" t="s">
        <v>14</v>
      </c>
      <c r="S29" s="706">
        <f t="shared" si="12"/>
        <v>100</v>
      </c>
      <c r="T29" s="705" t="s">
        <v>14</v>
      </c>
      <c r="U29" s="706">
        <f t="shared" si="13"/>
        <v>100</v>
      </c>
      <c r="V29" s="705" t="s">
        <v>14</v>
      </c>
      <c r="W29" s="706">
        <f t="shared" si="14"/>
        <v>100</v>
      </c>
      <c r="X29" s="1355"/>
      <c r="Y29" s="3736"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6"/>
      <c r="Q33" s="1352" t="str">
        <f t="shared" si="11"/>
        <v>成新度</v>
      </c>
      <c r="R33" s="705" t="s">
        <v>14</v>
      </c>
      <c r="S33" s="706" t="e">
        <f t="shared" si="12"/>
        <v>#N/A</v>
      </c>
      <c r="T33" s="705" t="s">
        <v>14</v>
      </c>
      <c r="U33" s="706" t="e">
        <f t="shared" si="13"/>
        <v>#N/A</v>
      </c>
      <c r="V33" s="705" t="s">
        <v>14</v>
      </c>
      <c r="W33" s="706" t="e">
        <f t="shared" si="14"/>
        <v>#N/A</v>
      </c>
      <c r="X33" s="1355"/>
      <c r="Y33" s="3736"/>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1695</v>
      </c>
      <c r="Q35" s="1352" t="str">
        <f t="shared" si="11"/>
        <v>市政基础设施</v>
      </c>
      <c r="R35" s="705" t="s">
        <v>14</v>
      </c>
      <c r="S35" s="706">
        <f t="shared" si="12"/>
        <v>100</v>
      </c>
      <c r="T35" s="705" t="s">
        <v>14</v>
      </c>
      <c r="U35" s="706">
        <f t="shared" si="13"/>
        <v>100</v>
      </c>
      <c r="V35" s="705" t="s">
        <v>14</v>
      </c>
      <c r="W35" s="706">
        <f t="shared" si="14"/>
        <v>100</v>
      </c>
      <c r="X35" s="1355"/>
      <c r="Y35" s="3736"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29" t="str">
        <f>A41</f>
        <v>成交单价（元/平方米）</v>
      </c>
      <c r="Q41" s="3729"/>
      <c r="R41" s="3730">
        <f>E41</f>
        <v>0</v>
      </c>
      <c r="S41" s="3730"/>
      <c r="T41" s="3730">
        <f>G41</f>
        <v>0</v>
      </c>
      <c r="U41" s="3730"/>
      <c r="V41" s="3730">
        <f>I41</f>
        <v>0</v>
      </c>
      <c r="W41" s="3730"/>
      <c r="X41" s="690"/>
      <c r="Y41" s="712"/>
      <c r="Z41" s="690"/>
      <c r="AA41" s="690"/>
      <c r="AB41" s="690"/>
      <c r="AC41" s="690"/>
    </row>
    <row r="42" spans="1:29" ht="15.7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3335</v>
      </c>
      <c r="C1" s="1224" t="s">
        <v>1661</v>
      </c>
      <c r="D1" s="1225"/>
      <c r="E1" s="3431"/>
      <c r="F1" s="1878"/>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44" t="s">
        <v>1769</v>
      </c>
      <c r="D4" s="3745"/>
      <c r="E4" s="3746" t="s">
        <v>1770</v>
      </c>
      <c r="F4" s="3747"/>
      <c r="G4" s="3744" t="s">
        <v>1771</v>
      </c>
      <c r="H4" s="3745"/>
      <c r="I4" s="3744" t="s">
        <v>1772</v>
      </c>
      <c r="J4" s="3745"/>
      <c r="K4" s="559" t="s">
        <v>1773</v>
      </c>
      <c r="L4" s="2713"/>
      <c r="M4" s="2714"/>
      <c r="N4" s="2714"/>
      <c r="O4" s="2714"/>
      <c r="P4" s="3748" t="s">
        <v>1774</v>
      </c>
      <c r="Q4" s="3749"/>
      <c r="R4" s="3754" t="s">
        <v>1770</v>
      </c>
      <c r="S4" s="3755"/>
      <c r="T4" s="3754" t="s">
        <v>1771</v>
      </c>
      <c r="U4" s="3755"/>
      <c r="V4" s="3760" t="s">
        <v>1772</v>
      </c>
      <c r="W4" s="3760"/>
      <c r="X4" s="1355"/>
      <c r="Y4" s="3754" t="s">
        <v>1774</v>
      </c>
      <c r="Z4" s="3755"/>
      <c r="AA4" s="3741" t="s">
        <v>1770</v>
      </c>
      <c r="AB4" s="3742" t="s">
        <v>1771</v>
      </c>
      <c r="AC4" s="3741" t="s">
        <v>1772</v>
      </c>
    </row>
    <row r="5" spans="1:29" ht="15">
      <c r="A5" s="358"/>
      <c r="B5" s="359"/>
      <c r="C5" s="3763" t="s">
        <v>1672</v>
      </c>
      <c r="D5" s="3764"/>
      <c r="E5" s="3770" t="s">
        <v>1673</v>
      </c>
      <c r="F5" s="3771"/>
      <c r="G5" s="3763" t="s">
        <v>1674</v>
      </c>
      <c r="H5" s="3764"/>
      <c r="I5" s="3763" t="s">
        <v>1675</v>
      </c>
      <c r="J5" s="3764"/>
      <c r="K5" s="559"/>
      <c r="L5" s="2713"/>
      <c r="M5" s="2714"/>
      <c r="N5" s="2714"/>
      <c r="O5" s="2714"/>
      <c r="P5" s="3750"/>
      <c r="Q5" s="3751"/>
      <c r="R5" s="3756"/>
      <c r="S5" s="3757"/>
      <c r="T5" s="3756"/>
      <c r="U5" s="3757"/>
      <c r="V5" s="3760"/>
      <c r="W5" s="3760"/>
      <c r="X5" s="1355"/>
      <c r="Y5" s="3756"/>
      <c r="Z5" s="3757"/>
      <c r="AA5" s="3742"/>
      <c r="AB5" s="3742"/>
      <c r="AC5" s="3742"/>
    </row>
    <row r="6" spans="1:29" ht="15.75" thickBot="1">
      <c r="A6" s="360"/>
      <c r="B6" s="361"/>
      <c r="C6" s="3761" t="s">
        <v>1676</v>
      </c>
      <c r="D6" s="3762"/>
      <c r="E6" s="3768" t="s">
        <v>1676</v>
      </c>
      <c r="F6" s="3769"/>
      <c r="G6" s="3761" t="s">
        <v>1676</v>
      </c>
      <c r="H6" s="3762"/>
      <c r="I6" s="3761" t="s">
        <v>1676</v>
      </c>
      <c r="J6" s="3762"/>
      <c r="K6" s="559" t="s">
        <v>1677</v>
      </c>
      <c r="L6" s="2713"/>
      <c r="M6" s="2714"/>
      <c r="N6" s="2714"/>
      <c r="O6" s="2714"/>
      <c r="P6" s="3752"/>
      <c r="Q6" s="3753"/>
      <c r="R6" s="3756"/>
      <c r="S6" s="3757"/>
      <c r="T6" s="3758"/>
      <c r="U6" s="3759"/>
      <c r="V6" s="3760"/>
      <c r="W6" s="3760"/>
      <c r="X6" s="1355"/>
      <c r="Y6" s="3758"/>
      <c r="Z6" s="3759"/>
      <c r="AA6" s="3743"/>
      <c r="AB6" s="3743"/>
      <c r="AC6" s="3743"/>
    </row>
    <row r="7" spans="1:29" s="108" customFormat="1" ht="15.75" thickBot="1">
      <c r="A7" s="362" t="s">
        <v>1678</v>
      </c>
      <c r="B7" s="363"/>
      <c r="C7" s="364">
        <f>'数据-取费表'!B2</f>
        <v>45348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65" t="s">
        <v>1679</v>
      </c>
      <c r="Q7" s="3767"/>
      <c r="R7" s="701" t="s">
        <v>14</v>
      </c>
      <c r="S7" s="702">
        <f t="shared" ref="S7:S14" si="0">F7</f>
        <v>0</v>
      </c>
      <c r="T7" s="701" t="s">
        <v>14</v>
      </c>
      <c r="U7" s="702">
        <f t="shared" ref="U7:U14" si="1">H7</f>
        <v>0</v>
      </c>
      <c r="V7" s="701" t="s">
        <v>14</v>
      </c>
      <c r="W7" s="702">
        <f t="shared" ref="W7:W14" si="2">J7</f>
        <v>0</v>
      </c>
      <c r="X7" s="703"/>
      <c r="Y7" s="3765" t="s">
        <v>1679</v>
      </c>
      <c r="Z7" s="3766"/>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65" t="s">
        <v>1682</v>
      </c>
      <c r="Q8" s="3766"/>
      <c r="R8" s="701" t="s">
        <v>14</v>
      </c>
      <c r="S8" s="702">
        <f t="shared" si="0"/>
        <v>100</v>
      </c>
      <c r="T8" s="701" t="s">
        <v>14</v>
      </c>
      <c r="U8" s="702">
        <f t="shared" si="1"/>
        <v>100</v>
      </c>
      <c r="V8" s="701" t="s">
        <v>14</v>
      </c>
      <c r="W8" s="702">
        <f t="shared" si="2"/>
        <v>100</v>
      </c>
      <c r="X8" s="703"/>
      <c r="Y8" s="3765" t="s">
        <v>1682</v>
      </c>
      <c r="Z8" s="3766"/>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9" t="s">
        <v>1685</v>
      </c>
      <c r="Q9" s="1343" t="str">
        <f t="shared" ref="Q9:Q14" si="6">B9</f>
        <v>用途</v>
      </c>
      <c r="R9" s="701" t="s">
        <v>14</v>
      </c>
      <c r="S9" s="702">
        <f t="shared" si="0"/>
        <v>100</v>
      </c>
      <c r="T9" s="701" t="s">
        <v>14</v>
      </c>
      <c r="U9" s="702">
        <f t="shared" si="1"/>
        <v>100</v>
      </c>
      <c r="V9" s="701" t="s">
        <v>14</v>
      </c>
      <c r="W9" s="702">
        <f t="shared" si="2"/>
        <v>100</v>
      </c>
      <c r="X9" s="703"/>
      <c r="Y9" s="3604"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9"/>
      <c r="Q10" s="1343"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9"/>
      <c r="Q11" s="1343">
        <f t="shared" si="6"/>
        <v>111</v>
      </c>
      <c r="R11" s="701" t="s">
        <v>14</v>
      </c>
      <c r="S11" s="702">
        <f t="shared" si="0"/>
        <v>100</v>
      </c>
      <c r="T11" s="701" t="s">
        <v>14</v>
      </c>
      <c r="U11" s="702">
        <f t="shared" si="1"/>
        <v>100</v>
      </c>
      <c r="V11" s="701" t="s">
        <v>14</v>
      </c>
      <c r="W11" s="702">
        <f t="shared" si="2"/>
        <v>100</v>
      </c>
      <c r="X11" s="703"/>
      <c r="Y11" s="360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9"/>
      <c r="Q12" s="1343">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9"/>
      <c r="Q13" s="1343">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1" t="s">
        <v>1690</v>
      </c>
      <c r="Q14" s="1352" t="str">
        <f t="shared" si="6"/>
        <v>交通便捷度</v>
      </c>
      <c r="R14" s="705" t="s">
        <v>14</v>
      </c>
      <c r="S14" s="706">
        <f t="shared" si="0"/>
        <v>100</v>
      </c>
      <c r="T14" s="705" t="s">
        <v>14</v>
      </c>
      <c r="U14" s="706">
        <f t="shared" si="1"/>
        <v>100</v>
      </c>
      <c r="V14" s="705" t="s">
        <v>14</v>
      </c>
      <c r="W14" s="706">
        <f t="shared" si="2"/>
        <v>100</v>
      </c>
      <c r="X14" s="1355"/>
      <c r="Y14" s="3731"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32"/>
      <c r="Q15" s="1352"/>
      <c r="R15" s="705"/>
      <c r="S15" s="706"/>
      <c r="T15" s="705"/>
      <c r="U15" s="706"/>
      <c r="V15" s="705"/>
      <c r="W15" s="706"/>
      <c r="X15" s="1355"/>
      <c r="Y15" s="3732"/>
      <c r="Z15" s="1356"/>
      <c r="AA15" s="1353">
        <v>1</v>
      </c>
      <c r="AB15" s="1353">
        <v>1</v>
      </c>
      <c r="AC15" s="1353">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0"/>
      <c r="M17" s="2714"/>
      <c r="N17" s="2714"/>
      <c r="O17" s="2714"/>
      <c r="P17" s="3732"/>
      <c r="Q17" s="1352"/>
      <c r="R17" s="705"/>
      <c r="S17" s="706"/>
      <c r="T17" s="705"/>
      <c r="U17" s="706"/>
      <c r="V17" s="705"/>
      <c r="W17" s="706"/>
      <c r="X17" s="1355"/>
      <c r="Y17" s="3732"/>
      <c r="Z17" s="1356"/>
      <c r="AA17" s="1353">
        <v>1</v>
      </c>
      <c r="AB17" s="1353">
        <v>1</v>
      </c>
      <c r="AC17" s="1353">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0"/>
      <c r="M19" s="2714"/>
      <c r="N19" s="2714"/>
      <c r="O19" s="2714"/>
      <c r="P19" s="3732"/>
      <c r="Q19" s="1352"/>
      <c r="R19" s="705"/>
      <c r="S19" s="706"/>
      <c r="T19" s="705"/>
      <c r="U19" s="706"/>
      <c r="V19" s="705"/>
      <c r="W19" s="706"/>
      <c r="X19" s="1355"/>
      <c r="Y19" s="3732"/>
      <c r="Z19" s="1356"/>
      <c r="AA19" s="1353">
        <v>1</v>
      </c>
      <c r="AB19" s="1353">
        <v>1</v>
      </c>
      <c r="AC19" s="1353">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32"/>
      <c r="Q21" s="1352"/>
      <c r="R21" s="705"/>
      <c r="S21" s="706"/>
      <c r="T21" s="705"/>
      <c r="U21" s="706"/>
      <c r="V21" s="705"/>
      <c r="W21" s="706"/>
      <c r="X21" s="1355"/>
      <c r="Y21" s="3732"/>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87"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6"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6"/>
      <c r="Q28" s="1352" t="str">
        <f t="shared" si="11"/>
        <v>公共部分装修</v>
      </c>
      <c r="R28" s="705" t="s">
        <v>14</v>
      </c>
      <c r="S28" s="706">
        <f t="shared" si="12"/>
        <v>100</v>
      </c>
      <c r="T28" s="705" t="s">
        <v>14</v>
      </c>
      <c r="U28" s="706">
        <f t="shared" si="13"/>
        <v>100</v>
      </c>
      <c r="V28" s="705" t="s">
        <v>14</v>
      </c>
      <c r="W28" s="706">
        <f t="shared" si="14"/>
        <v>100</v>
      </c>
      <c r="X28" s="1355"/>
      <c r="Y28" s="3736"/>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6"/>
      <c r="Q29" s="1352" t="str">
        <f t="shared" si="11"/>
        <v>成新率</v>
      </c>
      <c r="R29" s="705" t="s">
        <v>14</v>
      </c>
      <c r="S29" s="706" t="e">
        <f t="shared" si="12"/>
        <v>#N/A</v>
      </c>
      <c r="T29" s="705" t="s">
        <v>14</v>
      </c>
      <c r="U29" s="706" t="e">
        <f t="shared" si="13"/>
        <v>#N/A</v>
      </c>
      <c r="V29" s="705" t="s">
        <v>14</v>
      </c>
      <c r="W29" s="706" t="e">
        <f t="shared" si="14"/>
        <v>#N/A</v>
      </c>
      <c r="X29" s="1355"/>
      <c r="Y29" s="3736"/>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6"/>
      <c r="Q30" s="1352" t="str">
        <f t="shared" si="11"/>
        <v>物业等级</v>
      </c>
      <c r="R30" s="705" t="s">
        <v>14</v>
      </c>
      <c r="S30" s="706">
        <f t="shared" si="12"/>
        <v>100</v>
      </c>
      <c r="T30" s="705" t="s">
        <v>14</v>
      </c>
      <c r="U30" s="706">
        <f t="shared" si="13"/>
        <v>100</v>
      </c>
      <c r="V30" s="705" t="s">
        <v>14</v>
      </c>
      <c r="W30" s="706">
        <f t="shared" si="14"/>
        <v>100</v>
      </c>
      <c r="X30" s="1355"/>
      <c r="Y30" s="3736"/>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6"/>
      <c r="Q31" s="1343" t="str">
        <f t="shared" si="11"/>
        <v>停车位面积</v>
      </c>
      <c r="R31" s="701" t="s">
        <v>14</v>
      </c>
      <c r="S31" s="702" t="e">
        <f t="shared" si="12"/>
        <v>#N/A</v>
      </c>
      <c r="T31" s="701" t="s">
        <v>14</v>
      </c>
      <c r="U31" s="702" t="e">
        <f t="shared" si="13"/>
        <v>#N/A</v>
      </c>
      <c r="V31" s="701" t="s">
        <v>14</v>
      </c>
      <c r="W31" s="702" t="e">
        <f t="shared" si="14"/>
        <v>#N/A</v>
      </c>
      <c r="X31" s="703"/>
      <c r="Y31" s="3736"/>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6" t="s">
        <v>1695</v>
      </c>
      <c r="Q32" s="1352" t="str">
        <f t="shared" si="11"/>
        <v>车位类型</v>
      </c>
      <c r="R32" s="705" t="s">
        <v>14</v>
      </c>
      <c r="S32" s="706">
        <f t="shared" si="12"/>
        <v>100</v>
      </c>
      <c r="T32" s="705" t="s">
        <v>14</v>
      </c>
      <c r="U32" s="706">
        <f t="shared" si="13"/>
        <v>100</v>
      </c>
      <c r="V32" s="705" t="s">
        <v>14</v>
      </c>
      <c r="W32" s="706">
        <f t="shared" si="14"/>
        <v>100</v>
      </c>
      <c r="X32" s="1355"/>
      <c r="Y32" s="3736"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5">
      <c r="A37" s="430" t="s">
        <v>1843</v>
      </c>
      <c r="B37" s="1972" t="s">
        <v>3355</v>
      </c>
      <c r="C37" s="1154" t="s">
        <v>0</v>
      </c>
      <c r="D37" s="1155"/>
      <c r="E37" s="1156"/>
      <c r="F37" s="1157"/>
      <c r="G37" s="1158"/>
      <c r="H37" s="1159"/>
      <c r="I37" s="1156"/>
      <c r="J37" s="1159"/>
      <c r="K37" s="568"/>
      <c r="L37" s="2722"/>
      <c r="M37" s="2723"/>
      <c r="N37" s="2714"/>
      <c r="O37" s="2723"/>
      <c r="P37" s="3729" t="str">
        <f>A37</f>
        <v>成交单价</v>
      </c>
      <c r="Q37" s="3729"/>
      <c r="R37" s="3730">
        <f>E37</f>
        <v>0</v>
      </c>
      <c r="S37" s="3730"/>
      <c r="T37" s="3730">
        <f>G37</f>
        <v>0</v>
      </c>
      <c r="U37" s="3730"/>
      <c r="V37" s="3730">
        <f>I37</f>
        <v>0</v>
      </c>
      <c r="W37" s="3730"/>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2"/>
      <c r="M38" s="2723"/>
      <c r="N38" s="2723"/>
      <c r="O38" s="2723"/>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726" t="str">
        <f>A39</f>
        <v>估价对象XX用房的比较价值（楼面单价，元/平方米）</v>
      </c>
      <c r="Q39" s="3727"/>
      <c r="R39" s="3788" t="e">
        <f>IF(F1="售价",ROUND(IF(D38="简单平均",AVERAGE(R38:W38),R38*F38+T38*H38+V38*J38),0),ROUND(IF(D38="简单平均",AVERAGE(R38:V38),R38*F38+T38*H38+V38*J38),1))</f>
        <v>#DIV/0!</v>
      </c>
      <c r="S39" s="3788"/>
      <c r="T39" s="3788"/>
      <c r="U39" s="3788"/>
      <c r="V39" s="3788"/>
      <c r="W39" s="3788"/>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3336</v>
      </c>
      <c r="C1" s="1224" t="s">
        <v>1661</v>
      </c>
      <c r="D1" s="1225"/>
      <c r="E1" s="3431"/>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44" t="s">
        <v>1769</v>
      </c>
      <c r="D4" s="3745"/>
      <c r="E4" s="3746" t="s">
        <v>1770</v>
      </c>
      <c r="F4" s="3747"/>
      <c r="G4" s="3744" t="s">
        <v>1771</v>
      </c>
      <c r="H4" s="3745"/>
      <c r="I4" s="3744" t="s">
        <v>1772</v>
      </c>
      <c r="J4" s="3745"/>
      <c r="K4" s="559" t="s">
        <v>1773</v>
      </c>
      <c r="L4" s="2713"/>
      <c r="M4" s="2714"/>
      <c r="N4" s="2714"/>
      <c r="O4" s="2714"/>
      <c r="P4" s="3748" t="s">
        <v>1774</v>
      </c>
      <c r="Q4" s="3749"/>
      <c r="R4" s="3754" t="s">
        <v>1770</v>
      </c>
      <c r="S4" s="3755"/>
      <c r="T4" s="3754" t="s">
        <v>1771</v>
      </c>
      <c r="U4" s="3755"/>
      <c r="V4" s="3760" t="s">
        <v>1772</v>
      </c>
      <c r="W4" s="3760"/>
      <c r="X4" s="1355"/>
      <c r="Y4" s="3754" t="s">
        <v>1774</v>
      </c>
      <c r="Z4" s="3755"/>
      <c r="AA4" s="3741" t="s">
        <v>1770</v>
      </c>
      <c r="AB4" s="3742" t="s">
        <v>1771</v>
      </c>
      <c r="AC4" s="3741" t="s">
        <v>1772</v>
      </c>
    </row>
    <row r="5" spans="1:29" ht="15">
      <c r="A5" s="358"/>
      <c r="B5" s="359"/>
      <c r="C5" s="3763" t="s">
        <v>1672</v>
      </c>
      <c r="D5" s="3764"/>
      <c r="E5" s="3770" t="s">
        <v>1673</v>
      </c>
      <c r="F5" s="3771"/>
      <c r="G5" s="3763" t="s">
        <v>1674</v>
      </c>
      <c r="H5" s="3764"/>
      <c r="I5" s="3763" t="s">
        <v>1675</v>
      </c>
      <c r="J5" s="3764"/>
      <c r="K5" s="559"/>
      <c r="L5" s="2713"/>
      <c r="M5" s="2714"/>
      <c r="N5" s="2714"/>
      <c r="O5" s="2714"/>
      <c r="P5" s="3750"/>
      <c r="Q5" s="3751"/>
      <c r="R5" s="3756"/>
      <c r="S5" s="3757"/>
      <c r="T5" s="3756"/>
      <c r="U5" s="3757"/>
      <c r="V5" s="3760"/>
      <c r="W5" s="3760"/>
      <c r="X5" s="1355"/>
      <c r="Y5" s="3756"/>
      <c r="Z5" s="3757"/>
      <c r="AA5" s="3742"/>
      <c r="AB5" s="3742"/>
      <c r="AC5" s="3742"/>
    </row>
    <row r="6" spans="1:29" ht="15.75" thickBot="1">
      <c r="A6" s="360"/>
      <c r="B6" s="361"/>
      <c r="C6" s="3761" t="s">
        <v>1676</v>
      </c>
      <c r="D6" s="3762"/>
      <c r="E6" s="3768" t="s">
        <v>1676</v>
      </c>
      <c r="F6" s="3769"/>
      <c r="G6" s="3761" t="s">
        <v>1676</v>
      </c>
      <c r="H6" s="3762"/>
      <c r="I6" s="3761" t="s">
        <v>1676</v>
      </c>
      <c r="J6" s="3762"/>
      <c r="K6" s="559" t="s">
        <v>1677</v>
      </c>
      <c r="L6" s="2713"/>
      <c r="M6" s="2714"/>
      <c r="N6" s="2714"/>
      <c r="O6" s="2714"/>
      <c r="P6" s="3752"/>
      <c r="Q6" s="3753"/>
      <c r="R6" s="3756"/>
      <c r="S6" s="3757"/>
      <c r="T6" s="3758"/>
      <c r="U6" s="3759"/>
      <c r="V6" s="3760"/>
      <c r="W6" s="3760"/>
      <c r="X6" s="1355"/>
      <c r="Y6" s="3758"/>
      <c r="Z6" s="3759"/>
      <c r="AA6" s="3743"/>
      <c r="AB6" s="3743"/>
      <c r="AC6" s="3743"/>
    </row>
    <row r="7" spans="1:29" s="108" customFormat="1" ht="15.75" thickBot="1">
      <c r="A7" s="362" t="s">
        <v>1678</v>
      </c>
      <c r="B7" s="363"/>
      <c r="C7" s="364">
        <f>'数据-取费表'!B2</f>
        <v>45348</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65" t="s">
        <v>1679</v>
      </c>
      <c r="Q7" s="3767"/>
      <c r="R7" s="701" t="s">
        <v>14</v>
      </c>
      <c r="S7" s="702">
        <f t="shared" ref="S7:S14" si="0">F7</f>
        <v>0</v>
      </c>
      <c r="T7" s="701" t="s">
        <v>14</v>
      </c>
      <c r="U7" s="702">
        <f t="shared" ref="U7:U14" si="1">H7</f>
        <v>0</v>
      </c>
      <c r="V7" s="701" t="s">
        <v>14</v>
      </c>
      <c r="W7" s="702">
        <f t="shared" ref="W7:W14" si="2">J7</f>
        <v>0</v>
      </c>
      <c r="X7" s="703"/>
      <c r="Y7" s="3765" t="s">
        <v>1679</v>
      </c>
      <c r="Z7" s="3766"/>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65" t="s">
        <v>1682</v>
      </c>
      <c r="Q8" s="3766"/>
      <c r="R8" s="701" t="s">
        <v>14</v>
      </c>
      <c r="S8" s="702">
        <f t="shared" si="0"/>
        <v>100</v>
      </c>
      <c r="T8" s="701" t="s">
        <v>14</v>
      </c>
      <c r="U8" s="702">
        <f t="shared" si="1"/>
        <v>100</v>
      </c>
      <c r="V8" s="701" t="s">
        <v>14</v>
      </c>
      <c r="W8" s="702">
        <f t="shared" si="2"/>
        <v>100</v>
      </c>
      <c r="X8" s="703"/>
      <c r="Y8" s="3765" t="s">
        <v>1682</v>
      </c>
      <c r="Z8" s="3766"/>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9" t="s">
        <v>1685</v>
      </c>
      <c r="Q9" s="1343" t="str">
        <f t="shared" ref="Q9:Q14" si="6">B9</f>
        <v>用途</v>
      </c>
      <c r="R9" s="701" t="s">
        <v>14</v>
      </c>
      <c r="S9" s="702">
        <f t="shared" si="0"/>
        <v>100</v>
      </c>
      <c r="T9" s="701" t="s">
        <v>14</v>
      </c>
      <c r="U9" s="702">
        <f t="shared" si="1"/>
        <v>100</v>
      </c>
      <c r="V9" s="701" t="s">
        <v>14</v>
      </c>
      <c r="W9" s="702">
        <f t="shared" si="2"/>
        <v>100</v>
      </c>
      <c r="X9" s="703"/>
      <c r="Y9" s="3604"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9"/>
      <c r="Q10" s="1343"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9"/>
      <c r="Q11" s="1343">
        <f t="shared" si="6"/>
        <v>111</v>
      </c>
      <c r="R11" s="701" t="s">
        <v>14</v>
      </c>
      <c r="S11" s="702">
        <f t="shared" si="0"/>
        <v>100</v>
      </c>
      <c r="T11" s="701" t="s">
        <v>14</v>
      </c>
      <c r="U11" s="702">
        <f t="shared" si="1"/>
        <v>100</v>
      </c>
      <c r="V11" s="701" t="s">
        <v>14</v>
      </c>
      <c r="W11" s="702">
        <f t="shared" si="2"/>
        <v>100</v>
      </c>
      <c r="X11" s="703"/>
      <c r="Y11" s="360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9"/>
      <c r="Q12" s="1343">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29"/>
      <c r="Q13" s="1343">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1" t="s">
        <v>1690</v>
      </c>
      <c r="Q14" s="1352" t="str">
        <f t="shared" si="6"/>
        <v>交通便捷度</v>
      </c>
      <c r="R14" s="705" t="s">
        <v>14</v>
      </c>
      <c r="S14" s="706">
        <f t="shared" si="0"/>
        <v>100</v>
      </c>
      <c r="T14" s="705" t="s">
        <v>14</v>
      </c>
      <c r="U14" s="706">
        <f t="shared" si="1"/>
        <v>100</v>
      </c>
      <c r="V14" s="705" t="s">
        <v>14</v>
      </c>
      <c r="W14" s="706">
        <f t="shared" si="2"/>
        <v>100</v>
      </c>
      <c r="X14" s="1355"/>
      <c r="Y14" s="3731"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32"/>
      <c r="Q15" s="1352"/>
      <c r="R15" s="705"/>
      <c r="S15" s="706"/>
      <c r="T15" s="705"/>
      <c r="U15" s="706"/>
      <c r="V15" s="705"/>
      <c r="W15" s="706"/>
      <c r="X15" s="1355"/>
      <c r="Y15" s="3732"/>
      <c r="Z15" s="1356"/>
      <c r="AA15" s="1353">
        <v>1</v>
      </c>
      <c r="AB15" s="1353">
        <v>1</v>
      </c>
      <c r="AC15" s="1353">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0"/>
      <c r="M17" s="2714"/>
      <c r="N17" s="2714"/>
      <c r="O17" s="2772"/>
      <c r="P17" s="3732"/>
      <c r="Q17" s="1352"/>
      <c r="R17" s="705"/>
      <c r="S17" s="706"/>
      <c r="T17" s="705"/>
      <c r="U17" s="706"/>
      <c r="V17" s="705"/>
      <c r="W17" s="706"/>
      <c r="X17" s="1355"/>
      <c r="Y17" s="3732"/>
      <c r="Z17" s="1356"/>
      <c r="AA17" s="1353">
        <v>1</v>
      </c>
      <c r="AB17" s="1353">
        <v>1</v>
      </c>
      <c r="AC17" s="1353">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0"/>
      <c r="M19" s="2714"/>
      <c r="N19" s="2714"/>
      <c r="O19" s="2772"/>
      <c r="P19" s="3732"/>
      <c r="Q19" s="1352"/>
      <c r="R19" s="705"/>
      <c r="S19" s="706"/>
      <c r="T19" s="705"/>
      <c r="U19" s="706"/>
      <c r="V19" s="705"/>
      <c r="W19" s="706"/>
      <c r="X19" s="1355"/>
      <c r="Y19" s="3732"/>
      <c r="Z19" s="1356"/>
      <c r="AA19" s="1353">
        <v>1</v>
      </c>
      <c r="AB19" s="1353">
        <v>1</v>
      </c>
      <c r="AC19" s="1353">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32"/>
      <c r="Q21" s="1352"/>
      <c r="R21" s="705"/>
      <c r="S21" s="706"/>
      <c r="T21" s="705"/>
      <c r="U21" s="706"/>
      <c r="V21" s="705"/>
      <c r="W21" s="706"/>
      <c r="X21" s="1355"/>
      <c r="Y21" s="3732"/>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87"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6" t="s">
        <v>1695</v>
      </c>
      <c r="Q32" s="1352">
        <f t="shared" si="11"/>
        <v>111</v>
      </c>
      <c r="R32" s="705" t="s">
        <v>14</v>
      </c>
      <c r="S32" s="706">
        <f t="shared" si="12"/>
        <v>100</v>
      </c>
      <c r="T32" s="705" t="s">
        <v>14</v>
      </c>
      <c r="U32" s="706">
        <f t="shared" si="13"/>
        <v>100</v>
      </c>
      <c r="V32" s="705" t="s">
        <v>14</v>
      </c>
      <c r="W32" s="706">
        <f t="shared" si="14"/>
        <v>100</v>
      </c>
      <c r="X32" s="1355"/>
      <c r="Y32" s="3736" t="s">
        <v>1695</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729" t="str">
        <f>A35</f>
        <v>成交单价（元/平方米）</v>
      </c>
      <c r="Q35" s="3729"/>
      <c r="R35" s="3730">
        <f>E35</f>
        <v>0</v>
      </c>
      <c r="S35" s="3730"/>
      <c r="T35" s="3730">
        <f>G35</f>
        <v>0</v>
      </c>
      <c r="U35" s="3730"/>
      <c r="V35" s="3730">
        <f>I35</f>
        <v>0</v>
      </c>
      <c r="W35" s="3730"/>
      <c r="X35" s="690"/>
      <c r="Y35" s="712"/>
      <c r="Z35" s="690"/>
      <c r="AA35" s="690"/>
      <c r="AB35" s="690"/>
      <c r="AC35" s="690"/>
    </row>
    <row r="36" spans="1:30" ht="15.75" thickBot="1">
      <c r="A36" s="437" t="s">
        <v>1792</v>
      </c>
      <c r="B36" s="438"/>
      <c r="C36" s="1160" t="e">
        <f>R37</f>
        <v>#DIV/0!</v>
      </c>
      <c r="D36" s="2316" t="s">
        <v>2137</v>
      </c>
      <c r="E36" s="1161" t="e">
        <f>R36</f>
        <v>#DIV/0!</v>
      </c>
      <c r="F36" s="2317"/>
      <c r="G36" s="1160" t="e">
        <f>T36</f>
        <v>#DIV/0!</v>
      </c>
      <c r="H36" s="2317"/>
      <c r="I36" s="1161" t="e">
        <f>V36</f>
        <v>#DIV/0!</v>
      </c>
      <c r="J36" s="2317"/>
      <c r="K36" s="2319">
        <f>F36+H36+J36</f>
        <v>0</v>
      </c>
      <c r="L36" s="2722"/>
      <c r="M36" s="2723"/>
      <c r="N36" s="2714"/>
      <c r="O36" s="2723"/>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726" t="str">
        <f>A37</f>
        <v>估价对象XX用房的比较价值（楼面单价，元/平方米）</v>
      </c>
      <c r="Q37" s="3727"/>
      <c r="R37" s="3788" t="e">
        <f>IF(F1="售价",ROUND(IF(D36="简单平均",AVERAGE(R36:W36),R36*F36+T36*H36+V36*J36),0),ROUND(IF(D36="简单平均",AVERAGE(R36:V36),R36*F36+T36*H36+V36*J36),1))</f>
        <v>#DIV/0!</v>
      </c>
      <c r="S37" s="3788"/>
      <c r="T37" s="3788"/>
      <c r="U37" s="3788"/>
      <c r="V37" s="3788"/>
      <c r="W37" s="3788"/>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44" t="s">
        <v>1769</v>
      </c>
      <c r="D4" s="3745"/>
      <c r="E4" s="3746" t="s">
        <v>1770</v>
      </c>
      <c r="F4" s="3747"/>
      <c r="G4" s="3744" t="s">
        <v>1771</v>
      </c>
      <c r="H4" s="3745"/>
      <c r="I4" s="3744" t="s">
        <v>1772</v>
      </c>
      <c r="J4" s="3745"/>
      <c r="K4" s="559" t="s">
        <v>1773</v>
      </c>
      <c r="L4" s="2713"/>
      <c r="M4" s="2714"/>
      <c r="N4" s="2714"/>
      <c r="O4" s="2714"/>
      <c r="P4" s="3748" t="s">
        <v>1774</v>
      </c>
      <c r="Q4" s="3749"/>
      <c r="R4" s="3754" t="s">
        <v>1770</v>
      </c>
      <c r="S4" s="3755"/>
      <c r="T4" s="3754" t="s">
        <v>1771</v>
      </c>
      <c r="U4" s="3755"/>
      <c r="V4" s="3760" t="s">
        <v>1772</v>
      </c>
      <c r="W4" s="3760"/>
      <c r="X4" s="1355"/>
      <c r="Y4" s="3754" t="s">
        <v>1774</v>
      </c>
      <c r="Z4" s="3755"/>
      <c r="AA4" s="3741" t="s">
        <v>1770</v>
      </c>
      <c r="AB4" s="3742" t="s">
        <v>1771</v>
      </c>
      <c r="AC4" s="3741" t="s">
        <v>1772</v>
      </c>
    </row>
    <row r="5" spans="1:30" ht="15">
      <c r="A5" s="358"/>
      <c r="B5" s="359"/>
      <c r="C5" s="3763" t="s">
        <v>1672</v>
      </c>
      <c r="D5" s="3764"/>
      <c r="E5" s="3770" t="s">
        <v>1673</v>
      </c>
      <c r="F5" s="3771"/>
      <c r="G5" s="3763" t="s">
        <v>1674</v>
      </c>
      <c r="H5" s="3764"/>
      <c r="I5" s="3763" t="s">
        <v>1675</v>
      </c>
      <c r="J5" s="3764"/>
      <c r="K5" s="559"/>
      <c r="L5" s="2713"/>
      <c r="M5" s="2714"/>
      <c r="N5" s="2714"/>
      <c r="O5" s="2714"/>
      <c r="P5" s="3750"/>
      <c r="Q5" s="3751"/>
      <c r="R5" s="3756"/>
      <c r="S5" s="3757"/>
      <c r="T5" s="3756"/>
      <c r="U5" s="3757"/>
      <c r="V5" s="3760"/>
      <c r="W5" s="3760"/>
      <c r="X5" s="1355"/>
      <c r="Y5" s="3756"/>
      <c r="Z5" s="3757"/>
      <c r="AA5" s="3742"/>
      <c r="AB5" s="3742"/>
      <c r="AC5" s="3742"/>
    </row>
    <row r="6" spans="1:30" ht="15.75" thickBot="1">
      <c r="A6" s="360"/>
      <c r="B6" s="361"/>
      <c r="C6" s="3761" t="s">
        <v>1676</v>
      </c>
      <c r="D6" s="3762"/>
      <c r="E6" s="3768" t="s">
        <v>1676</v>
      </c>
      <c r="F6" s="3769"/>
      <c r="G6" s="3761" t="s">
        <v>1676</v>
      </c>
      <c r="H6" s="3762"/>
      <c r="I6" s="3761" t="s">
        <v>1676</v>
      </c>
      <c r="J6" s="3762"/>
      <c r="K6" s="559" t="s">
        <v>1677</v>
      </c>
      <c r="L6" s="2713"/>
      <c r="M6" s="2714"/>
      <c r="N6" s="2714"/>
      <c r="O6" s="2714"/>
      <c r="P6" s="3752"/>
      <c r="Q6" s="3753"/>
      <c r="R6" s="3756"/>
      <c r="S6" s="3757"/>
      <c r="T6" s="3758"/>
      <c r="U6" s="3759"/>
      <c r="V6" s="3760"/>
      <c r="W6" s="3760"/>
      <c r="X6" s="1355"/>
      <c r="Y6" s="3758"/>
      <c r="Z6" s="3759"/>
      <c r="AA6" s="3743"/>
      <c r="AB6" s="3743"/>
      <c r="AC6" s="3743"/>
    </row>
    <row r="7" spans="1:30" s="108" customFormat="1" ht="15.75" thickBot="1">
      <c r="A7" s="362" t="s">
        <v>1678</v>
      </c>
      <c r="B7" s="363"/>
      <c r="C7" s="364">
        <f>'数据-取费表'!B2</f>
        <v>45348</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65" t="s">
        <v>1679</v>
      </c>
      <c r="Q7" s="3767"/>
      <c r="R7" s="701" t="s">
        <v>14</v>
      </c>
      <c r="S7" s="702">
        <f t="shared" ref="S7:S15" si="0">F7</f>
        <v>0</v>
      </c>
      <c r="T7" s="701" t="s">
        <v>14</v>
      </c>
      <c r="U7" s="702">
        <f t="shared" ref="U7:U15" si="1">H7</f>
        <v>0</v>
      </c>
      <c r="V7" s="701" t="s">
        <v>14</v>
      </c>
      <c r="W7" s="702">
        <f t="shared" ref="W7:W15" si="2">J7</f>
        <v>0</v>
      </c>
      <c r="X7" s="703"/>
      <c r="Y7" s="3765" t="s">
        <v>1679</v>
      </c>
      <c r="Z7" s="3766"/>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65" t="s">
        <v>1682</v>
      </c>
      <c r="Q8" s="3766"/>
      <c r="R8" s="701" t="s">
        <v>14</v>
      </c>
      <c r="S8" s="702">
        <f t="shared" si="0"/>
        <v>0</v>
      </c>
      <c r="T8" s="701" t="s">
        <v>14</v>
      </c>
      <c r="U8" s="702">
        <f t="shared" si="1"/>
        <v>0</v>
      </c>
      <c r="V8" s="701" t="s">
        <v>14</v>
      </c>
      <c r="W8" s="702">
        <f t="shared" si="2"/>
        <v>0</v>
      </c>
      <c r="X8" s="703"/>
      <c r="Y8" s="3765" t="s">
        <v>1682</v>
      </c>
      <c r="Z8" s="3766"/>
      <c r="AA8" s="704" t="e">
        <f t="shared" ref="AA8:AA45" si="3">D8/F8</f>
        <v>#DIV/0!</v>
      </c>
      <c r="AB8" s="704" t="e">
        <f t="shared" ref="AB8:AB45" si="4">D8/H8</f>
        <v>#DIV/0!</v>
      </c>
      <c r="AC8" s="704"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29" t="s">
        <v>1685</v>
      </c>
      <c r="Q9" s="1343" t="str">
        <f t="shared" ref="Q9:Q15" si="6">B9</f>
        <v>用途</v>
      </c>
      <c r="R9" s="701" t="s">
        <v>14</v>
      </c>
      <c r="S9" s="702">
        <f t="shared" si="0"/>
        <v>100</v>
      </c>
      <c r="T9" s="701" t="s">
        <v>14</v>
      </c>
      <c r="U9" s="702">
        <f t="shared" si="1"/>
        <v>100</v>
      </c>
      <c r="V9" s="701" t="s">
        <v>14</v>
      </c>
      <c r="W9" s="702">
        <f t="shared" si="2"/>
        <v>100</v>
      </c>
      <c r="X9" s="703"/>
      <c r="Y9" s="360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120</v>
      </c>
      <c r="G10" s="414"/>
      <c r="H10" s="127">
        <f>ROUND(100/'数据-取费表'!G16,0)</f>
        <v>120</v>
      </c>
      <c r="I10" s="414"/>
      <c r="J10" s="127">
        <f>ROUND(100/'数据-取费表'!G16,0)</f>
        <v>120</v>
      </c>
      <c r="K10" s="620"/>
      <c r="L10" s="2717"/>
      <c r="M10" s="2718"/>
      <c r="N10" s="2718"/>
      <c r="O10" s="2771"/>
      <c r="P10" s="3729"/>
      <c r="Q10" s="1343" t="str">
        <f t="shared" si="6"/>
        <v>土地使用年限（年）</v>
      </c>
      <c r="R10" s="701" t="s">
        <v>14</v>
      </c>
      <c r="S10" s="702">
        <f t="shared" si="0"/>
        <v>120</v>
      </c>
      <c r="T10" s="701" t="s">
        <v>14</v>
      </c>
      <c r="U10" s="702">
        <f t="shared" si="1"/>
        <v>120</v>
      </c>
      <c r="V10" s="701" t="s">
        <v>14</v>
      </c>
      <c r="W10" s="702">
        <f t="shared" si="2"/>
        <v>120</v>
      </c>
      <c r="X10" s="703"/>
      <c r="Y10" s="3604"/>
      <c r="Z10" s="52" t="str">
        <f t="shared" si="7"/>
        <v>土地使用年限（年）</v>
      </c>
      <c r="AA10" s="704">
        <f t="shared" si="3"/>
        <v>0.83333333333333337</v>
      </c>
      <c r="AB10" s="704">
        <f t="shared" si="4"/>
        <v>0.83333333333333337</v>
      </c>
      <c r="AC10" s="704">
        <f t="shared" si="5"/>
        <v>0.83333333333333337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9"/>
      <c r="Q11" s="1343" t="str">
        <f t="shared" si="6"/>
        <v>容积率</v>
      </c>
      <c r="R11" s="701" t="s">
        <v>14</v>
      </c>
      <c r="S11" s="702" t="e">
        <f t="shared" si="0"/>
        <v>#N/A</v>
      </c>
      <c r="T11" s="701" t="s">
        <v>14</v>
      </c>
      <c r="U11" s="702" t="e">
        <f t="shared" si="1"/>
        <v>#N/A</v>
      </c>
      <c r="V11" s="701" t="s">
        <v>14</v>
      </c>
      <c r="W11" s="702" t="e">
        <f t="shared" si="2"/>
        <v>#N/A</v>
      </c>
      <c r="X11" s="703"/>
      <c r="Y11" s="3604"/>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9"/>
      <c r="Q12" s="1343" t="str">
        <f t="shared" si="6"/>
        <v>配建</v>
      </c>
      <c r="R12" s="701" t="s">
        <v>14</v>
      </c>
      <c r="S12" s="702">
        <f t="shared" si="0"/>
        <v>100</v>
      </c>
      <c r="T12" s="701" t="s">
        <v>14</v>
      </c>
      <c r="U12" s="702">
        <f t="shared" si="1"/>
        <v>100</v>
      </c>
      <c r="V12" s="701" t="s">
        <v>14</v>
      </c>
      <c r="W12" s="702">
        <f t="shared" si="2"/>
        <v>100</v>
      </c>
      <c r="X12" s="703"/>
      <c r="Y12" s="360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9"/>
      <c r="Q13" s="1343">
        <f t="shared" si="6"/>
        <v>111</v>
      </c>
      <c r="R13" s="701" t="s">
        <v>14</v>
      </c>
      <c r="S13" s="702">
        <f t="shared" si="0"/>
        <v>100</v>
      </c>
      <c r="T13" s="701" t="s">
        <v>14</v>
      </c>
      <c r="U13" s="702">
        <f t="shared" si="1"/>
        <v>100</v>
      </c>
      <c r="V13" s="701" t="s">
        <v>14</v>
      </c>
      <c r="W13" s="702">
        <f t="shared" si="2"/>
        <v>100</v>
      </c>
      <c r="X13" s="703"/>
      <c r="Y13" s="3604"/>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9"/>
      <c r="Q14" s="1343">
        <f t="shared" si="6"/>
        <v>111</v>
      </c>
      <c r="R14" s="701" t="s">
        <v>14</v>
      </c>
      <c r="S14" s="702">
        <f t="shared" si="0"/>
        <v>100</v>
      </c>
      <c r="T14" s="701" t="s">
        <v>14</v>
      </c>
      <c r="U14" s="702">
        <f t="shared" si="1"/>
        <v>100</v>
      </c>
      <c r="V14" s="701" t="s">
        <v>14</v>
      </c>
      <c r="W14" s="702">
        <f t="shared" si="2"/>
        <v>100</v>
      </c>
      <c r="X14" s="703"/>
      <c r="Y14" s="3604"/>
      <c r="Z14" s="52">
        <f t="shared" si="7"/>
        <v>111</v>
      </c>
      <c r="AA14" s="704">
        <f>D14/F14</f>
        <v>1</v>
      </c>
      <c r="AB14" s="704">
        <f>D14/H14</f>
        <v>1</v>
      </c>
      <c r="AC14" s="704">
        <f>D14/J14</f>
        <v>1</v>
      </c>
    </row>
    <row r="15" spans="1:30" ht="99.75">
      <c r="A15" s="391" t="s">
        <v>1689</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31" t="s">
        <v>1690</v>
      </c>
      <c r="Q15" s="1352" t="str">
        <f t="shared" si="6"/>
        <v>居住社区成熟度</v>
      </c>
      <c r="R15" s="705" t="s">
        <v>14</v>
      </c>
      <c r="S15" s="706">
        <f t="shared" si="0"/>
        <v>100</v>
      </c>
      <c r="T15" s="705" t="s">
        <v>14</v>
      </c>
      <c r="U15" s="706">
        <f t="shared" si="1"/>
        <v>100</v>
      </c>
      <c r="V15" s="705" t="s">
        <v>14</v>
      </c>
      <c r="W15" s="706">
        <f t="shared" si="2"/>
        <v>100</v>
      </c>
      <c r="X15" s="1355"/>
      <c r="Y15" s="3731" t="s">
        <v>1690</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0"/>
      <c r="M16" s="2714"/>
      <c r="N16" s="2714"/>
      <c r="O16" s="2772"/>
      <c r="P16" s="3732"/>
      <c r="Q16" s="1352"/>
      <c r="R16" s="705"/>
      <c r="S16" s="706"/>
      <c r="T16" s="705"/>
      <c r="U16" s="706"/>
      <c r="V16" s="705"/>
      <c r="W16" s="706"/>
      <c r="X16" s="1355"/>
      <c r="Y16" s="3732"/>
      <c r="Z16" s="1356"/>
      <c r="AA16" s="1353">
        <v>1</v>
      </c>
      <c r="AB16" s="1353">
        <v>1</v>
      </c>
      <c r="AC16" s="1353">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0"/>
      <c r="M18" s="2714"/>
      <c r="N18" s="2714"/>
      <c r="O18" s="2772"/>
      <c r="P18" s="3732"/>
      <c r="Q18" s="1352"/>
      <c r="R18" s="705"/>
      <c r="S18" s="706"/>
      <c r="T18" s="705"/>
      <c r="U18" s="706"/>
      <c r="V18" s="705"/>
      <c r="W18" s="706"/>
      <c r="X18" s="1355"/>
      <c r="Y18" s="3732"/>
      <c r="Z18" s="1356"/>
      <c r="AA18" s="1353">
        <v>1</v>
      </c>
      <c r="AB18" s="1353">
        <v>1</v>
      </c>
      <c r="AC18" s="1353">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0"/>
      <c r="M20" s="2714"/>
      <c r="N20" s="2714"/>
      <c r="O20" s="2772"/>
      <c r="P20" s="3732"/>
      <c r="Q20" s="1352"/>
      <c r="R20" s="705"/>
      <c r="S20" s="706"/>
      <c r="T20" s="705"/>
      <c r="U20" s="706"/>
      <c r="V20" s="705"/>
      <c r="W20" s="706"/>
      <c r="X20" s="1355"/>
      <c r="Y20" s="3732"/>
      <c r="Z20" s="1356"/>
      <c r="AA20" s="1353">
        <v>1</v>
      </c>
      <c r="AB20" s="1353">
        <v>1</v>
      </c>
      <c r="AC20" s="1353">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0"/>
      <c r="M22" s="2714"/>
      <c r="N22" s="2714"/>
      <c r="O22" s="2772"/>
      <c r="P22" s="3732"/>
      <c r="Q22" s="1352"/>
      <c r="R22" s="705"/>
      <c r="S22" s="706"/>
      <c r="T22" s="705"/>
      <c r="U22" s="706"/>
      <c r="V22" s="705"/>
      <c r="W22" s="706"/>
      <c r="X22" s="1355"/>
      <c r="Y22" s="3732"/>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0"/>
      <c r="M24" s="2714"/>
      <c r="N24" s="2714"/>
      <c r="O24" s="2772"/>
      <c r="P24" s="3732"/>
      <c r="Q24" s="1352"/>
      <c r="R24" s="705"/>
      <c r="S24" s="706"/>
      <c r="T24" s="705"/>
      <c r="U24" s="706"/>
      <c r="V24" s="705"/>
      <c r="W24" s="706"/>
      <c r="X24" s="1355"/>
      <c r="Y24" s="3732"/>
      <c r="Z24" s="1356"/>
      <c r="AA24" s="1353"/>
      <c r="AB24" s="1353"/>
      <c r="AC24" s="1353"/>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0"/>
      <c r="M26" s="2714"/>
      <c r="N26" s="2714"/>
      <c r="O26" s="2772"/>
      <c r="P26" s="3732"/>
      <c r="Q26" s="1352"/>
      <c r="R26" s="705"/>
      <c r="S26" s="706"/>
      <c r="T26" s="705"/>
      <c r="U26" s="706"/>
      <c r="V26" s="705"/>
      <c r="W26" s="706"/>
      <c r="X26" s="1355"/>
      <c r="Y26" s="3732"/>
      <c r="Z26" s="1356"/>
      <c r="AA26" s="1353">
        <v>1</v>
      </c>
      <c r="AB26" s="1353">
        <v>1</v>
      </c>
      <c r="AC26" s="1353">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5"/>
      <c r="M28" s="2716"/>
      <c r="N28" s="2716"/>
      <c r="O28" s="2770"/>
      <c r="P28" s="3732"/>
      <c r="Q28" s="1343"/>
      <c r="R28" s="701"/>
      <c r="S28" s="702"/>
      <c r="T28" s="701"/>
      <c r="U28" s="702"/>
      <c r="V28" s="701"/>
      <c r="W28" s="702"/>
      <c r="X28" s="703"/>
      <c r="Y28" s="3732"/>
      <c r="Z28" s="52"/>
      <c r="AA28" s="1353">
        <v>1</v>
      </c>
      <c r="AB28" s="1353">
        <v>1</v>
      </c>
      <c r="AC28" s="1353">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732"/>
      <c r="Q30" s="1343"/>
      <c r="R30" s="701"/>
      <c r="S30" s="702"/>
      <c r="T30" s="701"/>
      <c r="U30" s="702"/>
      <c r="V30" s="701"/>
      <c r="W30" s="702"/>
      <c r="X30" s="703"/>
      <c r="Y30" s="3732"/>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0"/>
      <c r="M33" s="2714"/>
      <c r="N33" s="2714"/>
      <c r="O33" s="2772"/>
      <c r="P33" s="3732"/>
      <c r="Q33" s="1352"/>
      <c r="R33" s="705"/>
      <c r="S33" s="706"/>
      <c r="T33" s="705"/>
      <c r="U33" s="706"/>
      <c r="V33" s="705"/>
      <c r="W33" s="706"/>
      <c r="X33" s="1355"/>
      <c r="Y33" s="3732"/>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87" t="s">
        <v>1695</v>
      </c>
      <c r="Q36" s="1352">
        <f t="shared" si="8"/>
        <v>111</v>
      </c>
      <c r="R36" s="705" t="s">
        <v>14</v>
      </c>
      <c r="S36" s="706">
        <f t="shared" si="10"/>
        <v>100</v>
      </c>
      <c r="T36" s="705" t="s">
        <v>14</v>
      </c>
      <c r="U36" s="706">
        <f t="shared" si="11"/>
        <v>100</v>
      </c>
      <c r="V36" s="705" t="s">
        <v>14</v>
      </c>
      <c r="W36" s="706">
        <f t="shared" si="12"/>
        <v>100</v>
      </c>
      <c r="X36" s="1355"/>
      <c r="Y36" s="3736"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36" t="s">
        <v>1695</v>
      </c>
      <c r="Q42" s="1352" t="str">
        <f t="shared" si="14"/>
        <v>工程地质条件</v>
      </c>
      <c r="R42" s="705" t="s">
        <v>14</v>
      </c>
      <c r="S42" s="706">
        <f t="shared" si="10"/>
        <v>100</v>
      </c>
      <c r="T42" s="705" t="s">
        <v>14</v>
      </c>
      <c r="U42" s="706">
        <f t="shared" si="11"/>
        <v>100</v>
      </c>
      <c r="V42" s="705" t="s">
        <v>14</v>
      </c>
      <c r="W42" s="706">
        <f t="shared" si="12"/>
        <v>100</v>
      </c>
      <c r="X42" s="1355"/>
      <c r="Y42" s="3736"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5">
      <c r="A46" s="430" t="s">
        <v>1843</v>
      </c>
      <c r="B46" s="1981" t="s">
        <v>1878</v>
      </c>
      <c r="C46" s="630" t="s">
        <v>0</v>
      </c>
      <c r="D46" s="432"/>
      <c r="E46" s="433"/>
      <c r="F46" s="434"/>
      <c r="G46" s="435"/>
      <c r="H46" s="436"/>
      <c r="I46" s="433"/>
      <c r="J46" s="436"/>
      <c r="K46" s="714"/>
      <c r="L46" s="2722"/>
      <c r="M46" s="2723"/>
      <c r="N46" s="2714"/>
      <c r="O46" s="2723"/>
      <c r="P46" s="3729" t="str">
        <f>A46</f>
        <v>成交单价</v>
      </c>
      <c r="Q46" s="3729"/>
      <c r="R46" s="3760">
        <f>E46</f>
        <v>0</v>
      </c>
      <c r="S46" s="3760"/>
      <c r="T46" s="3760">
        <f>G46</f>
        <v>0</v>
      </c>
      <c r="U46" s="3760"/>
      <c r="V46" s="3760">
        <f>I46</f>
        <v>0</v>
      </c>
      <c r="W46" s="3760"/>
      <c r="X46" s="690"/>
      <c r="Y46" s="712"/>
      <c r="Z46" s="690"/>
      <c r="AA46" s="690"/>
      <c r="AB46" s="690"/>
      <c r="AC46" s="690"/>
    </row>
    <row r="47" spans="1:29" ht="15.75" thickBot="1">
      <c r="A47" s="437" t="s">
        <v>1792</v>
      </c>
      <c r="B47" s="631"/>
      <c r="C47" s="440" t="e">
        <f>R48</f>
        <v>#DIV/0!</v>
      </c>
      <c r="D47" s="2316" t="s">
        <v>2137</v>
      </c>
      <c r="E47" s="440" t="e">
        <f>R47</f>
        <v>#DIV/0!</v>
      </c>
      <c r="F47" s="2317"/>
      <c r="G47" s="439" t="e">
        <f>T47</f>
        <v>#DIV/0!</v>
      </c>
      <c r="H47" s="2317"/>
      <c r="I47" s="440" t="e">
        <f>V47</f>
        <v>#DIV/0!</v>
      </c>
      <c r="J47" s="2317"/>
      <c r="K47" s="2319">
        <f>F47+H47+J47</f>
        <v>0</v>
      </c>
      <c r="L47" s="2722"/>
      <c r="M47" s="2723"/>
      <c r="N47" s="2723"/>
      <c r="O47" s="2723"/>
      <c r="P47" s="3729" t="str">
        <f>A47</f>
        <v>比较价值（元/平方米）</v>
      </c>
      <c r="Q47" s="3729"/>
      <c r="R47" s="3789" t="e">
        <f>ROUND(PRODUCT(R46,AA7:AA45),0)</f>
        <v>#DIV/0!</v>
      </c>
      <c r="S47" s="3789"/>
      <c r="T47" s="3789" t="e">
        <f>ROUND(PRODUCT(T46,AB7:AB45),0)</f>
        <v>#DIV/0!</v>
      </c>
      <c r="U47" s="3789"/>
      <c r="V47" s="3789" t="e">
        <f>ROUND(PRODUCT(V46,AC7:AC45),0)</f>
        <v>#DIV/0!</v>
      </c>
      <c r="W47" s="3789"/>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726" t="str">
        <f>A48</f>
        <v>估价对象XX用房的比较价值（楼面单价，元/平方米）</v>
      </c>
      <c r="Q48" s="3727"/>
      <c r="R48" s="3790" t="e">
        <f>ROUND(IF(D47="简单平均",AVERAGE(R47:W47),R47*F47+T47*H47+V47*J47),0)</f>
        <v>#DIV/0!</v>
      </c>
      <c r="S48" s="3790"/>
      <c r="T48" s="3790"/>
      <c r="U48" s="3790"/>
      <c r="V48" s="3790"/>
      <c r="W48" s="3790"/>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2" t="s">
        <v>1882</v>
      </c>
      <c r="D55" s="1983" t="s">
        <v>1883</v>
      </c>
      <c r="E55" s="634" t="s">
        <v>1884</v>
      </c>
      <c r="F55" s="890" t="s">
        <v>1885</v>
      </c>
      <c r="G55" s="3744" t="s">
        <v>1886</v>
      </c>
      <c r="H55" s="3791"/>
      <c r="I55" s="135" t="s">
        <v>1887</v>
      </c>
      <c r="J55" s="1984">
        <f>项目基本情况!F35</f>
        <v>0</v>
      </c>
      <c r="K55" s="1985"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35184.699999999997</v>
      </c>
      <c r="F56" s="886" t="e">
        <f t="shared" ref="F56:F64" si="15">ROUND(B56*E56/10000,0)</f>
        <v>#DIV/0!</v>
      </c>
      <c r="G56" s="3740"/>
      <c r="H56" s="3729"/>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0.3</v>
      </c>
      <c r="D60" s="945">
        <v>0.25</v>
      </c>
      <c r="E60" s="217">
        <f>'数据-汇总表'!E11</f>
        <v>0</v>
      </c>
      <c r="F60" s="886" t="e">
        <f t="shared" si="15"/>
        <v>#DIV/0!</v>
      </c>
      <c r="G60" s="1986" t="s">
        <v>1895</v>
      </c>
      <c r="H60" s="887" t="str">
        <f>项目基本情况!C37</f>
        <v>一级</v>
      </c>
      <c r="I60" s="891">
        <f>SUMIF(修正!A57:A68,H60,修正!E57:E68)</f>
        <v>0.3</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0.3</v>
      </c>
      <c r="D61" s="945">
        <v>0.25</v>
      </c>
      <c r="E61" s="217">
        <f>'数据-汇总表'!E12</f>
        <v>0</v>
      </c>
      <c r="F61" s="886" t="e">
        <f t="shared" si="15"/>
        <v>#DIV/0!</v>
      </c>
      <c r="G61" s="892" t="s">
        <v>1897</v>
      </c>
      <c r="H61" s="887" t="str">
        <f>IF(G61="商业",项目基本情况!B37,IF(G61="办公",项目基本情况!C37,IF(G61="住宅",项目基本情况!D37,项目基本情况!E37)))</f>
        <v>一级</v>
      </c>
      <c r="I61" s="891">
        <f>SUMIF(修正!A57:A68,H61,修正!F57:F68)</f>
        <v>0.3</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0.2</v>
      </c>
      <c r="D64" s="945">
        <v>0.25</v>
      </c>
      <c r="E64" s="217">
        <f>'数据-汇总表'!E15</f>
        <v>0</v>
      </c>
      <c r="F64" s="886" t="e">
        <f t="shared" si="15"/>
        <v>#DIV/0!</v>
      </c>
      <c r="G64" s="1987" t="s">
        <v>1895</v>
      </c>
      <c r="H64" s="897" t="str">
        <f>项目基本情况!C37</f>
        <v>一级</v>
      </c>
      <c r="I64" s="893">
        <f>SUMIF(修正!A57:A68,H64,修正!G57:G68)</f>
        <v>0.2</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35184.699999999997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1903</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44" t="s">
        <v>1769</v>
      </c>
      <c r="D4" s="3745"/>
      <c r="E4" s="3746" t="s">
        <v>1770</v>
      </c>
      <c r="F4" s="3747"/>
      <c r="G4" s="3744" t="s">
        <v>1771</v>
      </c>
      <c r="H4" s="3745"/>
      <c r="I4" s="3744" t="s">
        <v>1772</v>
      </c>
      <c r="J4" s="3745"/>
      <c r="K4" s="559" t="s">
        <v>1773</v>
      </c>
      <c r="L4" s="2713"/>
      <c r="M4" s="2714"/>
      <c r="N4" s="2714"/>
      <c r="O4" s="2714"/>
      <c r="P4" s="3748" t="s">
        <v>1774</v>
      </c>
      <c r="Q4" s="3749"/>
      <c r="R4" s="3754" t="s">
        <v>1770</v>
      </c>
      <c r="S4" s="3755"/>
      <c r="T4" s="3754" t="s">
        <v>1771</v>
      </c>
      <c r="U4" s="3755"/>
      <c r="V4" s="3760" t="s">
        <v>1772</v>
      </c>
      <c r="W4" s="3760"/>
      <c r="X4" s="1355"/>
      <c r="Y4" s="3754" t="s">
        <v>1774</v>
      </c>
      <c r="Z4" s="3755"/>
      <c r="AA4" s="3741" t="s">
        <v>1770</v>
      </c>
      <c r="AB4" s="3742" t="s">
        <v>1771</v>
      </c>
      <c r="AC4" s="3741" t="s">
        <v>1772</v>
      </c>
    </row>
    <row r="5" spans="1:29" ht="15">
      <c r="A5" s="358"/>
      <c r="B5" s="359"/>
      <c r="C5" s="3763" t="s">
        <v>1672</v>
      </c>
      <c r="D5" s="3764"/>
      <c r="E5" s="3770" t="s">
        <v>1673</v>
      </c>
      <c r="F5" s="3771"/>
      <c r="G5" s="3763" t="s">
        <v>1674</v>
      </c>
      <c r="H5" s="3764"/>
      <c r="I5" s="3763" t="s">
        <v>1675</v>
      </c>
      <c r="J5" s="3764"/>
      <c r="K5" s="559"/>
      <c r="L5" s="2713"/>
      <c r="M5" s="2714"/>
      <c r="N5" s="2714"/>
      <c r="O5" s="2714"/>
      <c r="P5" s="3750"/>
      <c r="Q5" s="3751"/>
      <c r="R5" s="3756"/>
      <c r="S5" s="3757"/>
      <c r="T5" s="3756"/>
      <c r="U5" s="3757"/>
      <c r="V5" s="3760"/>
      <c r="W5" s="3760"/>
      <c r="X5" s="1355"/>
      <c r="Y5" s="3756"/>
      <c r="Z5" s="3757"/>
      <c r="AA5" s="3742"/>
      <c r="AB5" s="3742"/>
      <c r="AC5" s="3742"/>
    </row>
    <row r="6" spans="1:29" ht="15.75" thickBot="1">
      <c r="A6" s="360"/>
      <c r="B6" s="361"/>
      <c r="C6" s="3792" t="s">
        <v>1918</v>
      </c>
      <c r="D6" s="3793"/>
      <c r="E6" s="3794" t="s">
        <v>1918</v>
      </c>
      <c r="F6" s="3795"/>
      <c r="G6" s="3792" t="s">
        <v>1918</v>
      </c>
      <c r="H6" s="3793"/>
      <c r="I6" s="3792" t="s">
        <v>1918</v>
      </c>
      <c r="J6" s="3793"/>
      <c r="K6" s="559" t="s">
        <v>1677</v>
      </c>
      <c r="L6" s="2713"/>
      <c r="M6" s="2714"/>
      <c r="N6" s="2714"/>
      <c r="O6" s="2714"/>
      <c r="P6" s="3752"/>
      <c r="Q6" s="3753"/>
      <c r="R6" s="3756"/>
      <c r="S6" s="3757"/>
      <c r="T6" s="3758"/>
      <c r="U6" s="3759"/>
      <c r="V6" s="3760"/>
      <c r="W6" s="3760"/>
      <c r="X6" s="1355"/>
      <c r="Y6" s="3758"/>
      <c r="Z6" s="3759"/>
      <c r="AA6" s="3743"/>
      <c r="AB6" s="3743"/>
      <c r="AC6" s="3743"/>
    </row>
    <row r="7" spans="1:29" s="108" customFormat="1" ht="15.75" thickBot="1">
      <c r="A7" s="362" t="s">
        <v>1678</v>
      </c>
      <c r="B7" s="363"/>
      <c r="C7" s="364">
        <f>'数据-取费表'!B2</f>
        <v>45348</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65" t="s">
        <v>1679</v>
      </c>
      <c r="Q7" s="3767"/>
      <c r="R7" s="701" t="s">
        <v>14</v>
      </c>
      <c r="S7" s="702">
        <f t="shared" ref="S7:S15" si="0">F7</f>
        <v>0</v>
      </c>
      <c r="T7" s="701" t="s">
        <v>14</v>
      </c>
      <c r="U7" s="702">
        <f t="shared" ref="U7:U15" si="1">H7</f>
        <v>0</v>
      </c>
      <c r="V7" s="701" t="s">
        <v>14</v>
      </c>
      <c r="W7" s="702">
        <f t="shared" ref="W7:W15" si="2">J7</f>
        <v>0</v>
      </c>
      <c r="X7" s="703"/>
      <c r="Y7" s="3765" t="s">
        <v>1679</v>
      </c>
      <c r="Z7" s="3766"/>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65" t="s">
        <v>1682</v>
      </c>
      <c r="Q8" s="3766"/>
      <c r="R8" s="701" t="s">
        <v>14</v>
      </c>
      <c r="S8" s="702">
        <f t="shared" si="0"/>
        <v>0</v>
      </c>
      <c r="T8" s="701" t="s">
        <v>14</v>
      </c>
      <c r="U8" s="702">
        <f t="shared" si="1"/>
        <v>0</v>
      </c>
      <c r="V8" s="701" t="s">
        <v>14</v>
      </c>
      <c r="W8" s="702">
        <f t="shared" si="2"/>
        <v>0</v>
      </c>
      <c r="X8" s="703"/>
      <c r="Y8" s="3765" t="s">
        <v>1682</v>
      </c>
      <c r="Z8" s="3766"/>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29" t="s">
        <v>1685</v>
      </c>
      <c r="Q9" s="1343" t="str">
        <f t="shared" ref="Q9:Q15" si="6">B9</f>
        <v>用途</v>
      </c>
      <c r="R9" s="701" t="s">
        <v>14</v>
      </c>
      <c r="S9" s="702">
        <f t="shared" si="0"/>
        <v>100</v>
      </c>
      <c r="T9" s="701" t="s">
        <v>14</v>
      </c>
      <c r="U9" s="702">
        <f t="shared" si="1"/>
        <v>100</v>
      </c>
      <c r="V9" s="701" t="s">
        <v>14</v>
      </c>
      <c r="W9" s="702">
        <f t="shared" si="2"/>
        <v>100</v>
      </c>
      <c r="X9" s="703"/>
      <c r="Y9" s="360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120</v>
      </c>
      <c r="G10" s="383"/>
      <c r="H10" s="127">
        <f>ROUND(100/'数据-取费表'!G16,0)</f>
        <v>120</v>
      </c>
      <c r="I10" s="383"/>
      <c r="J10" s="127">
        <f>ROUND(100/'数据-取费表'!G16,0)</f>
        <v>120</v>
      </c>
      <c r="K10" s="620"/>
      <c r="L10" s="2717"/>
      <c r="M10" s="2718"/>
      <c r="N10" s="2718"/>
      <c r="O10" s="2771"/>
      <c r="P10" s="3729"/>
      <c r="Q10" s="1343" t="str">
        <f t="shared" si="6"/>
        <v>土地使用年限（年）</v>
      </c>
      <c r="R10" s="701" t="s">
        <v>14</v>
      </c>
      <c r="S10" s="702">
        <f t="shared" si="0"/>
        <v>120</v>
      </c>
      <c r="T10" s="701" t="s">
        <v>14</v>
      </c>
      <c r="U10" s="702">
        <f t="shared" si="1"/>
        <v>120</v>
      </c>
      <c r="V10" s="701" t="s">
        <v>14</v>
      </c>
      <c r="W10" s="702">
        <f t="shared" si="2"/>
        <v>120</v>
      </c>
      <c r="X10" s="703"/>
      <c r="Y10" s="3604"/>
      <c r="Z10" s="52" t="str">
        <f t="shared" si="7"/>
        <v>土地使用年限（年）</v>
      </c>
      <c r="AA10" s="704">
        <f t="shared" si="3"/>
        <v>0.83333333333333337</v>
      </c>
      <c r="AB10" s="704">
        <f t="shared" si="4"/>
        <v>0.83333333333333337</v>
      </c>
      <c r="AC10" s="704">
        <f t="shared" si="5"/>
        <v>0.83333333333333337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9"/>
      <c r="Q11" s="1343" t="str">
        <f t="shared" si="6"/>
        <v>容积率</v>
      </c>
      <c r="R11" s="701" t="s">
        <v>14</v>
      </c>
      <c r="S11" s="702" t="e">
        <f t="shared" si="0"/>
        <v>#N/A</v>
      </c>
      <c r="T11" s="701" t="s">
        <v>14</v>
      </c>
      <c r="U11" s="702" t="e">
        <f t="shared" si="1"/>
        <v>#N/A</v>
      </c>
      <c r="V11" s="701" t="s">
        <v>14</v>
      </c>
      <c r="W11" s="702" t="e">
        <f t="shared" si="2"/>
        <v>#N/A</v>
      </c>
      <c r="X11" s="703"/>
      <c r="Y11" s="3604"/>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9"/>
      <c r="Q12" s="1343">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9"/>
      <c r="Q13" s="1343">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9"/>
      <c r="Q14" s="1343">
        <f t="shared" si="6"/>
        <v>111</v>
      </c>
      <c r="R14" s="701" t="s">
        <v>14</v>
      </c>
      <c r="S14" s="702">
        <f t="shared" si="0"/>
        <v>100</v>
      </c>
      <c r="T14" s="701" t="s">
        <v>14</v>
      </c>
      <c r="U14" s="702">
        <f t="shared" si="1"/>
        <v>100</v>
      </c>
      <c r="V14" s="701" t="s">
        <v>14</v>
      </c>
      <c r="W14" s="702">
        <f t="shared" si="2"/>
        <v>100</v>
      </c>
      <c r="X14" s="703"/>
      <c r="Y14" s="3604"/>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31" t="s">
        <v>1690</v>
      </c>
      <c r="Q15" s="1352" t="str">
        <f t="shared" si="6"/>
        <v>产业集聚程度</v>
      </c>
      <c r="R15" s="705" t="s">
        <v>14</v>
      </c>
      <c r="S15" s="706">
        <f t="shared" si="0"/>
        <v>100</v>
      </c>
      <c r="T15" s="705" t="s">
        <v>14</v>
      </c>
      <c r="U15" s="706">
        <f t="shared" si="1"/>
        <v>100</v>
      </c>
      <c r="V15" s="705" t="s">
        <v>14</v>
      </c>
      <c r="W15" s="706">
        <f t="shared" si="2"/>
        <v>100</v>
      </c>
      <c r="X15" s="1355"/>
      <c r="Y15" s="3731" t="s">
        <v>1690</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0"/>
      <c r="M16" s="2714"/>
      <c r="N16" s="2714"/>
      <c r="O16" s="2772"/>
      <c r="P16" s="3732"/>
      <c r="Q16" s="1352"/>
      <c r="R16" s="705"/>
      <c r="S16" s="706"/>
      <c r="T16" s="705"/>
      <c r="U16" s="706"/>
      <c r="V16" s="705"/>
      <c r="W16" s="706"/>
      <c r="X16" s="1355"/>
      <c r="Y16" s="3732"/>
      <c r="Z16" s="1356"/>
      <c r="AA16" s="1353">
        <v>1</v>
      </c>
      <c r="AB16" s="1353">
        <v>1</v>
      </c>
      <c r="AC16" s="1353">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0"/>
      <c r="M18" s="2714"/>
      <c r="N18" s="2714"/>
      <c r="O18" s="2772"/>
      <c r="P18" s="3732"/>
      <c r="Q18" s="1352"/>
      <c r="R18" s="705"/>
      <c r="S18" s="706"/>
      <c r="T18" s="705"/>
      <c r="U18" s="706"/>
      <c r="V18" s="705"/>
      <c r="W18" s="706"/>
      <c r="X18" s="1355"/>
      <c r="Y18" s="3732"/>
      <c r="Z18" s="1356"/>
      <c r="AA18" s="1353">
        <v>1</v>
      </c>
      <c r="AB18" s="1353">
        <v>1</v>
      </c>
      <c r="AC18" s="1353">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0"/>
      <c r="M20" s="2714"/>
      <c r="N20" s="2714"/>
      <c r="O20" s="2772"/>
      <c r="P20" s="3732"/>
      <c r="Q20" s="1352"/>
      <c r="R20" s="705"/>
      <c r="S20" s="706"/>
      <c r="T20" s="705"/>
      <c r="U20" s="706"/>
      <c r="V20" s="705"/>
      <c r="W20" s="706"/>
      <c r="X20" s="1355"/>
      <c r="Y20" s="3732"/>
      <c r="Z20" s="1356"/>
      <c r="AA20" s="1353"/>
      <c r="AB20" s="1353"/>
      <c r="AC20" s="1353"/>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0"/>
      <c r="M22" s="2714"/>
      <c r="N22" s="2714"/>
      <c r="O22" s="2772"/>
      <c r="P22" s="3732"/>
      <c r="Q22" s="1352"/>
      <c r="R22" s="705"/>
      <c r="S22" s="706"/>
      <c r="T22" s="705"/>
      <c r="U22" s="706"/>
      <c r="V22" s="705"/>
      <c r="W22" s="706"/>
      <c r="X22" s="1355"/>
      <c r="Y22" s="3732"/>
      <c r="Z22" s="1356"/>
      <c r="AA22" s="1353">
        <v>1</v>
      </c>
      <c r="AB22" s="1353">
        <v>1</v>
      </c>
      <c r="AC22" s="1353">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5"/>
      <c r="M24" s="2716"/>
      <c r="N24" s="2716"/>
      <c r="O24" s="2770"/>
      <c r="P24" s="3732"/>
      <c r="Q24" s="1343"/>
      <c r="R24" s="701"/>
      <c r="S24" s="702"/>
      <c r="T24" s="701"/>
      <c r="U24" s="702"/>
      <c r="V24" s="701"/>
      <c r="W24" s="702"/>
      <c r="X24" s="703"/>
      <c r="Y24" s="3732"/>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732"/>
      <c r="Q26" s="1343"/>
      <c r="R26" s="701"/>
      <c r="S26" s="702"/>
      <c r="T26" s="701"/>
      <c r="U26" s="702"/>
      <c r="V26" s="701"/>
      <c r="W26" s="702"/>
      <c r="X26" s="703"/>
      <c r="Y26" s="3732"/>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0"/>
      <c r="M29" s="2714"/>
      <c r="N29" s="2714"/>
      <c r="O29" s="2772"/>
      <c r="P29" s="3732"/>
      <c r="Q29" s="1352"/>
      <c r="R29" s="705"/>
      <c r="S29" s="706"/>
      <c r="T29" s="705"/>
      <c r="U29" s="706"/>
      <c r="V29" s="705"/>
      <c r="W29" s="706"/>
      <c r="X29" s="1355"/>
      <c r="Y29" s="3732"/>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87" t="s">
        <v>1695</v>
      </c>
      <c r="Q32" s="1352">
        <f t="shared" si="8"/>
        <v>111</v>
      </c>
      <c r="R32" s="705" t="s">
        <v>14</v>
      </c>
      <c r="S32" s="706">
        <f t="shared" si="10"/>
        <v>100</v>
      </c>
      <c r="T32" s="705" t="s">
        <v>14</v>
      </c>
      <c r="U32" s="706">
        <f t="shared" si="11"/>
        <v>100</v>
      </c>
      <c r="V32" s="705" t="s">
        <v>14</v>
      </c>
      <c r="W32" s="706">
        <f t="shared" si="12"/>
        <v>100</v>
      </c>
      <c r="X32" s="1355"/>
      <c r="Y32" s="3736" t="s">
        <v>1695</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36" t="s">
        <v>1695</v>
      </c>
      <c r="Q37" s="1352" t="str">
        <f t="shared" si="14"/>
        <v>工程地质条件</v>
      </c>
      <c r="R37" s="705" t="s">
        <v>14</v>
      </c>
      <c r="S37" s="706">
        <f t="shared" si="10"/>
        <v>100</v>
      </c>
      <c r="T37" s="705" t="s">
        <v>14</v>
      </c>
      <c r="U37" s="706">
        <f t="shared" si="11"/>
        <v>100</v>
      </c>
      <c r="V37" s="705" t="s">
        <v>14</v>
      </c>
      <c r="W37" s="706">
        <f t="shared" si="12"/>
        <v>100</v>
      </c>
      <c r="X37" s="1355"/>
      <c r="Y37" s="3736"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5">
      <c r="A41" s="430" t="s">
        <v>1843</v>
      </c>
      <c r="B41" s="1981" t="s">
        <v>1921</v>
      </c>
      <c r="C41" s="630" t="s">
        <v>0</v>
      </c>
      <c r="D41" s="432"/>
      <c r="E41" s="433"/>
      <c r="F41" s="434"/>
      <c r="G41" s="435"/>
      <c r="H41" s="436"/>
      <c r="I41" s="433"/>
      <c r="J41" s="436"/>
      <c r="K41" s="714"/>
      <c r="L41" s="2722"/>
      <c r="M41" s="2714"/>
      <c r="N41" s="2714"/>
      <c r="O41" s="2723"/>
      <c r="P41" s="3729" t="str">
        <f>A41</f>
        <v>成交单价</v>
      </c>
      <c r="Q41" s="3729"/>
      <c r="R41" s="3760">
        <f>E41</f>
        <v>0</v>
      </c>
      <c r="S41" s="3760"/>
      <c r="T41" s="3760">
        <f>G41</f>
        <v>0</v>
      </c>
      <c r="U41" s="3760"/>
      <c r="V41" s="3760">
        <f>I41</f>
        <v>0</v>
      </c>
      <c r="W41" s="3760"/>
      <c r="X41" s="690"/>
      <c r="Y41" s="712"/>
      <c r="Z41" s="690"/>
      <c r="AA41" s="690"/>
      <c r="AB41" s="690"/>
      <c r="AC41" s="690"/>
    </row>
    <row r="42" spans="1:31" ht="15.75" thickBot="1">
      <c r="A42" s="437" t="s">
        <v>1792</v>
      </c>
      <c r="B42" s="631"/>
      <c r="C42" s="440" t="e">
        <f>R43</f>
        <v>#DIV/0!</v>
      </c>
      <c r="D42" s="2316" t="s">
        <v>2137</v>
      </c>
      <c r="E42" s="440" t="e">
        <f>R42</f>
        <v>#DIV/0!</v>
      </c>
      <c r="F42" s="2317"/>
      <c r="G42" s="439" t="e">
        <f>T42</f>
        <v>#DIV/0!</v>
      </c>
      <c r="H42" s="2317"/>
      <c r="I42" s="440" t="e">
        <f>V42</f>
        <v>#DIV/0!</v>
      </c>
      <c r="J42" s="2317"/>
      <c r="K42" s="2319">
        <f>F42+H42+J42</f>
        <v>0</v>
      </c>
      <c r="L42" s="2722"/>
      <c r="M42" s="2714"/>
      <c r="N42" s="2714"/>
      <c r="O42" s="2723"/>
      <c r="P42" s="3729" t="str">
        <f>A42</f>
        <v>比较价值（元/平方米）</v>
      </c>
      <c r="Q42" s="3729"/>
      <c r="R42" s="3789" t="e">
        <f>ROUND(PRODUCT(R41,AA7:AA40),0)</f>
        <v>#DIV/0!</v>
      </c>
      <c r="S42" s="3789"/>
      <c r="T42" s="3789" t="e">
        <f>ROUND(PRODUCT(T41,AB7:AB40),0)</f>
        <v>#DIV/0!</v>
      </c>
      <c r="U42" s="3789"/>
      <c r="V42" s="3789" t="e">
        <f>ROUND(PRODUCT(V41,AC7:AC40),0)</f>
        <v>#DIV/0!</v>
      </c>
      <c r="W42" s="3789"/>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726" t="str">
        <f>A43</f>
        <v>估价对象XX用房的比较价值（楼面单价，元/平方米）</v>
      </c>
      <c r="Q43" s="3727"/>
      <c r="R43" s="3790" t="e">
        <f>ROUND(IF(D42="简单平均",AVERAGE(R42:W42),R42*F42+T42*H42+V42*J42),0)</f>
        <v>#DIV/0!</v>
      </c>
      <c r="S43" s="3790"/>
      <c r="T43" s="3790"/>
      <c r="U43" s="3790"/>
      <c r="V43" s="3790"/>
      <c r="W43" s="3790"/>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2" t="s">
        <v>1882</v>
      </c>
      <c r="D50" s="1983" t="s">
        <v>1883</v>
      </c>
      <c r="E50" s="634" t="s">
        <v>1884</v>
      </c>
      <c r="F50" s="635" t="s">
        <v>1885</v>
      </c>
      <c r="G50" s="3744" t="s">
        <v>1886</v>
      </c>
      <c r="H50" s="3791"/>
      <c r="I50" s="1356" t="s">
        <v>1922</v>
      </c>
      <c r="J50" s="1356">
        <f>项目基本情况!F35</f>
        <v>0</v>
      </c>
      <c r="K50" s="1985"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35184.699999999997</v>
      </c>
      <c r="F51" s="639" t="e">
        <f t="shared" ref="F51:F60" si="15">ROUND(B51*E51/10000,0)</f>
        <v>#DIV/0!</v>
      </c>
      <c r="G51" s="3740"/>
      <c r="H51" s="3729"/>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0.3</v>
      </c>
      <c r="D56" s="945">
        <v>0.25</v>
      </c>
      <c r="E56" s="217">
        <f>'数据-汇总表'!E11</f>
        <v>0</v>
      </c>
      <c r="F56" s="639" t="e">
        <f t="shared" si="15"/>
        <v>#DIV/0!</v>
      </c>
      <c r="G56" s="1986" t="s">
        <v>1895</v>
      </c>
      <c r="H56" s="887" t="str">
        <f>项目基本情况!C37</f>
        <v>一级</v>
      </c>
      <c r="I56" s="773">
        <f>SUMIF(修正!A57:A68,H56,修正!E57:E68)</f>
        <v>0.3</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0.3</v>
      </c>
      <c r="D57" s="945">
        <v>0.25</v>
      </c>
      <c r="E57" s="217">
        <f>'数据-汇总表'!E12</f>
        <v>0</v>
      </c>
      <c r="F57" s="639" t="e">
        <f t="shared" si="15"/>
        <v>#DIV/0!</v>
      </c>
      <c r="G57" s="892" t="s">
        <v>1897</v>
      </c>
      <c r="H57" s="887" t="str">
        <f>IF(G57="商业",项目基本情况!B37,IF(G57="办公",项目基本情况!C37,IF(G57="住宅",项目基本情况!D37,项目基本情况!E37)))</f>
        <v>一级</v>
      </c>
      <c r="I57" s="773">
        <f>SUMIF(修正!A57:A68,H57,修正!F57:F68)</f>
        <v>0.3</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0.2</v>
      </c>
      <c r="D60" s="945">
        <v>0.25</v>
      </c>
      <c r="E60" s="217">
        <f>'数据-汇总表'!E15</f>
        <v>0</v>
      </c>
      <c r="F60" s="639" t="e">
        <f t="shared" si="15"/>
        <v>#DIV/0!</v>
      </c>
      <c r="G60" s="1987" t="s">
        <v>1895</v>
      </c>
      <c r="H60" s="897" t="str">
        <f>项目基本情况!C37</f>
        <v>一级</v>
      </c>
      <c r="I60" s="773">
        <f>SUMIF(修正!A57:A68,H60,修正!G57:G68)</f>
        <v>0.2</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1903</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9" t="s">
        <v>2083</v>
      </c>
      <c r="D1" s="3800"/>
      <c r="E1" s="3800"/>
      <c r="F1" s="3800"/>
      <c r="G1" s="3800"/>
      <c r="H1" s="3800"/>
      <c r="I1" s="3800"/>
      <c r="J1" s="3800"/>
      <c r="K1" s="3800"/>
      <c r="L1" s="3800"/>
      <c r="M1" s="3800"/>
      <c r="N1" s="3800"/>
      <c r="O1" s="3800"/>
      <c r="P1" s="3800"/>
      <c r="Q1" s="3800"/>
      <c r="R1" s="3800"/>
      <c r="S1" s="380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6" t="s">
        <v>27</v>
      </c>
      <c r="D22" s="3797"/>
      <c r="E22" s="3797"/>
      <c r="F22" s="3797"/>
      <c r="G22" s="3797"/>
      <c r="H22" s="3797"/>
      <c r="I22" s="3797"/>
      <c r="J22" s="3797"/>
      <c r="K22" s="3797"/>
      <c r="L22" s="3797"/>
      <c r="M22" s="3797"/>
      <c r="N22" s="3797"/>
      <c r="O22" s="3797"/>
      <c r="P22" s="3797"/>
      <c r="Q22" s="379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2080</v>
      </c>
      <c r="B1" s="2146"/>
      <c r="C1" s="2146"/>
      <c r="D1" s="2146"/>
      <c r="E1" s="2146"/>
      <c r="F1" s="2791"/>
      <c r="G1" s="2791"/>
      <c r="H1" s="2791"/>
      <c r="I1" s="2791"/>
      <c r="J1" s="2791"/>
      <c r="K1" s="2791"/>
      <c r="L1" s="2791"/>
      <c r="M1" s="2791"/>
      <c r="N1" s="2791"/>
      <c r="O1" s="2791"/>
      <c r="P1" s="2791"/>
    </row>
    <row r="2" spans="1:16" ht="15.75">
      <c r="A2" s="2144" t="s">
        <v>2072</v>
      </c>
      <c r="B2" s="2601">
        <f ca="1">SUMIF(B6:B13,"&lt;&gt;#ref!",B6:B13)</f>
        <v>103862</v>
      </c>
      <c r="C2" s="2144" t="s">
        <v>2073</v>
      </c>
      <c r="D2" s="2144" t="s">
        <v>2074</v>
      </c>
      <c r="E2" s="2611">
        <f ca="1">SUMIF(E6:E13,"&lt;&gt;#ref!",E6:E13)</f>
        <v>35184.699999999997</v>
      </c>
      <c r="F2" s="2791"/>
      <c r="G2" s="2791"/>
      <c r="H2" s="2791"/>
      <c r="I2" s="2791"/>
      <c r="J2" s="2791"/>
      <c r="K2" s="2791"/>
      <c r="L2" s="2791"/>
      <c r="M2" s="2791"/>
      <c r="N2" s="2791"/>
      <c r="O2" s="2791"/>
      <c r="P2" s="2791"/>
    </row>
    <row r="3" spans="1:16" ht="15.75">
      <c r="A3" s="2144" t="s">
        <v>2075</v>
      </c>
      <c r="B3" s="2601">
        <f ca="1">ROUND(B2*10000/E2,0)</f>
        <v>29519</v>
      </c>
      <c r="C3" s="2144"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5"/>
      <c r="D5" s="2791"/>
      <c r="E5" s="2610" t="s">
        <v>2078</v>
      </c>
      <c r="F5" s="2791"/>
      <c r="G5" s="2791"/>
      <c r="H5" s="2791"/>
      <c r="I5" s="2791"/>
      <c r="J5" s="2791"/>
      <c r="K5" s="2791"/>
      <c r="L5" s="2791"/>
      <c r="M5" s="2791"/>
      <c r="N5" s="2791"/>
      <c r="O5" s="2791"/>
      <c r="P5" s="2791"/>
    </row>
    <row r="6" spans="1:16" ht="15.75">
      <c r="A6" s="2608" t="s">
        <v>2079</v>
      </c>
      <c r="B6" s="2601">
        <f ca="1">SUMIF(INDIRECT("'"&amp;A6&amp;"'"&amp;"!A:A"),"总价",INDIRECT("'"&amp;A6&amp;"'"&amp;"!B:B"))</f>
        <v>103862</v>
      </c>
      <c r="C6" s="2144" t="s">
        <v>2073</v>
      </c>
      <c r="D6" s="2791"/>
      <c r="E6" s="2611">
        <f ca="1">SUMIF(INDIRECT("'"&amp;A6&amp;"'"&amp;"!C:C"),"建筑面积",INDIRECT("'"&amp;A6&amp;"'"&amp;"!D:D"))</f>
        <v>35184.699999999997</v>
      </c>
      <c r="F6" s="2791"/>
      <c r="G6" s="2791"/>
      <c r="H6" s="2791"/>
      <c r="I6" s="2791"/>
      <c r="J6" s="2791"/>
      <c r="K6" s="2791"/>
      <c r="L6" s="2791"/>
      <c r="M6" s="2791"/>
      <c r="N6" s="2791"/>
      <c r="O6" s="2791"/>
      <c r="P6" s="2791"/>
    </row>
    <row r="7" spans="1:16" ht="15.75">
      <c r="A7" s="2608"/>
      <c r="B7" s="2601" t="e">
        <f ca="1">SUMIF(INDIRECT("'"&amp;A7&amp;"'"&amp;"!A:A"),"总价",INDIRECT("'"&amp;A7&amp;"'"&amp;"!B:B"))</f>
        <v>#REF!</v>
      </c>
      <c r="C7" s="2144"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F33" sqref="F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35184.699999999997</v>
      </c>
      <c r="E1" s="1994"/>
      <c r="F1" s="1994"/>
      <c r="G1" s="1994"/>
      <c r="H1" s="1994"/>
      <c r="I1" s="1994"/>
      <c r="J1" s="1994"/>
      <c r="K1" s="1119"/>
      <c r="L1" s="1995" t="s">
        <v>1927</v>
      </c>
      <c r="M1" s="863">
        <f>SUMPRODUCT((区片价!B5:B9=I2)*(区片价!C3:G3=E2)*(区片价!C5:G9))</f>
        <v>32510</v>
      </c>
      <c r="N1" s="866">
        <f>SUMPRODUCT((因素修正幅度!B5:B9=I2)*(因素修正幅度!C3:G3=E2)*(因素修正幅度!C5:G9))</f>
        <v>8.2000000000000003E-2</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103862</v>
      </c>
      <c r="C2" s="1998" t="s">
        <v>1934</v>
      </c>
      <c r="D2" s="1999" t="s">
        <v>1935</v>
      </c>
      <c r="E2" s="3420" t="s">
        <v>21</v>
      </c>
      <c r="F2" s="1999" t="s">
        <v>1936</v>
      </c>
      <c r="G2" s="2000" t="str">
        <f>IF(E2="商业",项目基本情况!B37,IF(E2="办公",项目基本情况!C37,IF(E2="住宅",项目基本情况!D37,IF(E2="工业",项目基本情况!E37,项目基本情况!F37))))</f>
        <v>一级</v>
      </c>
      <c r="H2" s="1999" t="s">
        <v>1937</v>
      </c>
      <c r="I2" s="2000" t="str">
        <f>IF(E2="商业",项目基本情况!B38,IF(E2="办公",项目基本情况!C38,IF(E2="住宅",项目基本情况!D38,IF(E2="工业",项目基本情况!E38,项目基本情况!F38))))</f>
        <v>Ⅰ—04</v>
      </c>
      <c r="J2" s="2001"/>
      <c r="K2" s="1119"/>
      <c r="L2" s="2002"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1.5206</v>
      </c>
      <c r="T2" s="3359">
        <f t="shared" ref="T2:T16" si="0">ROUND($C$5*$C$22*$C$23*$C$24*S2*$C$28,0)</f>
        <v>44886</v>
      </c>
      <c r="U2" s="1213"/>
      <c r="V2" s="3359">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29519</v>
      </c>
      <c r="C3" s="1998" t="s">
        <v>1940</v>
      </c>
      <c r="D3" s="1999" t="s">
        <v>1941</v>
      </c>
      <c r="E3" s="3418" t="s">
        <v>3402</v>
      </c>
      <c r="F3" s="2003" t="s">
        <v>3385</v>
      </c>
      <c r="G3" s="752">
        <f>IF(F3="宗地容积率",'数据-汇总表'!I4,IF(F3="估价对象容积率",'数据-汇总表'!I6,'数据-汇总表'!I7))</f>
        <v>3.5</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35635</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809"/>
      <c r="B4" s="3810"/>
      <c r="C4" s="3810"/>
      <c r="D4" s="3811"/>
      <c r="E4" s="3811"/>
      <c r="F4" s="3811"/>
      <c r="G4" s="3811"/>
      <c r="H4" s="3811"/>
      <c r="I4" s="3811"/>
      <c r="J4" s="3812"/>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30791</v>
      </c>
      <c r="U4" s="1213"/>
      <c r="V4" s="3359">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1946</v>
      </c>
      <c r="C5" s="753">
        <f>ROUND(IF(E2="商业",C6*C7*C17+C20,(IF(E2="住宅",C6*C13*C17+C20,IF(E2="办公",C6*C12*C17+C20,C6+C20)))),0)</f>
        <v>32510</v>
      </c>
      <c r="D5" s="1339">
        <f>ROUND(C6*C17+C20,0)</f>
        <v>32510</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27863</v>
      </c>
      <c r="U5" s="1213"/>
      <c r="V5" s="3359">
        <f t="shared" si="1"/>
        <v>0</v>
      </c>
      <c r="W5" s="1216"/>
      <c r="X5" s="1216"/>
      <c r="Y5" s="1216"/>
      <c r="Z5" s="1216"/>
      <c r="AA5" s="1216"/>
      <c r="AB5" s="1216"/>
      <c r="AC5" s="2010"/>
      <c r="AD5" s="2011"/>
      <c r="AE5" s="2011"/>
      <c r="AF5" s="2011"/>
      <c r="AG5" s="2011"/>
      <c r="AH5" s="2011"/>
      <c r="AI5" s="2011"/>
      <c r="AJ5" s="2012"/>
    </row>
    <row r="6" spans="1:36" ht="15.75" thickBot="1">
      <c r="A6" s="2014" t="s">
        <v>1948</v>
      </c>
      <c r="B6" s="2015" t="s">
        <v>1949</v>
      </c>
      <c r="C6" s="754">
        <f>SUMIF(L1:L12,G2,M1:M12)</f>
        <v>32510</v>
      </c>
      <c r="D6" s="2016"/>
      <c r="E6" s="2017"/>
      <c r="F6" s="2017"/>
      <c r="G6" s="2018"/>
      <c r="H6" s="2018"/>
      <c r="I6" s="2018"/>
      <c r="J6" s="2019"/>
      <c r="K6" s="1384"/>
      <c r="L6" s="2002"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26555</v>
      </c>
      <c r="U6" s="1213"/>
      <c r="V6" s="3359">
        <f t="shared" si="1"/>
        <v>0</v>
      </c>
      <c r="W6" s="1216"/>
      <c r="X6" s="1216"/>
      <c r="Y6" s="1216"/>
      <c r="Z6" s="1216"/>
      <c r="AA6" s="1216"/>
      <c r="AB6" s="1216"/>
      <c r="AC6" s="2010"/>
      <c r="AD6" s="2011"/>
      <c r="AE6" s="2011"/>
      <c r="AF6" s="2011"/>
      <c r="AG6" s="2011"/>
      <c r="AH6" s="2011"/>
      <c r="AI6" s="2011"/>
      <c r="AJ6" s="2012"/>
    </row>
    <row r="7" spans="1:36" ht="24.75" thickBot="1">
      <c r="A7" s="3302" t="s">
        <v>3240</v>
      </c>
      <c r="B7" s="2020" t="s">
        <v>1951</v>
      </c>
      <c r="C7" s="755">
        <f>IF(C8="不临65条商业街",1,ROUND(1+(1.6*E8+1.2*E9+0.8*E10+0.4*E11)*C9,4))</f>
        <v>1</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一级</v>
      </c>
      <c r="Y7" s="1214" t="s">
        <v>1955</v>
      </c>
      <c r="Z7" s="1215">
        <f>G3</f>
        <v>3.5</v>
      </c>
      <c r="AA7" s="1216"/>
      <c r="AB7" s="1216"/>
      <c r="AC7" s="1217"/>
      <c r="AD7" s="1218"/>
      <c r="AE7" s="1218"/>
      <c r="AF7" s="1218"/>
      <c r="AG7" s="1218"/>
      <c r="AH7" s="1218"/>
      <c r="AI7" s="1218"/>
      <c r="AJ7" s="1219"/>
    </row>
    <row r="8" spans="1:36" ht="25.5">
      <c r="A8" s="3297"/>
      <c r="B8" s="170" t="s">
        <v>1956</v>
      </c>
      <c r="C8" s="2025" t="s">
        <v>3386</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806" t="s">
        <v>1959</v>
      </c>
      <c r="X8" s="3807"/>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808"/>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80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3241</v>
      </c>
      <c r="B12" s="3303" t="s">
        <v>3242</v>
      </c>
      <c r="C12" s="3304">
        <v>1</v>
      </c>
      <c r="D12" s="3305" t="s">
        <v>3243</v>
      </c>
      <c r="E12" s="3306" t="s">
        <v>3244</v>
      </c>
      <c r="F12" s="3307"/>
      <c r="G12" s="3308"/>
      <c r="H12" s="3308"/>
      <c r="I12" s="3308"/>
      <c r="J12" s="3309"/>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3245</v>
      </c>
      <c r="B13" s="2033" t="s">
        <v>1981</v>
      </c>
      <c r="C13" s="755">
        <f>ROUND(C16*D16*E16*F16*G16*H16*I16*J16,4)</f>
        <v>0</v>
      </c>
      <c r="D13" s="2034" t="s">
        <v>1982</v>
      </c>
      <c r="E13" s="2035"/>
      <c r="F13" s="2035"/>
      <c r="G13" s="2036"/>
      <c r="H13" s="2036"/>
      <c r="I13" s="2036"/>
      <c r="J13" s="2037"/>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9" t="s">
        <v>1984</v>
      </c>
      <c r="C14" s="2040" t="s">
        <v>1985</v>
      </c>
      <c r="D14" s="1350" t="s">
        <v>1986</v>
      </c>
      <c r="E14" s="27" t="s">
        <v>1987</v>
      </c>
      <c r="F14" s="3310" t="s">
        <v>3246</v>
      </c>
      <c r="G14" s="3310" t="s">
        <v>3246</v>
      </c>
      <c r="H14" s="3310" t="s">
        <v>3246</v>
      </c>
      <c r="I14" s="3310" t="s">
        <v>3246</v>
      </c>
      <c r="J14" s="3310" t="s">
        <v>3246</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3247</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6"/>
      <c r="M16" s="1996"/>
      <c r="N16" s="1996"/>
      <c r="O16" s="1996"/>
      <c r="P16" s="1996"/>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f>ROUND(G18/I18,2)</f>
        <v>0</v>
      </c>
      <c r="F17" s="3320" t="s">
        <v>3253</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3251</v>
      </c>
      <c r="E18" s="3327"/>
      <c r="F18" s="3322" t="s">
        <v>3254</v>
      </c>
      <c r="G18" s="3326">
        <f>ROUND(1-(1/(POWER(1+G24,E18))),4)</f>
        <v>0</v>
      </c>
      <c r="H18" s="3322" t="s">
        <v>3256</v>
      </c>
      <c r="I18" s="3326">
        <f>ROUND(1-(1/(POWER(1+G24,J24))),4)</f>
        <v>0.93120000000000003</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3"/>
      <c r="B19" s="3334"/>
      <c r="C19" s="3335"/>
      <c r="D19" s="3335" t="s">
        <v>3252</v>
      </c>
      <c r="E19" s="3336"/>
      <c r="F19" s="3337" t="s">
        <v>3255</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813" t="s">
        <v>3257</v>
      </c>
      <c r="B20" s="167" t="s">
        <v>1993</v>
      </c>
      <c r="C20" s="3323">
        <f>ROUND(IF(F21="与级别开发程度一致",0,(G21-E21)/C21),0)</f>
        <v>0</v>
      </c>
      <c r="D20" s="3339" t="s">
        <v>1997</v>
      </c>
      <c r="E20" s="3340"/>
      <c r="F20" s="3819" t="s">
        <v>1994</v>
      </c>
      <c r="G20" s="3820"/>
      <c r="H20" s="3324" t="s">
        <v>3387</v>
      </c>
      <c r="I20" s="3324" t="s">
        <v>3388</v>
      </c>
      <c r="J20" s="3325" t="s">
        <v>3389</v>
      </c>
      <c r="K20" s="2046" t="s">
        <v>3390</v>
      </c>
      <c r="L20" s="2046" t="s">
        <v>3391</v>
      </c>
      <c r="M20" s="2046" t="s">
        <v>3565</v>
      </c>
      <c r="N20" s="2046" t="s">
        <v>3566</v>
      </c>
      <c r="O20" s="2047" t="s">
        <v>3392</v>
      </c>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814"/>
      <c r="B21" s="2163" t="s">
        <v>1996</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3403</v>
      </c>
      <c r="G21" s="2156">
        <f>SUM(H21:O21)</f>
        <v>375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60</v>
      </c>
      <c r="N21" s="2164">
        <f>SUMPRODUCT((七通一平=N20)*(修正!B1:M1=G2)*(修正!B8:M16))</f>
        <v>50</v>
      </c>
      <c r="O21" s="2166">
        <f>SUMPRODUCT((七通一平=O20)*(修正!B1:M1=G2)*(修正!B8:M16))</f>
        <v>20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1999</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2001</v>
      </c>
      <c r="E23" s="761">
        <v>44197</v>
      </c>
      <c r="F23" s="2053" t="s">
        <v>2002</v>
      </c>
      <c r="G23" s="762">
        <f>'数据-取费表'!B2</f>
        <v>45348</v>
      </c>
      <c r="H23" s="3341" t="s">
        <v>3258</v>
      </c>
      <c r="I23" s="3342" t="str">
        <f>IF(H23="季度增幅（自定义）",SUMIF(N25:N28,E2,O25:O28),"")</f>
        <v/>
      </c>
      <c r="J23" s="3444" t="s">
        <v>3412</v>
      </c>
      <c r="K23" s="1125"/>
      <c r="L23" s="2054" t="s">
        <v>2003</v>
      </c>
      <c r="M23" s="1328">
        <f>ROUND(SUMIF(地价!B2:G2,E2,地价!B16:G16),0)</f>
        <v>350</v>
      </c>
      <c r="N23" s="2055" t="s">
        <v>2004</v>
      </c>
      <c r="O23" s="763">
        <f>ROUNDDOWN(DATEDIF(E23,G23,"M")/3,0)</f>
        <v>12</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0.84709999999999996</v>
      </c>
      <c r="D24" s="2059" t="s">
        <v>2006</v>
      </c>
      <c r="E24" s="1335">
        <f>存贷款利率!E24/100</f>
        <v>4.3499999999999997E-2</v>
      </c>
      <c r="F24" s="2059" t="s">
        <v>1998</v>
      </c>
      <c r="G24" s="768">
        <f>SUMIF(M30:Q30,E2,M33:Q33)</f>
        <v>5.5E-2</v>
      </c>
      <c r="H24" s="2059" t="s">
        <v>2007</v>
      </c>
      <c r="I24" s="769">
        <f>SUMIF('数据-取费表'!C6:C15,E2,'数据-取费表'!F6:F15)/COUNTIF('数据-取费表'!C6:C15,E2)</f>
        <v>29.05</v>
      </c>
      <c r="J24" s="770">
        <f>IF(E2="住宅",70,IF(E2="商业",40,50))</f>
        <v>50</v>
      </c>
      <c r="K24" s="1125"/>
      <c r="L24" s="2060" t="s">
        <v>2008</v>
      </c>
      <c r="M24" s="1329">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3401</v>
      </c>
      <c r="C25" s="771">
        <f>IF(B25="容积率修正",IF(G3&lt;10,D26,J26),C27)</f>
        <v>1</v>
      </c>
      <c r="D25" s="2066"/>
      <c r="E25" s="2066"/>
      <c r="F25" s="2066"/>
      <c r="G25" s="2066"/>
      <c r="H25" s="2066"/>
      <c r="I25" s="2066"/>
      <c r="J25" s="2067"/>
      <c r="K25" s="1125"/>
      <c r="L25" s="2786"/>
      <c r="M25" s="2786"/>
      <c r="N25" s="2068"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3" t="s">
        <v>3259</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3260</v>
      </c>
      <c r="J26" s="772" t="str">
        <f>IF(G3&gt;=10,D115,"——")</f>
        <v>——</v>
      </c>
      <c r="K26" s="1125"/>
      <c r="L26" s="2786"/>
      <c r="M26" s="2786"/>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1.0441</v>
      </c>
      <c r="D28" s="2051"/>
      <c r="E28" s="2076"/>
      <c r="F28" s="2076"/>
      <c r="G28" s="2076"/>
      <c r="H28" s="2076"/>
      <c r="I28" s="2076"/>
      <c r="J28" s="2077"/>
      <c r="K28" s="1125"/>
      <c r="L28" s="2786"/>
      <c r="M28" s="2786"/>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103862</v>
      </c>
      <c r="D30" s="2082"/>
      <c r="E30" s="2045"/>
      <c r="F30" s="2083"/>
      <c r="G30" s="2045"/>
      <c r="H30" s="2045"/>
      <c r="I30" s="2045"/>
      <c r="J30" s="2084"/>
      <c r="K30" s="1119"/>
      <c r="L30" s="3349" t="s">
        <v>1935</v>
      </c>
      <c r="M30" s="3350" t="s">
        <v>1989</v>
      </c>
      <c r="N30" s="3350" t="s">
        <v>1990</v>
      </c>
      <c r="O30" s="3350" t="s">
        <v>1991</v>
      </c>
      <c r="P30" s="3350" t="s">
        <v>1992</v>
      </c>
      <c r="Q30" s="3353"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1" t="s">
        <v>1995</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29519</v>
      </c>
      <c r="D33" s="2097">
        <f>'数据-汇总表'!E3</f>
        <v>35184.699999999997</v>
      </c>
      <c r="E33" s="773">
        <f>ROUND(C33*D33/10000,0)</f>
        <v>103862</v>
      </c>
      <c r="F33" s="3344" t="s">
        <v>3262</v>
      </c>
      <c r="G33" s="2098"/>
      <c r="H33" s="2098"/>
      <c r="I33" s="2098"/>
      <c r="J33" s="2099"/>
      <c r="K33" s="1119"/>
      <c r="L33" s="3347" t="s">
        <v>3265</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7380</v>
      </c>
      <c r="D34" s="2102"/>
      <c r="E34" s="773">
        <f>ROUND(IF(B25="楼层修正",SUM(V2:V16)*M40,C34*D34/10000),0)</f>
        <v>0</v>
      </c>
      <c r="F34" s="2103" t="s">
        <v>2031</v>
      </c>
      <c r="G34" s="2104"/>
      <c r="H34" s="2104"/>
      <c r="I34" s="2104"/>
      <c r="J34" s="2105"/>
      <c r="K34" s="1119"/>
      <c r="L34" s="3347" t="s">
        <v>3266</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5" t="s">
        <v>3263</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5" t="s">
        <v>3267</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17"/>
      <c r="B37" s="2112" t="s">
        <v>2035</v>
      </c>
      <c r="C37" s="175">
        <f>ROUND(D5*C22*C23*C24*C28*F37,0)</f>
        <v>20663</v>
      </c>
      <c r="D37" s="2097"/>
      <c r="E37" s="171">
        <f>ROUND(C37*D37/10000,0)</f>
        <v>0</v>
      </c>
      <c r="F37" s="171">
        <f>SUMIF(修正!A57:A68,G2,修正!B57:B68)</f>
        <v>0.7</v>
      </c>
      <c r="G37" s="171">
        <f>ROUND(IF(E2="工业",C37*$M$42,C37*$M$41),0)</f>
        <v>5166</v>
      </c>
      <c r="H37" s="171">
        <f>D37</f>
        <v>0</v>
      </c>
      <c r="I37" s="171">
        <f>ROUND(G37*H37/10000,0)</f>
        <v>0</v>
      </c>
      <c r="J37" s="3010"/>
      <c r="K37" s="3357" t="s">
        <v>3268</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18"/>
      <c r="B38" s="2040" t="s">
        <v>2036</v>
      </c>
      <c r="C38" s="175">
        <f>ROUND(D5*C22*C23*C24*C28*F38,0)</f>
        <v>11807</v>
      </c>
      <c r="D38" s="2097"/>
      <c r="E38" s="171">
        <f t="shared" ref="E38:E42" si="4">ROUND(C38*D38/10000,0)</f>
        <v>0</v>
      </c>
      <c r="F38" s="171">
        <f>SUMIF(修正!A57:A68,G2,修正!C57:C68)</f>
        <v>0.4</v>
      </c>
      <c r="G38" s="171">
        <f>ROUND(IF(E2="工业",C38*$M$42,C38*$M$41),0)</f>
        <v>2952</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818"/>
      <c r="B39" s="2040" t="s">
        <v>3261</v>
      </c>
      <c r="C39" s="175">
        <f>ROUND(D5*C22*C23*C24*C28*F39,0)</f>
        <v>8856</v>
      </c>
      <c r="D39" s="2097"/>
      <c r="E39" s="171">
        <f t="shared" si="4"/>
        <v>0</v>
      </c>
      <c r="F39" s="171">
        <f>SUMIF(修正!A57:A68,G2,修正!D57:D68)</f>
        <v>0.3</v>
      </c>
      <c r="G39" s="171">
        <f>ROUND(IF(E2="工业",C39*$M$42,C39*$M$41),0)</f>
        <v>2214</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8856</v>
      </c>
      <c r="D40" s="2097"/>
      <c r="E40" s="171">
        <f t="shared" si="4"/>
        <v>0</v>
      </c>
      <c r="F40" s="175">
        <f>SUMIF(修正!A57:A68,G2,修正!E57:E68)</f>
        <v>0.3</v>
      </c>
      <c r="G40" s="171">
        <f>ROUND(IF(E2="工业",C40*$M$42,C40*$M$41),0)</f>
        <v>2214</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8" t="s">
        <v>3269</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0.2</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3271</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1.0441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t="s">
        <v>3393</v>
      </c>
      <c r="D61" s="1065">
        <f t="shared" ref="D61:D69" si="12">SUMIF($J$60:$N$60,C61,J61:N61)</f>
        <v>1.0200000000000001E-2</v>
      </c>
      <c r="E61" s="744">
        <f>ROUND(SUM(D61:D69),4)</f>
        <v>4.41E-2</v>
      </c>
      <c r="F61" s="1814">
        <f>IF(E2="办公",SUMIF(L1:L12,G2,N1:N12),"——")</f>
        <v>8.2000000000000003E-2</v>
      </c>
      <c r="G61" s="1063">
        <v>1.0200000000000001E-2</v>
      </c>
      <c r="H61" s="1066">
        <f t="shared" ref="H61:H69" si="13">IFERROR(ROUNDDOWN($F$61*I61/2,4),"——")</f>
        <v>1.0200000000000001E-2</v>
      </c>
      <c r="I61" s="3365">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t="s">
        <v>3393</v>
      </c>
      <c r="D62" s="1065">
        <f t="shared" si="12"/>
        <v>1.06E-2</v>
      </c>
      <c r="E62" s="745"/>
      <c r="F62" s="1814"/>
      <c r="G62" s="1063">
        <v>1.06E-2</v>
      </c>
      <c r="H62" s="1066">
        <f t="shared" si="13"/>
        <v>1.06E-2</v>
      </c>
      <c r="I62" s="3365">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7" t="s">
        <v>3271</v>
      </c>
      <c r="B63" s="2133">
        <f>估价对象房地状况!C19</f>
        <v>0</v>
      </c>
      <c r="C63" s="2043" t="s">
        <v>3393</v>
      </c>
      <c r="D63" s="1065">
        <f t="shared" si="12"/>
        <v>4.4999999999999997E-3</v>
      </c>
      <c r="E63" s="745"/>
      <c r="F63" s="1814"/>
      <c r="G63" s="1063">
        <v>4.4999999999999997E-3</v>
      </c>
      <c r="H63" s="1066">
        <f t="shared" si="13"/>
        <v>4.4999999999999997E-3</v>
      </c>
      <c r="I63" s="3365">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29" t="s">
        <v>2053</v>
      </c>
      <c r="B64" s="2134" t="s">
        <v>2054</v>
      </c>
      <c r="C64" s="2043" t="s">
        <v>3393</v>
      </c>
      <c r="D64" s="1065">
        <f t="shared" si="12"/>
        <v>2E-3</v>
      </c>
      <c r="E64" s="745"/>
      <c r="F64" s="1814"/>
      <c r="G64" s="1063">
        <v>2E-3</v>
      </c>
      <c r="H64" s="1066">
        <f t="shared" si="13"/>
        <v>2E-3</v>
      </c>
      <c r="I64" s="3365">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t="s">
        <v>3393</v>
      </c>
      <c r="D65" s="1065">
        <f t="shared" si="12"/>
        <v>2E-3</v>
      </c>
      <c r="E65" s="745"/>
      <c r="F65" s="1814"/>
      <c r="G65" s="1063">
        <v>2E-3</v>
      </c>
      <c r="H65" s="1066">
        <f t="shared" si="13"/>
        <v>2E-3</v>
      </c>
      <c r="I65" s="3365">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29" t="s">
        <v>2056</v>
      </c>
      <c r="B66" s="2135" t="s">
        <v>2057</v>
      </c>
      <c r="C66" s="2043" t="s">
        <v>3393</v>
      </c>
      <c r="D66" s="1065">
        <f t="shared" si="12"/>
        <v>2.3999999999999998E-3</v>
      </c>
      <c r="E66" s="745"/>
      <c r="F66" s="1814"/>
      <c r="G66" s="1063">
        <v>2.3999999999999998E-3</v>
      </c>
      <c r="H66" s="1066">
        <f t="shared" si="13"/>
        <v>2.3999999999999998E-3</v>
      </c>
      <c r="I66" s="3365">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25.5">
      <c r="A67" s="2129" t="s">
        <v>2058</v>
      </c>
      <c r="B67" s="1326" t="str">
        <f>估价对象房地状况!C21</f>
        <v>估价对象所在区域公共配套设施齐备情况</v>
      </c>
      <c r="C67" s="2043" t="s">
        <v>3393</v>
      </c>
      <c r="D67" s="1065">
        <f t="shared" si="12"/>
        <v>2.3999999999999998E-3</v>
      </c>
      <c r="E67" s="745"/>
      <c r="F67" s="1814"/>
      <c r="G67" s="1063">
        <v>2.3999999999999998E-3</v>
      </c>
      <c r="H67" s="1066">
        <f t="shared" si="13"/>
        <v>2.3999999999999998E-3</v>
      </c>
      <c r="I67" s="3365">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29" t="s">
        <v>2059</v>
      </c>
      <c r="B68" s="1326" t="str">
        <f>估价对象房地状况!C22</f>
        <v>估价对象所在区域基础设施水平</v>
      </c>
      <c r="C68" s="2043" t="s">
        <v>3394</v>
      </c>
      <c r="D68" s="1065">
        <f t="shared" si="12"/>
        <v>7.1999999999999998E-3</v>
      </c>
      <c r="E68" s="745"/>
      <c r="F68" s="1814"/>
      <c r="G68" s="1063">
        <v>3.5999999999999999E-3</v>
      </c>
      <c r="H68" s="1066">
        <f t="shared" si="13"/>
        <v>3.5999999999999999E-3</v>
      </c>
      <c r="I68" s="3365">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t="s">
        <v>3393</v>
      </c>
      <c r="D69" s="1065">
        <f t="shared" si="12"/>
        <v>2.8E-3</v>
      </c>
      <c r="E69" s="746"/>
      <c r="F69" s="1814"/>
      <c r="G69" s="1063">
        <v>2.8E-3</v>
      </c>
      <c r="H69" s="1066">
        <f t="shared" si="13"/>
        <v>2.8E-3</v>
      </c>
      <c r="I69" s="3366">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7" t="s">
        <v>3271</v>
      </c>
      <c r="B74" s="2133">
        <f>估价对象房地状况!C19</f>
        <v>0</v>
      </c>
      <c r="C74" s="2043"/>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6" t="str">
        <f>估价对象房地状况!C21</f>
        <v>估价对象所在区域公共配套设施齐备情况</v>
      </c>
      <c r="C76" s="2043"/>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6" t="str">
        <f>估价对象房地状况!C22</f>
        <v>估价对象所在区域基础设施水平</v>
      </c>
      <c r="C77" s="2043"/>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v>
      </c>
      <c r="C81" s="741"/>
      <c r="D81" s="741"/>
      <c r="E81" s="742"/>
      <c r="F81" s="2128"/>
      <c r="G81" s="3"/>
      <c r="H81" s="3"/>
      <c r="I81" s="3"/>
      <c r="J81" s="4"/>
      <c r="K81" s="4"/>
      <c r="L81" s="4"/>
      <c r="M81" s="4"/>
      <c r="N81" s="4"/>
      <c r="Z81" s="1997"/>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7"/>
      <c r="AA82" s="2052"/>
      <c r="AG82" s="1121"/>
      <c r="AK82" s="2052"/>
    </row>
    <row r="83" spans="1:37" ht="38.25">
      <c r="A83" s="2129" t="s">
        <v>2069</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36">
      <c r="A85" s="3367" t="s">
        <v>3272</v>
      </c>
      <c r="B85" s="2133">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4.25">
      <c r="A86" s="2129" t="s">
        <v>2066</v>
      </c>
      <c r="B86" s="2133">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5.5">
      <c r="A87" s="2129" t="s">
        <v>2058</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29" t="s">
        <v>2059</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29" t="s">
        <v>2056</v>
      </c>
      <c r="B89" s="2135" t="s">
        <v>2070</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2615</v>
      </c>
      <c r="B91" s="3376">
        <f>1+E93</f>
        <v>1</v>
      </c>
      <c r="C91" s="3369"/>
      <c r="D91" s="3370"/>
      <c r="E91" s="1814"/>
      <c r="F91" s="1814"/>
      <c r="G91" s="3371"/>
      <c r="H91" s="3372"/>
      <c r="I91" s="3373"/>
      <c r="J91" s="3374"/>
      <c r="K91" s="3374"/>
      <c r="L91" s="3374"/>
      <c r="M91" s="3374"/>
      <c r="N91" s="3374"/>
    </row>
    <row r="92" spans="1:37" ht="24.75">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3275</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3271</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3276</v>
      </c>
      <c r="B96" s="3383" t="s">
        <v>3287</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3278</v>
      </c>
      <c r="B98" s="3384" t="s">
        <v>3288</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3279</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3280</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3281</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15" t="s">
        <v>3296</v>
      </c>
      <c r="B103" s="3815"/>
      <c r="C103" s="3815"/>
      <c r="D103" s="3815"/>
      <c r="E103" s="3815"/>
      <c r="F103" s="3815"/>
      <c r="G103" s="3815"/>
      <c r="H103" s="3815"/>
      <c r="I103" s="3815"/>
      <c r="J103" s="3815"/>
      <c r="K103" s="3388"/>
      <c r="L103" s="3388"/>
      <c r="M103" s="3388"/>
      <c r="N103" s="3388"/>
    </row>
    <row r="104" spans="1:14">
      <c r="A104" s="3816" t="s">
        <v>3297</v>
      </c>
      <c r="B104" s="3816" t="s">
        <v>3298</v>
      </c>
      <c r="C104" s="3389" t="s">
        <v>3299</v>
      </c>
      <c r="D104" s="3390"/>
      <c r="E104" s="3390"/>
      <c r="F104" s="3390"/>
      <c r="G104" s="3390"/>
      <c r="H104" s="3390"/>
      <c r="I104" s="3390"/>
      <c r="J104" s="3391"/>
      <c r="K104" s="3392"/>
      <c r="L104" s="3392"/>
      <c r="M104" s="3392"/>
      <c r="N104" s="3392"/>
    </row>
    <row r="105" spans="1:14">
      <c r="A105" s="3816"/>
      <c r="B105" s="3816"/>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802"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0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0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0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0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03"/>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0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05" t="s">
        <v>3313</v>
      </c>
      <c r="B113" s="3805"/>
      <c r="C113" s="3805"/>
      <c r="D113" s="3805"/>
      <c r="E113" s="3805"/>
      <c r="F113" s="3805"/>
      <c r="G113" s="3805"/>
      <c r="H113" s="3805"/>
      <c r="I113" s="3805"/>
      <c r="J113" s="380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3314</v>
      </c>
      <c r="B116" s="3414">
        <f>G3</f>
        <v>3.5</v>
      </c>
      <c r="C116" s="3398" t="s">
        <v>3315</v>
      </c>
      <c r="D116" s="3399">
        <f>SUMPRODUCT((A118:A122=F116)*(B117:M117=H116)*B118:M122)</f>
        <v>0.95379999999999998</v>
      </c>
      <c r="E116" s="1999" t="s">
        <v>3316</v>
      </c>
      <c r="F116" s="3400" t="str">
        <f>E2</f>
        <v>办公</v>
      </c>
      <c r="G116" s="1999" t="s">
        <v>3317</v>
      </c>
      <c r="H116" s="3400" t="str">
        <f>G2</f>
        <v>一级</v>
      </c>
      <c r="I116" s="1999"/>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0.95830000000000004</v>
      </c>
      <c r="C118" s="3386">
        <f>B118</f>
        <v>0.95830000000000004</v>
      </c>
      <c r="D118" s="3386">
        <f>ROUND(0.949-0.014*B116,4)</f>
        <v>0.9</v>
      </c>
      <c r="E118" s="3386">
        <f>D118</f>
        <v>0.9</v>
      </c>
      <c r="F118" s="3386">
        <f>E118</f>
        <v>0.9</v>
      </c>
      <c r="G118" s="3386">
        <f>F118</f>
        <v>0.9</v>
      </c>
      <c r="H118" s="3386">
        <f>G118</f>
        <v>0.9</v>
      </c>
      <c r="I118" s="3386">
        <f>ROUND(0.8486-0.018*B116,4)</f>
        <v>0.78559999999999997</v>
      </c>
      <c r="J118" s="3386">
        <f t="shared" ref="J118:M122" si="35">I118</f>
        <v>0.78559999999999997</v>
      </c>
      <c r="K118" s="3386">
        <f t="shared" si="35"/>
        <v>0.78559999999999997</v>
      </c>
      <c r="L118" s="3386">
        <f t="shared" si="35"/>
        <v>0.78559999999999997</v>
      </c>
      <c r="M118" s="3409">
        <f t="shared" si="35"/>
        <v>0.78559999999999997</v>
      </c>
      <c r="N118" s="3396"/>
    </row>
    <row r="119" spans="1:14">
      <c r="A119" s="3408" t="s">
        <v>3331</v>
      </c>
      <c r="B119" s="3386">
        <f>ROUND(0.993-0.0112*B116,4)</f>
        <v>0.95379999999999998</v>
      </c>
      <c r="C119" s="3386">
        <f>B119</f>
        <v>0.95379999999999998</v>
      </c>
      <c r="D119" s="3386">
        <f>ROUND(0.9415-0.0142*B116,4)</f>
        <v>0.89180000000000004</v>
      </c>
      <c r="E119" s="3386">
        <f t="shared" ref="E119:H120" si="36">D119</f>
        <v>0.89180000000000004</v>
      </c>
      <c r="F119" s="3386">
        <f t="shared" si="36"/>
        <v>0.89180000000000004</v>
      </c>
      <c r="G119" s="3386">
        <f t="shared" si="36"/>
        <v>0.89180000000000004</v>
      </c>
      <c r="H119" s="3386">
        <f t="shared" si="36"/>
        <v>0.89180000000000004</v>
      </c>
      <c r="I119" s="3386">
        <f>ROUND(0.838-0.0182*B116,4)</f>
        <v>0.77429999999999999</v>
      </c>
      <c r="J119" s="3386">
        <f t="shared" si="35"/>
        <v>0.77429999999999999</v>
      </c>
      <c r="K119" s="3386">
        <f t="shared" si="35"/>
        <v>0.77429999999999999</v>
      </c>
      <c r="L119" s="3386">
        <f t="shared" si="35"/>
        <v>0.77429999999999999</v>
      </c>
      <c r="M119" s="3409">
        <f t="shared" si="35"/>
        <v>0.77429999999999999</v>
      </c>
      <c r="N119" s="3396"/>
    </row>
    <row r="120" spans="1:14">
      <c r="A120" s="3408" t="s">
        <v>3332</v>
      </c>
      <c r="B120" s="3386">
        <f>ROUND(0.9448-0.0115*B116,4)</f>
        <v>0.90459999999999996</v>
      </c>
      <c r="C120" s="3386">
        <f>B120</f>
        <v>0.90459999999999996</v>
      </c>
      <c r="D120" s="3386">
        <f>ROUND(0.937-0.0145*B116,4)</f>
        <v>0.88629999999999998</v>
      </c>
      <c r="E120" s="3386">
        <f t="shared" si="36"/>
        <v>0.88629999999999998</v>
      </c>
      <c r="F120" s="3386">
        <f t="shared" si="36"/>
        <v>0.88629999999999998</v>
      </c>
      <c r="G120" s="3386">
        <f t="shared" si="36"/>
        <v>0.88629999999999998</v>
      </c>
      <c r="H120" s="3386">
        <f t="shared" si="36"/>
        <v>0.88629999999999998</v>
      </c>
      <c r="I120" s="3386">
        <f>ROUND(0.7965-0.0185*B116,4)</f>
        <v>0.73180000000000001</v>
      </c>
      <c r="J120" s="3386">
        <f t="shared" si="35"/>
        <v>0.73180000000000001</v>
      </c>
      <c r="K120" s="3386">
        <f t="shared" si="35"/>
        <v>0.73180000000000001</v>
      </c>
      <c r="L120" s="3386">
        <f t="shared" si="35"/>
        <v>0.73180000000000001</v>
      </c>
      <c r="M120" s="3409">
        <f t="shared" si="35"/>
        <v>0.73180000000000001</v>
      </c>
      <c r="N120" s="3396"/>
    </row>
    <row r="121" spans="1:14" ht="13.5" thickBot="1">
      <c r="A121" s="3410" t="s">
        <v>3333</v>
      </c>
      <c r="B121" s="3411">
        <f>ROUND(0.7836-0.012*B116,4)</f>
        <v>0.74160000000000004</v>
      </c>
      <c r="C121" s="3411">
        <f>B121</f>
        <v>0.74160000000000004</v>
      </c>
      <c r="D121" s="3411">
        <f>ROUND(0.753-0.015*B116,4)</f>
        <v>0.70050000000000001</v>
      </c>
      <c r="E121" s="3411">
        <f>D121</f>
        <v>0.70050000000000001</v>
      </c>
      <c r="F121" s="3411">
        <f>E121</f>
        <v>0.70050000000000001</v>
      </c>
      <c r="G121" s="3411">
        <f>ROUND(0.6612-0.018*B116,4)</f>
        <v>0.59819999999999995</v>
      </c>
      <c r="H121" s="3411">
        <f>G121</f>
        <v>0.59819999999999995</v>
      </c>
      <c r="I121" s="3411">
        <f>ROUND(0.5905-0.019*B116,4)</f>
        <v>0.52400000000000002</v>
      </c>
      <c r="J121" s="3411">
        <f t="shared" si="35"/>
        <v>0.52400000000000002</v>
      </c>
      <c r="K121" s="3411">
        <f t="shared" si="35"/>
        <v>0.52400000000000002</v>
      </c>
      <c r="L121" s="3411">
        <f t="shared" si="35"/>
        <v>0.52400000000000002</v>
      </c>
      <c r="M121" s="3412">
        <f t="shared" si="35"/>
        <v>0.52400000000000002</v>
      </c>
      <c r="N121" s="3396"/>
    </row>
    <row r="122" spans="1:14">
      <c r="A122" s="3413" t="s">
        <v>2615</v>
      </c>
      <c r="B122" s="3386">
        <f>ROUND(0.9404-0.0106*B116,4)</f>
        <v>0.90329999999999999</v>
      </c>
      <c r="C122" s="3386">
        <f>B122</f>
        <v>0.90329999999999999</v>
      </c>
      <c r="D122" s="3386">
        <f>ROUND(0.8955-0.0135*B116,4)</f>
        <v>0.84830000000000005</v>
      </c>
      <c r="E122" s="3386">
        <f t="shared" ref="E122:H122" si="37">D122</f>
        <v>0.84830000000000005</v>
      </c>
      <c r="F122" s="3386">
        <f t="shared" si="37"/>
        <v>0.84830000000000005</v>
      </c>
      <c r="G122" s="3386">
        <f t="shared" si="37"/>
        <v>0.84830000000000005</v>
      </c>
      <c r="H122" s="3386">
        <f t="shared" si="37"/>
        <v>0.84830000000000005</v>
      </c>
      <c r="I122" s="3386">
        <f>ROUND(0.7632-0.0166*B116,4)</f>
        <v>0.70509999999999995</v>
      </c>
      <c r="J122" s="3386">
        <f t="shared" si="35"/>
        <v>0.70509999999999995</v>
      </c>
      <c r="K122" s="3386">
        <f t="shared" si="35"/>
        <v>0.70509999999999995</v>
      </c>
      <c r="L122" s="3386">
        <f t="shared" si="35"/>
        <v>0.70509999999999995</v>
      </c>
      <c r="M122" s="3409">
        <f t="shared" si="35"/>
        <v>0.70509999999999995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830" t="s">
        <v>2610</v>
      </c>
      <c r="B20" s="3825" t="s">
        <v>2631</v>
      </c>
      <c r="C20" s="3101" t="s">
        <v>2442</v>
      </c>
      <c r="D20" s="3102"/>
      <c r="E20" s="3103">
        <v>1</v>
      </c>
      <c r="F20" s="3104" t="s">
        <v>2443</v>
      </c>
      <c r="G20" s="3104"/>
    </row>
    <row r="21" spans="1:13" ht="19.5" customHeight="1">
      <c r="A21" s="3831"/>
      <c r="B21" s="3824"/>
      <c r="C21" s="3105" t="s">
        <v>2444</v>
      </c>
      <c r="D21" s="3106"/>
      <c r="E21" s="3107">
        <v>1</v>
      </c>
      <c r="F21" s="3104" t="s">
        <v>2445</v>
      </c>
      <c r="G21" s="3104"/>
    </row>
    <row r="22" spans="1:13" ht="19.5" customHeight="1">
      <c r="A22" s="3831"/>
      <c r="B22" s="3824"/>
      <c r="C22" s="3105" t="s">
        <v>2446</v>
      </c>
      <c r="D22" s="3106"/>
      <c r="E22" s="3107">
        <v>0.9</v>
      </c>
      <c r="F22" s="3104" t="s">
        <v>2447</v>
      </c>
      <c r="G22" s="3104"/>
    </row>
    <row r="23" spans="1:13" ht="19.5" customHeight="1">
      <c r="A23" s="3831"/>
      <c r="B23" s="3824"/>
      <c r="C23" s="3105" t="s">
        <v>2448</v>
      </c>
      <c r="D23" s="3106"/>
      <c r="E23" s="3107">
        <v>0.9</v>
      </c>
      <c r="F23" s="3104" t="s">
        <v>2449</v>
      </c>
      <c r="G23" s="3104"/>
    </row>
    <row r="24" spans="1:13" ht="19.5" customHeight="1">
      <c r="A24" s="3831"/>
      <c r="B24" s="3824"/>
      <c r="C24" s="3105" t="s">
        <v>2450</v>
      </c>
      <c r="D24" s="3106"/>
      <c r="E24" s="3107">
        <v>0.8</v>
      </c>
      <c r="F24" s="3104" t="s">
        <v>2451</v>
      </c>
      <c r="G24" s="3104"/>
    </row>
    <row r="25" spans="1:13" ht="19.5" customHeight="1" thickBot="1">
      <c r="A25" s="3832"/>
      <c r="B25" s="3826"/>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827" t="s">
        <v>2634</v>
      </c>
      <c r="B27" s="3825" t="s">
        <v>2615</v>
      </c>
      <c r="C27" s="3101" t="s">
        <v>2455</v>
      </c>
      <c r="D27" s="3102"/>
      <c r="E27" s="3103">
        <v>1</v>
      </c>
      <c r="F27" s="3104" t="s">
        <v>2456</v>
      </c>
      <c r="G27" s="3104"/>
    </row>
    <row r="28" spans="1:13" ht="19.5" customHeight="1">
      <c r="A28" s="3828"/>
      <c r="B28" s="3824"/>
      <c r="C28" s="3105" t="s">
        <v>2457</v>
      </c>
      <c r="D28" s="3106"/>
      <c r="E28" s="3107">
        <v>1</v>
      </c>
      <c r="F28" s="3104" t="s">
        <v>2458</v>
      </c>
      <c r="G28" s="3104"/>
    </row>
    <row r="29" spans="1:13" ht="19.5" customHeight="1">
      <c r="A29" s="3828"/>
      <c r="B29" s="3824"/>
      <c r="C29" s="3105" t="s">
        <v>2459</v>
      </c>
      <c r="D29" s="3106"/>
      <c r="E29" s="3107">
        <v>0.8</v>
      </c>
      <c r="F29" s="3104" t="s">
        <v>2460</v>
      </c>
      <c r="G29" s="3104"/>
    </row>
    <row r="30" spans="1:13" ht="19.5" customHeight="1">
      <c r="A30" s="3828"/>
      <c r="B30" s="3824"/>
      <c r="C30" s="3105" t="s">
        <v>2461</v>
      </c>
      <c r="D30" s="3106"/>
      <c r="E30" s="3107">
        <v>0.8</v>
      </c>
      <c r="F30" s="3104" t="s">
        <v>2462</v>
      </c>
      <c r="G30" s="3104"/>
    </row>
    <row r="31" spans="1:13" ht="19.5" customHeight="1">
      <c r="A31" s="3828"/>
      <c r="B31" s="3824"/>
      <c r="C31" s="3105" t="s">
        <v>2463</v>
      </c>
      <c r="D31" s="3106"/>
      <c r="E31" s="3107">
        <v>0.8</v>
      </c>
      <c r="F31" s="3104" t="s">
        <v>2464</v>
      </c>
      <c r="G31" s="3104"/>
    </row>
    <row r="32" spans="1:13" ht="19.5" customHeight="1">
      <c r="A32" s="3828"/>
      <c r="B32" s="3824"/>
      <c r="C32" s="3105" t="s">
        <v>2465</v>
      </c>
      <c r="D32" s="3106"/>
      <c r="E32" s="3107">
        <v>0.7</v>
      </c>
      <c r="F32" s="3104" t="s">
        <v>2466</v>
      </c>
      <c r="G32" s="3104"/>
    </row>
    <row r="33" spans="1:7" ht="19.5" customHeight="1">
      <c r="A33" s="3828"/>
      <c r="B33" s="3824"/>
      <c r="C33" s="3105" t="s">
        <v>2467</v>
      </c>
      <c r="D33" s="3106"/>
      <c r="E33" s="3107">
        <v>0.8</v>
      </c>
      <c r="F33" s="3104" t="s">
        <v>2468</v>
      </c>
      <c r="G33" s="3104"/>
    </row>
    <row r="34" spans="1:7" ht="19.5" customHeight="1">
      <c r="A34" s="3828"/>
      <c r="B34" s="3824"/>
      <c r="C34" s="3105" t="s">
        <v>2469</v>
      </c>
      <c r="D34" s="3106"/>
      <c r="E34" s="3107">
        <v>0.6</v>
      </c>
      <c r="F34" s="3104" t="s">
        <v>2470</v>
      </c>
      <c r="G34" s="3104"/>
    </row>
    <row r="35" spans="1:7" ht="19.5" customHeight="1">
      <c r="A35" s="3828"/>
      <c r="B35" s="3824"/>
      <c r="C35" s="3105" t="s">
        <v>2471</v>
      </c>
      <c r="D35" s="3106"/>
      <c r="E35" s="3107">
        <v>0.2</v>
      </c>
      <c r="F35" s="3104" t="s">
        <v>2472</v>
      </c>
      <c r="G35" s="3104"/>
    </row>
    <row r="36" spans="1:7" ht="19.5" customHeight="1">
      <c r="A36" s="3828"/>
      <c r="B36" s="3824"/>
      <c r="C36" s="3105" t="s">
        <v>2473</v>
      </c>
      <c r="D36" s="3106"/>
      <c r="E36" s="3107">
        <v>0.2</v>
      </c>
      <c r="F36" s="3104" t="s">
        <v>2474</v>
      </c>
      <c r="G36" s="3104"/>
    </row>
    <row r="37" spans="1:7" ht="19.5" customHeight="1">
      <c r="A37" s="3828"/>
      <c r="B37" s="3822" t="s">
        <v>2635</v>
      </c>
      <c r="C37" s="3105" t="s">
        <v>2475</v>
      </c>
      <c r="D37" s="3106"/>
      <c r="E37" s="3107">
        <v>0.6</v>
      </c>
      <c r="F37" s="3104" t="s">
        <v>2476</v>
      </c>
      <c r="G37" s="3104"/>
    </row>
    <row r="38" spans="1:7" ht="19.5" customHeight="1">
      <c r="A38" s="3828"/>
      <c r="B38" s="3824"/>
      <c r="C38" s="3105" t="s">
        <v>2477</v>
      </c>
      <c r="D38" s="3106"/>
      <c r="E38" s="3107">
        <v>0.6</v>
      </c>
      <c r="F38" s="3104" t="s">
        <v>2478</v>
      </c>
      <c r="G38" s="3104"/>
    </row>
    <row r="39" spans="1:7" ht="19.5" customHeight="1" thickBot="1">
      <c r="A39" s="3829"/>
      <c r="B39" s="3826"/>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830" t="s">
        <v>2613</v>
      </c>
      <c r="B41" s="3825" t="s">
        <v>2637</v>
      </c>
      <c r="C41" s="3101" t="s">
        <v>2482</v>
      </c>
      <c r="D41" s="3102"/>
      <c r="E41" s="3103">
        <v>1</v>
      </c>
      <c r="F41" s="3104" t="s">
        <v>2483</v>
      </c>
      <c r="G41" s="3104"/>
    </row>
    <row r="42" spans="1:7" ht="19.5" customHeight="1">
      <c r="A42" s="3831"/>
      <c r="B42" s="3824"/>
      <c r="C42" s="3105" t="s">
        <v>2484</v>
      </c>
      <c r="D42" s="3106"/>
      <c r="E42" s="3107">
        <v>1</v>
      </c>
      <c r="F42" s="3104" t="s">
        <v>2485</v>
      </c>
      <c r="G42" s="3104"/>
    </row>
    <row r="43" spans="1:7" ht="19.5" customHeight="1">
      <c r="A43" s="3831"/>
      <c r="B43" s="3823"/>
      <c r="C43" s="3105" t="s">
        <v>2486</v>
      </c>
      <c r="D43" s="3106"/>
      <c r="E43" s="3107">
        <v>1.5</v>
      </c>
      <c r="F43" s="3104" t="s">
        <v>2487</v>
      </c>
      <c r="G43" s="3104"/>
    </row>
    <row r="44" spans="1:7" ht="19.5" customHeight="1">
      <c r="A44" s="3831"/>
      <c r="B44" s="3116" t="s">
        <v>2638</v>
      </c>
      <c r="C44" s="3105" t="s">
        <v>2639</v>
      </c>
      <c r="D44" s="3106"/>
      <c r="E44" s="3107">
        <v>2</v>
      </c>
      <c r="F44" s="3104" t="s">
        <v>2488</v>
      </c>
      <c r="G44" s="3104"/>
    </row>
    <row r="45" spans="1:7" ht="19.5" customHeight="1">
      <c r="A45" s="3831"/>
      <c r="B45" s="3822" t="s">
        <v>2640</v>
      </c>
      <c r="C45" s="3105" t="s">
        <v>2489</v>
      </c>
      <c r="D45" s="3106"/>
      <c r="E45" s="3107">
        <v>1</v>
      </c>
      <c r="F45" s="3104" t="s">
        <v>2490</v>
      </c>
      <c r="G45" s="3104"/>
    </row>
    <row r="46" spans="1:7" ht="19.5" customHeight="1">
      <c r="A46" s="3831"/>
      <c r="B46" s="3824"/>
      <c r="C46" s="3105" t="s">
        <v>2491</v>
      </c>
      <c r="D46" s="3106"/>
      <c r="E46" s="3107">
        <v>1</v>
      </c>
      <c r="F46" s="3104" t="s">
        <v>2492</v>
      </c>
      <c r="G46" s="3104"/>
    </row>
    <row r="47" spans="1:7" ht="19.5" customHeight="1">
      <c r="A47" s="3831"/>
      <c r="B47" s="3824"/>
      <c r="C47" s="3105" t="s">
        <v>2493</v>
      </c>
      <c r="D47" s="3106"/>
      <c r="E47" s="3107">
        <v>1</v>
      </c>
      <c r="F47" s="3104" t="s">
        <v>2494</v>
      </c>
      <c r="G47" s="3104"/>
    </row>
    <row r="48" spans="1:7" ht="19.5" customHeight="1">
      <c r="A48" s="3831"/>
      <c r="B48" s="3824"/>
      <c r="C48" s="3105" t="s">
        <v>2495</v>
      </c>
      <c r="D48" s="3106"/>
      <c r="E48" s="3107">
        <v>1</v>
      </c>
      <c r="F48" s="3104" t="s">
        <v>2496</v>
      </c>
      <c r="G48" s="3104"/>
    </row>
    <row r="49" spans="1:7" ht="19.5" customHeight="1">
      <c r="A49" s="3831"/>
      <c r="B49" s="3824"/>
      <c r="C49" s="3105" t="s">
        <v>2497</v>
      </c>
      <c r="D49" s="3106"/>
      <c r="E49" s="3107">
        <v>1</v>
      </c>
      <c r="F49" s="3104" t="s">
        <v>2498</v>
      </c>
      <c r="G49" s="3104"/>
    </row>
    <row r="50" spans="1:7" ht="19.5" customHeight="1">
      <c r="A50" s="3831"/>
      <c r="B50" s="3824"/>
      <c r="C50" s="3105" t="s">
        <v>2499</v>
      </c>
      <c r="D50" s="3106"/>
      <c r="E50" s="3107">
        <v>1</v>
      </c>
      <c r="F50" s="3104" t="s">
        <v>2500</v>
      </c>
      <c r="G50" s="3104"/>
    </row>
    <row r="51" spans="1:7" ht="19.5" customHeight="1" thickBot="1">
      <c r="A51" s="3832"/>
      <c r="B51" s="3826"/>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822" t="s">
        <v>2654</v>
      </c>
      <c r="C73" s="3090" t="s">
        <v>2655</v>
      </c>
      <c r="D73" s="3090" t="s">
        <v>2656</v>
      </c>
      <c r="E73" s="3116">
        <v>0.2</v>
      </c>
      <c r="F73" s="3116">
        <v>25</v>
      </c>
    </row>
    <row r="74" spans="1:7" ht="24">
      <c r="A74" s="3116">
        <v>2</v>
      </c>
      <c r="B74" s="3824"/>
      <c r="C74" s="3090" t="s">
        <v>2657</v>
      </c>
      <c r="D74" s="3090" t="s">
        <v>2658</v>
      </c>
      <c r="E74" s="3116">
        <v>0.2</v>
      </c>
      <c r="F74" s="3116">
        <v>25</v>
      </c>
    </row>
    <row r="75" spans="1:7" ht="24">
      <c r="A75" s="3116">
        <v>3</v>
      </c>
      <c r="B75" s="3824"/>
      <c r="C75" s="3090" t="s">
        <v>2659</v>
      </c>
      <c r="D75" s="3090" t="s">
        <v>2660</v>
      </c>
      <c r="E75" s="3116">
        <v>0.2</v>
      </c>
      <c r="F75" s="3116">
        <v>25</v>
      </c>
    </row>
    <row r="76" spans="1:7" ht="13.5">
      <c r="A76" s="3116">
        <v>4</v>
      </c>
      <c r="B76" s="3824"/>
      <c r="C76" s="3090" t="s">
        <v>2661</v>
      </c>
      <c r="D76" s="3090" t="s">
        <v>2662</v>
      </c>
      <c r="E76" s="3116">
        <v>0.15</v>
      </c>
      <c r="F76" s="3116">
        <v>20</v>
      </c>
    </row>
    <row r="77" spans="1:7" ht="24">
      <c r="A77" s="3116">
        <v>5</v>
      </c>
      <c r="B77" s="3824"/>
      <c r="C77" s="3090" t="s">
        <v>2663</v>
      </c>
      <c r="D77" s="3090" t="s">
        <v>2664</v>
      </c>
      <c r="E77" s="3116">
        <v>0.15</v>
      </c>
      <c r="F77" s="3116">
        <v>20</v>
      </c>
    </row>
    <row r="78" spans="1:7" ht="24">
      <c r="A78" s="3116">
        <v>6</v>
      </c>
      <c r="B78" s="3824"/>
      <c r="C78" s="3090" t="s">
        <v>2665</v>
      </c>
      <c r="D78" s="3090" t="s">
        <v>2666</v>
      </c>
      <c r="E78" s="3116">
        <v>0.15</v>
      </c>
      <c r="F78" s="3116">
        <v>20</v>
      </c>
    </row>
    <row r="79" spans="1:7" ht="24">
      <c r="A79" s="3116">
        <v>7</v>
      </c>
      <c r="B79" s="3824"/>
      <c r="C79" s="3090" t="s">
        <v>2667</v>
      </c>
      <c r="D79" s="3090" t="s">
        <v>2668</v>
      </c>
      <c r="E79" s="3116">
        <v>0.15</v>
      </c>
      <c r="F79" s="3116">
        <v>20</v>
      </c>
    </row>
    <row r="80" spans="1:7" ht="24">
      <c r="A80" s="3116">
        <v>8</v>
      </c>
      <c r="B80" s="3824"/>
      <c r="C80" s="3090" t="s">
        <v>2669</v>
      </c>
      <c r="D80" s="3090" t="s">
        <v>2670</v>
      </c>
      <c r="E80" s="3116">
        <v>0.1</v>
      </c>
      <c r="F80" s="3116">
        <v>15</v>
      </c>
    </row>
    <row r="81" spans="1:6" ht="24">
      <c r="A81" s="3116">
        <v>9</v>
      </c>
      <c r="B81" s="3824"/>
      <c r="C81" s="3090" t="s">
        <v>2671</v>
      </c>
      <c r="D81" s="3090" t="s">
        <v>2672</v>
      </c>
      <c r="E81" s="3116">
        <v>0.1</v>
      </c>
      <c r="F81" s="3116">
        <v>15</v>
      </c>
    </row>
    <row r="82" spans="1:6" ht="24">
      <c r="A82" s="3116">
        <v>10</v>
      </c>
      <c r="B82" s="3824"/>
      <c r="C82" s="3090" t="s">
        <v>2673</v>
      </c>
      <c r="D82" s="3090" t="s">
        <v>2674</v>
      </c>
      <c r="E82" s="3116">
        <v>0.1</v>
      </c>
      <c r="F82" s="3116">
        <v>15</v>
      </c>
    </row>
    <row r="83" spans="1:6" ht="24">
      <c r="A83" s="3116">
        <v>11</v>
      </c>
      <c r="B83" s="3824"/>
      <c r="C83" s="3090" t="s">
        <v>2675</v>
      </c>
      <c r="D83" s="3090" t="s">
        <v>2676</v>
      </c>
      <c r="E83" s="3116">
        <v>0.1</v>
      </c>
      <c r="F83" s="3116">
        <v>15</v>
      </c>
    </row>
    <row r="84" spans="1:6" ht="24">
      <c r="A84" s="3116">
        <v>12</v>
      </c>
      <c r="B84" s="3824"/>
      <c r="C84" s="3090" t="s">
        <v>2677</v>
      </c>
      <c r="D84" s="3090" t="s">
        <v>2678</v>
      </c>
      <c r="E84" s="3116">
        <v>0.1</v>
      </c>
      <c r="F84" s="3116">
        <v>15</v>
      </c>
    </row>
    <row r="85" spans="1:6" ht="13.5">
      <c r="A85" s="3116">
        <v>13</v>
      </c>
      <c r="B85" s="3824"/>
      <c r="C85" s="3090" t="s">
        <v>2679</v>
      </c>
      <c r="D85" s="3090" t="s">
        <v>2680</v>
      </c>
      <c r="E85" s="3116">
        <v>0.1</v>
      </c>
      <c r="F85" s="3116">
        <v>15</v>
      </c>
    </row>
    <row r="86" spans="1:6" ht="13.5">
      <c r="A86" s="3116">
        <v>14</v>
      </c>
      <c r="B86" s="3824"/>
      <c r="C86" s="3090" t="s">
        <v>2681</v>
      </c>
      <c r="D86" s="3090" t="s">
        <v>2682</v>
      </c>
      <c r="E86" s="3116">
        <v>0.1</v>
      </c>
      <c r="F86" s="3116">
        <v>15</v>
      </c>
    </row>
    <row r="87" spans="1:6" ht="13.5">
      <c r="A87" s="3116">
        <v>15</v>
      </c>
      <c r="B87" s="3824"/>
      <c r="C87" s="3090" t="s">
        <v>2683</v>
      </c>
      <c r="D87" s="3090" t="s">
        <v>2684</v>
      </c>
      <c r="E87" s="3116">
        <v>0.1</v>
      </c>
      <c r="F87" s="3116">
        <v>15</v>
      </c>
    </row>
    <row r="88" spans="1:6" ht="24">
      <c r="A88" s="3116">
        <v>16</v>
      </c>
      <c r="B88" s="3824"/>
      <c r="C88" s="3090" t="s">
        <v>2685</v>
      </c>
      <c r="D88" s="3090" t="s">
        <v>2686</v>
      </c>
      <c r="E88" s="3116">
        <v>0.1</v>
      </c>
      <c r="F88" s="3116">
        <v>15</v>
      </c>
    </row>
    <row r="89" spans="1:6" ht="24">
      <c r="A89" s="3116">
        <v>17</v>
      </c>
      <c r="B89" s="3823"/>
      <c r="C89" s="3090" t="s">
        <v>2687</v>
      </c>
      <c r="D89" s="3090" t="s">
        <v>2688</v>
      </c>
      <c r="E89" s="3116">
        <v>0.1</v>
      </c>
      <c r="F89" s="3116">
        <v>15</v>
      </c>
    </row>
    <row r="90" spans="1:6" ht="13.5">
      <c r="A90" s="3116">
        <v>18</v>
      </c>
      <c r="B90" s="3822" t="s">
        <v>2689</v>
      </c>
      <c r="C90" s="3090" t="s">
        <v>2690</v>
      </c>
      <c r="D90" s="3090" t="s">
        <v>2691</v>
      </c>
      <c r="E90" s="3116">
        <v>0.2</v>
      </c>
      <c r="F90" s="3116">
        <v>25</v>
      </c>
    </row>
    <row r="91" spans="1:6" ht="24">
      <c r="A91" s="3116">
        <v>19</v>
      </c>
      <c r="B91" s="3824"/>
      <c r="C91" s="3090" t="s">
        <v>2692</v>
      </c>
      <c r="D91" s="3090" t="s">
        <v>2693</v>
      </c>
      <c r="E91" s="3116">
        <v>0.2</v>
      </c>
      <c r="F91" s="3116">
        <v>25</v>
      </c>
    </row>
    <row r="92" spans="1:6" ht="13.5">
      <c r="A92" s="3116">
        <v>20</v>
      </c>
      <c r="B92" s="3824"/>
      <c r="C92" s="3090" t="s">
        <v>2694</v>
      </c>
      <c r="D92" s="3090" t="s">
        <v>2695</v>
      </c>
      <c r="E92" s="3116">
        <v>0.15</v>
      </c>
      <c r="F92" s="3116">
        <v>20</v>
      </c>
    </row>
    <row r="93" spans="1:6" ht="13.5">
      <c r="A93" s="3116">
        <v>21</v>
      </c>
      <c r="B93" s="3824"/>
      <c r="C93" s="3090" t="s">
        <v>2696</v>
      </c>
      <c r="D93" s="3090" t="s">
        <v>2697</v>
      </c>
      <c r="E93" s="3116">
        <v>0.15</v>
      </c>
      <c r="F93" s="3116">
        <v>20</v>
      </c>
    </row>
    <row r="94" spans="1:6" ht="13.5">
      <c r="A94" s="3116">
        <v>22</v>
      </c>
      <c r="B94" s="3824"/>
      <c r="C94" s="3090" t="s">
        <v>2698</v>
      </c>
      <c r="D94" s="3090" t="s">
        <v>2699</v>
      </c>
      <c r="E94" s="3116">
        <v>0.15</v>
      </c>
      <c r="F94" s="3116">
        <v>20</v>
      </c>
    </row>
    <row r="95" spans="1:6" ht="36">
      <c r="A95" s="3116">
        <v>23</v>
      </c>
      <c r="B95" s="3824"/>
      <c r="C95" s="3090" t="s">
        <v>2700</v>
      </c>
      <c r="D95" s="3090" t="s">
        <v>2701</v>
      </c>
      <c r="E95" s="3116">
        <v>0.15</v>
      </c>
      <c r="F95" s="3116">
        <v>20</v>
      </c>
    </row>
    <row r="96" spans="1:6" ht="13.5">
      <c r="A96" s="3116">
        <v>24</v>
      </c>
      <c r="B96" s="3824"/>
      <c r="C96" s="3090" t="s">
        <v>2702</v>
      </c>
      <c r="D96" s="3090" t="s">
        <v>2703</v>
      </c>
      <c r="E96" s="3116">
        <v>0.1</v>
      </c>
      <c r="F96" s="3116">
        <v>15</v>
      </c>
    </row>
    <row r="97" spans="1:6" ht="13.5">
      <c r="A97" s="3116">
        <v>25</v>
      </c>
      <c r="B97" s="3824"/>
      <c r="C97" s="3090" t="s">
        <v>2704</v>
      </c>
      <c r="D97" s="3090" t="s">
        <v>2705</v>
      </c>
      <c r="E97" s="3116">
        <v>0.1</v>
      </c>
      <c r="F97" s="3116">
        <v>15</v>
      </c>
    </row>
    <row r="98" spans="1:6" ht="24">
      <c r="A98" s="3116">
        <v>26</v>
      </c>
      <c r="B98" s="3824"/>
      <c r="C98" s="3090" t="s">
        <v>2706</v>
      </c>
      <c r="D98" s="3090" t="s">
        <v>2707</v>
      </c>
      <c r="E98" s="3116">
        <v>0.1</v>
      </c>
      <c r="F98" s="3116">
        <v>15</v>
      </c>
    </row>
    <row r="99" spans="1:6" ht="24">
      <c r="A99" s="3116">
        <v>27</v>
      </c>
      <c r="B99" s="3824"/>
      <c r="C99" s="3090" t="s">
        <v>2708</v>
      </c>
      <c r="D99" s="3090" t="s">
        <v>2709</v>
      </c>
      <c r="E99" s="3116">
        <v>0.1</v>
      </c>
      <c r="F99" s="3116">
        <v>15</v>
      </c>
    </row>
    <row r="100" spans="1:6" ht="13.5">
      <c r="A100" s="3116">
        <v>28</v>
      </c>
      <c r="B100" s="3824"/>
      <c r="C100" s="3090" t="s">
        <v>2710</v>
      </c>
      <c r="D100" s="3090" t="s">
        <v>2711</v>
      </c>
      <c r="E100" s="3116">
        <v>0.1</v>
      </c>
      <c r="F100" s="3116">
        <v>15</v>
      </c>
    </row>
    <row r="101" spans="1:6" ht="13.5">
      <c r="A101" s="3116">
        <v>29</v>
      </c>
      <c r="B101" s="3824"/>
      <c r="C101" s="3090" t="s">
        <v>2712</v>
      </c>
      <c r="D101" s="3090" t="s">
        <v>2713</v>
      </c>
      <c r="E101" s="3116">
        <v>0.1</v>
      </c>
      <c r="F101" s="3116">
        <v>15</v>
      </c>
    </row>
    <row r="102" spans="1:6" ht="13.5">
      <c r="A102" s="3116">
        <v>30</v>
      </c>
      <c r="B102" s="3824"/>
      <c r="C102" s="3090" t="s">
        <v>2714</v>
      </c>
      <c r="D102" s="3090" t="s">
        <v>2715</v>
      </c>
      <c r="E102" s="3116">
        <v>0.1</v>
      </c>
      <c r="F102" s="3116">
        <v>15</v>
      </c>
    </row>
    <row r="103" spans="1:6" ht="24">
      <c r="A103" s="3116">
        <v>31</v>
      </c>
      <c r="B103" s="3824"/>
      <c r="C103" s="3090" t="s">
        <v>2716</v>
      </c>
      <c r="D103" s="3090" t="s">
        <v>2717</v>
      </c>
      <c r="E103" s="3116">
        <v>0.1</v>
      </c>
      <c r="F103" s="3116">
        <v>15</v>
      </c>
    </row>
    <row r="104" spans="1:6" ht="24">
      <c r="A104" s="3116">
        <v>32</v>
      </c>
      <c r="B104" s="3824"/>
      <c r="C104" s="3090" t="s">
        <v>2718</v>
      </c>
      <c r="D104" s="3090" t="s">
        <v>2719</v>
      </c>
      <c r="E104" s="3116">
        <v>0.1</v>
      </c>
      <c r="F104" s="3116">
        <v>15</v>
      </c>
    </row>
    <row r="105" spans="1:6" ht="24">
      <c r="A105" s="3116">
        <v>33</v>
      </c>
      <c r="B105" s="3824"/>
      <c r="C105" s="3090" t="s">
        <v>2720</v>
      </c>
      <c r="D105" s="3090" t="s">
        <v>2721</v>
      </c>
      <c r="E105" s="3116">
        <v>0.1</v>
      </c>
      <c r="F105" s="3116">
        <v>15</v>
      </c>
    </row>
    <row r="106" spans="1:6" ht="24">
      <c r="A106" s="3116">
        <v>34</v>
      </c>
      <c r="B106" s="3823"/>
      <c r="C106" s="3090" t="s">
        <v>2722</v>
      </c>
      <c r="D106" s="3090" t="s">
        <v>2723</v>
      </c>
      <c r="E106" s="3116">
        <v>0.1</v>
      </c>
      <c r="F106" s="3116">
        <v>15</v>
      </c>
    </row>
    <row r="107" spans="1:6" ht="24">
      <c r="A107" s="3116">
        <v>35</v>
      </c>
      <c r="B107" s="3822" t="s">
        <v>2724</v>
      </c>
      <c r="C107" s="3116" t="s">
        <v>2725</v>
      </c>
      <c r="D107" s="3090" t="s">
        <v>2726</v>
      </c>
      <c r="E107" s="3116">
        <v>0.15</v>
      </c>
      <c r="F107" s="3116">
        <v>20</v>
      </c>
    </row>
    <row r="108" spans="1:6" ht="13.5">
      <c r="A108" s="3116">
        <v>36</v>
      </c>
      <c r="B108" s="3824"/>
      <c r="C108" s="3116" t="s">
        <v>2727</v>
      </c>
      <c r="D108" s="3090" t="s">
        <v>2728</v>
      </c>
      <c r="E108" s="3116">
        <v>0.15</v>
      </c>
      <c r="F108" s="3116">
        <v>20</v>
      </c>
    </row>
    <row r="109" spans="1:6" ht="13.5">
      <c r="A109" s="3116">
        <v>37</v>
      </c>
      <c r="B109" s="3824"/>
      <c r="C109" s="3116" t="s">
        <v>2729</v>
      </c>
      <c r="D109" s="3090" t="s">
        <v>2730</v>
      </c>
      <c r="E109" s="3116">
        <v>0.15</v>
      </c>
      <c r="F109" s="3116">
        <v>20</v>
      </c>
    </row>
    <row r="110" spans="1:6" ht="13.5">
      <c r="A110" s="3116">
        <v>38</v>
      </c>
      <c r="B110" s="3824"/>
      <c r="C110" s="3116" t="s">
        <v>2731</v>
      </c>
      <c r="D110" s="3090" t="s">
        <v>2732</v>
      </c>
      <c r="E110" s="3116">
        <v>0.1</v>
      </c>
      <c r="F110" s="3116">
        <v>15</v>
      </c>
    </row>
    <row r="111" spans="1:6" ht="24">
      <c r="A111" s="3116">
        <v>39</v>
      </c>
      <c r="B111" s="3824"/>
      <c r="C111" s="3116" t="s">
        <v>2733</v>
      </c>
      <c r="D111" s="3090" t="s">
        <v>2734</v>
      </c>
      <c r="E111" s="3116">
        <v>0.1</v>
      </c>
      <c r="F111" s="3116">
        <v>15</v>
      </c>
    </row>
    <row r="112" spans="1:6" ht="24">
      <c r="A112" s="3116">
        <v>40</v>
      </c>
      <c r="B112" s="3823"/>
      <c r="C112" s="3116" t="s">
        <v>2735</v>
      </c>
      <c r="D112" s="3090" t="s">
        <v>2736</v>
      </c>
      <c r="E112" s="3116">
        <v>0.1</v>
      </c>
      <c r="F112" s="3116">
        <v>15</v>
      </c>
    </row>
    <row r="113" spans="1:6" ht="13.5">
      <c r="A113" s="3116">
        <v>41</v>
      </c>
      <c r="B113" s="3821" t="s">
        <v>2737</v>
      </c>
      <c r="C113" s="3116" t="s">
        <v>2738</v>
      </c>
      <c r="D113" s="3090" t="s">
        <v>2739</v>
      </c>
      <c r="E113" s="3116">
        <v>0.1</v>
      </c>
      <c r="F113" s="3116">
        <v>15</v>
      </c>
    </row>
    <row r="114" spans="1:6" ht="13.5">
      <c r="A114" s="3116">
        <v>42</v>
      </c>
      <c r="B114" s="3821"/>
      <c r="C114" s="3116" t="s">
        <v>2740</v>
      </c>
      <c r="D114" s="3090" t="s">
        <v>2741</v>
      </c>
      <c r="E114" s="3116">
        <v>0.1</v>
      </c>
      <c r="F114" s="3116">
        <v>15</v>
      </c>
    </row>
    <row r="115" spans="1:6" ht="24">
      <c r="A115" s="3116">
        <v>43</v>
      </c>
      <c r="B115" s="3821"/>
      <c r="C115" s="3116" t="s">
        <v>2742</v>
      </c>
      <c r="D115" s="3090" t="s">
        <v>2743</v>
      </c>
      <c r="E115" s="3116">
        <v>0.1</v>
      </c>
      <c r="F115" s="3116">
        <v>15</v>
      </c>
    </row>
    <row r="116" spans="1:6" ht="13.5">
      <c r="A116" s="3116">
        <v>44</v>
      </c>
      <c r="B116" s="3822" t="s">
        <v>2744</v>
      </c>
      <c r="C116" s="3116" t="s">
        <v>2745</v>
      </c>
      <c r="D116" s="3090" t="s">
        <v>2746</v>
      </c>
      <c r="E116" s="3116">
        <v>0.1</v>
      </c>
      <c r="F116" s="3116">
        <v>15</v>
      </c>
    </row>
    <row r="117" spans="1:6" ht="24">
      <c r="A117" s="3116">
        <v>45</v>
      </c>
      <c r="B117" s="3823"/>
      <c r="C117" s="3090" t="s">
        <v>2747</v>
      </c>
      <c r="D117" s="3090" t="s">
        <v>2748</v>
      </c>
      <c r="E117" s="3116">
        <v>0.1</v>
      </c>
      <c r="F117" s="3116">
        <v>15</v>
      </c>
    </row>
    <row r="118" spans="1:6" ht="24">
      <c r="A118" s="3116">
        <v>46</v>
      </c>
      <c r="B118" s="3822" t="s">
        <v>2749</v>
      </c>
      <c r="C118" s="3116" t="s">
        <v>2750</v>
      </c>
      <c r="D118" s="3090" t="s">
        <v>2751</v>
      </c>
      <c r="E118" s="3116">
        <v>0.1</v>
      </c>
      <c r="F118" s="3116">
        <v>15</v>
      </c>
    </row>
    <row r="119" spans="1:6" ht="24">
      <c r="A119" s="3116">
        <v>47</v>
      </c>
      <c r="B119" s="3823"/>
      <c r="C119" s="3116" t="s">
        <v>2752</v>
      </c>
      <c r="D119" s="3090" t="s">
        <v>2753</v>
      </c>
      <c r="E119" s="3116">
        <v>0.1</v>
      </c>
      <c r="F119" s="3116">
        <v>15</v>
      </c>
    </row>
    <row r="120" spans="1:6" ht="13.5">
      <c r="A120" s="3116">
        <v>48</v>
      </c>
      <c r="B120" s="3822" t="s">
        <v>2754</v>
      </c>
      <c r="C120" s="3116" t="s">
        <v>2755</v>
      </c>
      <c r="D120" s="3090" t="s">
        <v>2756</v>
      </c>
      <c r="E120" s="3116">
        <v>0.1</v>
      </c>
      <c r="F120" s="3116">
        <v>15</v>
      </c>
    </row>
    <row r="121" spans="1:6" ht="13.5">
      <c r="A121" s="3116">
        <v>49</v>
      </c>
      <c r="B121" s="3823"/>
      <c r="C121" s="3116" t="s">
        <v>2757</v>
      </c>
      <c r="D121" s="3090" t="s">
        <v>2758</v>
      </c>
      <c r="E121" s="3116">
        <v>0.1</v>
      </c>
      <c r="F121" s="3116">
        <v>15</v>
      </c>
    </row>
    <row r="122" spans="1:6" ht="24">
      <c r="A122" s="3116">
        <v>50</v>
      </c>
      <c r="B122" s="3821" t="s">
        <v>2759</v>
      </c>
      <c r="C122" s="3116" t="s">
        <v>2760</v>
      </c>
      <c r="D122" s="3090" t="s">
        <v>2761</v>
      </c>
      <c r="E122" s="3116">
        <v>0.1</v>
      </c>
      <c r="F122" s="3116">
        <v>15</v>
      </c>
    </row>
    <row r="123" spans="1:6" ht="24">
      <c r="A123" s="3116">
        <v>51</v>
      </c>
      <c r="B123" s="3821"/>
      <c r="C123" s="3116" t="s">
        <v>2762</v>
      </c>
      <c r="D123" s="3090" t="s">
        <v>2763</v>
      </c>
      <c r="E123" s="3116">
        <v>0.1</v>
      </c>
      <c r="F123" s="3116">
        <v>15</v>
      </c>
    </row>
    <row r="124" spans="1:6" ht="24">
      <c r="A124" s="3116">
        <v>52</v>
      </c>
      <c r="B124" s="3821" t="s">
        <v>2764</v>
      </c>
      <c r="C124" s="3116" t="s">
        <v>2765</v>
      </c>
      <c r="D124" s="3090" t="s">
        <v>2766</v>
      </c>
      <c r="E124" s="3116">
        <v>0.1</v>
      </c>
      <c r="F124" s="3116">
        <v>15</v>
      </c>
    </row>
    <row r="125" spans="1:6" ht="24">
      <c r="A125" s="3116">
        <v>53</v>
      </c>
      <c r="B125" s="3821"/>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821" t="s">
        <v>2772</v>
      </c>
      <c r="C127" s="3116" t="s">
        <v>2773</v>
      </c>
      <c r="D127" s="3090" t="s">
        <v>2774</v>
      </c>
      <c r="E127" s="3116">
        <v>0.1</v>
      </c>
      <c r="F127" s="3116">
        <v>15</v>
      </c>
    </row>
    <row r="128" spans="1:6" ht="13.5">
      <c r="A128" s="3116">
        <v>56</v>
      </c>
      <c r="B128" s="3821"/>
      <c r="C128" s="3116" t="s">
        <v>2775</v>
      </c>
      <c r="D128" s="3090" t="s">
        <v>2776</v>
      </c>
      <c r="E128" s="3116">
        <v>0.1</v>
      </c>
      <c r="F128" s="3116">
        <v>15</v>
      </c>
    </row>
    <row r="129" spans="1:6" ht="24">
      <c r="A129" s="3116">
        <v>57</v>
      </c>
      <c r="B129" s="3821"/>
      <c r="C129" s="3116" t="s">
        <v>2777</v>
      </c>
      <c r="D129" s="3090" t="s">
        <v>2778</v>
      </c>
      <c r="E129" s="3116">
        <v>0.1</v>
      </c>
      <c r="F129" s="3116">
        <v>15</v>
      </c>
    </row>
    <row r="130" spans="1:6" ht="24">
      <c r="A130" s="3116">
        <v>58</v>
      </c>
      <c r="B130" s="3821" t="s">
        <v>2779</v>
      </c>
      <c r="C130" s="3116" t="s">
        <v>2780</v>
      </c>
      <c r="D130" s="3090" t="s">
        <v>2781</v>
      </c>
      <c r="E130" s="3116">
        <v>0.1</v>
      </c>
      <c r="F130" s="3116">
        <v>15</v>
      </c>
    </row>
    <row r="131" spans="1:6" ht="13.5">
      <c r="A131" s="3116">
        <v>59</v>
      </c>
      <c r="B131" s="3821"/>
      <c r="C131" s="3116" t="s">
        <v>2782</v>
      </c>
      <c r="D131" s="3090" t="s">
        <v>2783</v>
      </c>
      <c r="E131" s="3116">
        <v>0.1</v>
      </c>
      <c r="F131" s="3116">
        <v>15</v>
      </c>
    </row>
    <row r="132" spans="1:6" ht="13.5">
      <c r="A132" s="3116">
        <v>60</v>
      </c>
      <c r="B132" s="3822" t="s">
        <v>2784</v>
      </c>
      <c r="C132" s="3116" t="s">
        <v>2785</v>
      </c>
      <c r="D132" s="3090" t="s">
        <v>2786</v>
      </c>
      <c r="E132" s="3116">
        <v>0.1</v>
      </c>
      <c r="F132" s="3116">
        <v>15</v>
      </c>
    </row>
    <row r="133" spans="1:6" ht="13.5">
      <c r="A133" s="3116">
        <v>61</v>
      </c>
      <c r="B133" s="3823"/>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821" t="s">
        <v>2792</v>
      </c>
      <c r="C135" s="3116" t="s">
        <v>2793</v>
      </c>
      <c r="D135" s="3090" t="s">
        <v>2794</v>
      </c>
      <c r="E135" s="3116">
        <v>0.1</v>
      </c>
      <c r="F135" s="3116">
        <v>15</v>
      </c>
    </row>
    <row r="136" spans="1:6" ht="13.5">
      <c r="A136" s="3116">
        <v>64</v>
      </c>
      <c r="B136" s="3821"/>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0.94710000000000005</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93"/>
      <c r="B4" s="3517" t="s">
        <v>917</v>
      </c>
      <c r="C4" s="3517"/>
      <c r="D4" s="3517"/>
      <c r="E4" s="1493"/>
    </row>
    <row r="5" spans="1:5" ht="16.5" thickTop="1">
      <c r="A5" s="1491"/>
      <c r="B5" s="3515" t="s">
        <v>909</v>
      </c>
      <c r="C5" s="1494" t="s">
        <v>910</v>
      </c>
      <c r="D5" s="850">
        <f ca="1">结果表!H101</f>
        <v>145763</v>
      </c>
      <c r="E5" s="1491"/>
    </row>
    <row r="6" spans="1:5" ht="15.75">
      <c r="A6" s="1491"/>
      <c r="B6" s="3515"/>
      <c r="C6" s="1494" t="s">
        <v>911</v>
      </c>
      <c r="D6" s="850" t="str">
        <f ca="1">NUMBERSTRING(INT(D5*10000),2)&amp;"元整"</f>
        <v>壹拾肆亿伍仟柒佰陆拾叁万元整</v>
      </c>
      <c r="E6" s="1491"/>
    </row>
    <row r="7" spans="1:5" ht="15.75">
      <c r="A7" s="1491"/>
      <c r="B7" s="3520"/>
      <c r="C7" s="1495" t="s">
        <v>912</v>
      </c>
      <c r="D7" s="851">
        <f ca="1">结果表!H102</f>
        <v>41428</v>
      </c>
      <c r="E7" s="1491"/>
    </row>
    <row r="8" spans="1:5" ht="15.75">
      <c r="A8" s="1491"/>
      <c r="B8" s="3521" t="str">
        <f>结果表!E103</f>
        <v>2.估价师知悉的法定优先受偿款</v>
      </c>
      <c r="C8" s="1496" t="s">
        <v>913</v>
      </c>
      <c r="D8" s="851">
        <f>结果表!H103</f>
        <v>0</v>
      </c>
      <c r="E8" s="1491"/>
    </row>
    <row r="9" spans="1:5" ht="15.75">
      <c r="A9" s="1491"/>
      <c r="B9" s="352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14" t="str">
        <f>结果表!E107</f>
        <v>3.房地产抵押价值</v>
      </c>
      <c r="C13" s="1499" t="s">
        <v>910</v>
      </c>
      <c r="D13" s="853">
        <f ca="1">结果表!H107</f>
        <v>145763</v>
      </c>
      <c r="E13" s="1491"/>
    </row>
    <row r="14" spans="1:5" ht="15.75">
      <c r="A14" s="1491"/>
      <c r="B14" s="3515"/>
      <c r="C14" s="1494" t="s">
        <v>911</v>
      </c>
      <c r="D14" s="850" t="str">
        <f ca="1">NUMBERSTRING(INT(D13*10000),2)&amp;"元整"</f>
        <v>壹拾肆亿伍仟柒佰陆拾叁万元整</v>
      </c>
      <c r="E14" s="1491"/>
    </row>
    <row r="15" spans="1:5" ht="15">
      <c r="A15" s="1491"/>
      <c r="B15" s="3520"/>
      <c r="C15" s="1495" t="s">
        <v>921</v>
      </c>
      <c r="D15" s="859">
        <f ca="1">结果表!H108</f>
        <v>41428</v>
      </c>
      <c r="E15" s="1491"/>
    </row>
    <row r="16" spans="1:5" ht="15">
      <c r="A16" s="1491"/>
      <c r="B16" s="3521" t="str">
        <f>结果表!E109</f>
        <v>——</v>
      </c>
      <c r="C16" s="1499" t="s">
        <v>922</v>
      </c>
      <c r="D16" s="1500" t="str">
        <f>结果表!H109</f>
        <v>——</v>
      </c>
      <c r="E16" s="1491"/>
    </row>
    <row r="17" spans="1:5" ht="15.75">
      <c r="A17" s="1491"/>
      <c r="B17" s="3522"/>
      <c r="C17" s="1494" t="s">
        <v>923</v>
      </c>
      <c r="D17" s="850" t="e">
        <f>NUMBERSTRING(INT(D16*10000),2)&amp;"元整"</f>
        <v>#VALUE!</v>
      </c>
      <c r="E17" s="1491"/>
    </row>
    <row r="18" spans="1:5" ht="15">
      <c r="A18" s="1491"/>
      <c r="B18" s="3523"/>
      <c r="C18" s="1495" t="s">
        <v>912</v>
      </c>
      <c r="D18" s="859" t="str">
        <f>结果表!H110</f>
        <v>——</v>
      </c>
      <c r="E18" s="1491"/>
    </row>
    <row r="19" spans="1:5" ht="15.75">
      <c r="A19" s="1491"/>
      <c r="B19" s="3514" t="str">
        <f>结果表!E111</f>
        <v>4.抵押净值</v>
      </c>
      <c r="C19" s="1499" t="s">
        <v>910</v>
      </c>
      <c r="D19" s="851">
        <f ca="1">结果表!H111</f>
        <v>125867</v>
      </c>
      <c r="E19" s="1491"/>
    </row>
    <row r="20" spans="1:5" ht="15.75">
      <c r="A20" s="1491"/>
      <c r="B20" s="3515"/>
      <c r="C20" s="1494" t="s">
        <v>923</v>
      </c>
      <c r="D20" s="850" t="str">
        <f ca="1">NUMBERSTRING(INT(D19*10000),2)&amp;"元整"</f>
        <v>壹拾贰亿伍仟捌佰陆拾柒万元整</v>
      </c>
      <c r="E20" s="1491"/>
    </row>
    <row r="21" spans="1:5" ht="15.75" thickBot="1">
      <c r="A21" s="1491"/>
      <c r="B21" s="3516"/>
      <c r="C21" s="1501" t="s">
        <v>921</v>
      </c>
      <c r="D21" s="860">
        <f ca="1">结果表!H112</f>
        <v>35773</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53223</v>
      </c>
      <c r="C2" s="2" t="s">
        <v>106</v>
      </c>
      <c r="D2" s="199"/>
      <c r="E2" s="199"/>
      <c r="F2" s="199"/>
      <c r="G2" s="199"/>
    </row>
    <row r="3" spans="1:7" s="200" customFormat="1" ht="18" customHeight="1" thickBot="1">
      <c r="A3" s="203" t="s">
        <v>58</v>
      </c>
      <c r="B3" s="204">
        <f ca="1">ROUND(B2*10000/'数据-汇总表'!E3,0)</f>
        <v>15127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704</v>
      </c>
      <c r="D10" s="845">
        <f>'数据-汇总表'!E6</f>
        <v>35184.699999999997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704</v>
      </c>
      <c r="D19" s="849">
        <f>'数据-汇总表'!E3</f>
        <v>35184.699999999997</v>
      </c>
      <c r="E19" s="211">
        <f>'数据-取费表'!B31</f>
        <v>200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49</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4348</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4348</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29935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21314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19352</v>
      </c>
      <c r="D34" s="217"/>
      <c r="E34" s="220"/>
      <c r="F34" s="257">
        <f>IF('数据-取费表'!B24=0,1,'数据-取费表'!N16)</f>
        <v>1</v>
      </c>
      <c r="G34" s="219" t="s">
        <v>89</v>
      </c>
    </row>
    <row r="35" spans="1:7" ht="13.5" customHeight="1">
      <c r="A35" s="780" t="s">
        <v>351</v>
      </c>
      <c r="B35" s="215" t="s">
        <v>33</v>
      </c>
      <c r="C35" s="220">
        <f>ROUND(C34*F35,0)</f>
        <v>968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704</v>
      </c>
      <c r="D37" s="217">
        <f>'数据-汇总表'!E3</f>
        <v>35184.699999999997</v>
      </c>
      <c r="E37" s="249">
        <f>'数据-取费表'!B35</f>
        <v>200</v>
      </c>
      <c r="F37" s="259"/>
      <c r="G37" s="261" t="s">
        <v>92</v>
      </c>
    </row>
    <row r="38" spans="1:7" ht="13.5" customHeight="1">
      <c r="A38" s="780" t="s">
        <v>354</v>
      </c>
      <c r="B38" s="215" t="s">
        <v>36</v>
      </c>
      <c r="C38" s="220">
        <f>ROUND(C34*F38,0)</f>
        <v>290</v>
      </c>
      <c r="D38" s="220"/>
      <c r="E38" s="220"/>
      <c r="F38" s="259">
        <f>'数据-取费表'!B36</f>
        <v>1.4999999999999999E-2</v>
      </c>
      <c r="G38" s="219" t="s">
        <v>90</v>
      </c>
    </row>
    <row r="39" spans="1:7" s="214" customFormat="1" ht="13.5" customHeight="1">
      <c r="A39" s="777" t="s">
        <v>338</v>
      </c>
      <c r="B39" s="210" t="s">
        <v>77</v>
      </c>
      <c r="C39" s="232">
        <f>ROUND(C33*F20,0)</f>
        <v>426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750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735</v>
      </c>
      <c r="D42" s="238"/>
      <c r="E42" s="238"/>
      <c r="F42" s="239"/>
      <c r="G42" s="3697" t="s">
        <v>94</v>
      </c>
    </row>
    <row r="43" spans="1:7" ht="13.5" customHeight="1">
      <c r="A43" s="780" t="s">
        <v>347</v>
      </c>
      <c r="B43" s="215" t="s">
        <v>426</v>
      </c>
      <c r="C43" s="238">
        <f ca="1">ROUND(IF('数据-取费表'!B22&lt;=1,C39*F22*'数据-取费表'!B21/2,C39*(POWER((1+F22),'数据-取费表'!B21/2)-1)),0)</f>
        <v>15</v>
      </c>
      <c r="D43" s="238"/>
      <c r="E43" s="238"/>
      <c r="F43" s="239"/>
      <c r="G43" s="3698"/>
    </row>
    <row r="44" spans="1:7" ht="13.5" customHeight="1">
      <c r="A44" s="780" t="s">
        <v>348</v>
      </c>
      <c r="B44" s="215" t="s">
        <v>428</v>
      </c>
      <c r="C44" s="238">
        <f ca="1">ROUND(IF('数据-取费表'!B22&lt;=1,C40*F22*'数据-取费表'!B21/2,C40*(POWER((1+F22),'数据-取费表'!B21/2)-1)),4)</f>
        <v>6.9999999999999999E-4</v>
      </c>
      <c r="D44" s="238"/>
      <c r="E44" s="238"/>
      <c r="F44" s="239"/>
      <c r="G44" s="3699"/>
    </row>
    <row r="45" spans="1:7" s="214" customFormat="1" ht="13.5" customHeight="1">
      <c r="A45" s="777" t="s">
        <v>341</v>
      </c>
      <c r="B45" s="244" t="s">
        <v>85</v>
      </c>
      <c r="C45" s="245">
        <f>C46</f>
        <v>4348</v>
      </c>
      <c r="D45" s="235">
        <f>C47</f>
        <v>4.0000000000000001E-3</v>
      </c>
      <c r="E45" s="236" t="s">
        <v>102</v>
      </c>
      <c r="F45" s="246"/>
      <c r="G45" s="247" t="s">
        <v>434</v>
      </c>
    </row>
    <row r="46" spans="1:7" s="214" customFormat="1" ht="13.5" customHeight="1">
      <c r="A46" s="780" t="s">
        <v>349</v>
      </c>
      <c r="B46" s="248" t="s">
        <v>427</v>
      </c>
      <c r="C46" s="249">
        <f>ROUND((C33+C39)*F27,0)</f>
        <v>4348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29110</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23288</v>
      </c>
      <c r="D51" s="232"/>
      <c r="E51" s="232"/>
      <c r="F51" s="264"/>
      <c r="G51" s="234" t="s">
        <v>37</v>
      </c>
    </row>
    <row r="52" spans="1:7" s="208" customFormat="1" ht="16.5" thickBot="1">
      <c r="A52" s="265" t="s">
        <v>38</v>
      </c>
      <c r="B52" s="266"/>
      <c r="C52" s="267">
        <f ca="1">C31+C51</f>
        <v>53223</v>
      </c>
      <c r="D52" s="266"/>
      <c r="E52" s="266"/>
      <c r="F52" s="266"/>
      <c r="G52" s="268"/>
    </row>
    <row r="55" spans="1:7" ht="15">
      <c r="B55" s="270" t="s">
        <v>39</v>
      </c>
      <c r="C55" s="271"/>
    </row>
    <row r="56" spans="1:7">
      <c r="B56" s="273" t="s">
        <v>40</v>
      </c>
      <c r="C56" s="274">
        <f ca="1">ROUND(C51/C52,3)</f>
        <v>0.438</v>
      </c>
    </row>
    <row r="57" spans="1:7">
      <c r="B57" s="273" t="s">
        <v>41</v>
      </c>
      <c r="C57" s="275">
        <f ca="1">1-C56</f>
        <v>0.56200000000000006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35" t="s">
        <v>2842</v>
      </c>
      <c r="B1" s="3835"/>
      <c r="C1" s="3835"/>
      <c r="D1" s="3835"/>
      <c r="E1" s="3835"/>
      <c r="F1" s="3835"/>
      <c r="G1" s="3836"/>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833"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834"/>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37" t="s">
        <v>3184</v>
      </c>
      <c r="B1" s="3837"/>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38" t="s">
        <v>3235</v>
      </c>
      <c r="B1" s="3838"/>
      <c r="C1" s="3838"/>
      <c r="D1" s="3838"/>
      <c r="E1" s="3838"/>
      <c r="F1" s="3839"/>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45348</v>
      </c>
      <c r="B1" s="3208" t="s">
        <v>3373</v>
      </c>
      <c r="C1" s="3209"/>
      <c r="D1" s="3209"/>
      <c r="E1" s="3209"/>
      <c r="F1" s="3209"/>
      <c r="G1" s="3209"/>
      <c r="H1" s="3209"/>
      <c r="I1" s="3209"/>
      <c r="J1" s="3163"/>
      <c r="K1" s="3209" t="s">
        <v>454</v>
      </c>
      <c r="L1" s="3209"/>
      <c r="M1" s="3209"/>
      <c r="N1" s="3209"/>
      <c r="O1" s="3209"/>
      <c r="P1" s="3209"/>
      <c r="Q1" s="3163"/>
      <c r="R1" s="3840" t="s">
        <v>456</v>
      </c>
      <c r="S1" s="3841"/>
      <c r="T1" s="3841"/>
      <c r="U1" s="3841"/>
      <c r="V1" s="3841"/>
      <c r="W1" s="3841"/>
      <c r="X1" s="3163"/>
      <c r="Y1" s="3840" t="s">
        <v>457</v>
      </c>
      <c r="Z1" s="3841"/>
      <c r="AA1" s="3841"/>
      <c r="AB1" s="3841"/>
      <c r="AC1" s="3841"/>
      <c r="AD1" s="384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3377</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3378</v>
      </c>
      <c r="B6" s="3175">
        <v>2023</v>
      </c>
      <c r="C6" s="3176">
        <v>3</v>
      </c>
      <c r="D6" s="3177">
        <v>0</v>
      </c>
      <c r="E6" s="3177">
        <v>0</v>
      </c>
      <c r="F6" s="3177">
        <v>0</v>
      </c>
      <c r="G6" s="3177">
        <v>0</v>
      </c>
      <c r="H6" s="3194">
        <v>0</v>
      </c>
      <c r="I6" s="3178">
        <v>0</v>
      </c>
      <c r="J6" s="3179"/>
      <c r="K6" s="3180">
        <f t="shared" ref="K6:O7" si="8">D6/100</f>
        <v>0</v>
      </c>
      <c r="L6" s="3170">
        <f t="shared" ref="L6" si="9">E6/100</f>
        <v>0</v>
      </c>
      <c r="M6" s="3170">
        <f t="shared" ref="M6" si="10">F6/100</f>
        <v>0</v>
      </c>
      <c r="N6" s="3170">
        <f t="shared" ref="N6" si="11">G6/100</f>
        <v>0</v>
      </c>
      <c r="O6" s="3170">
        <f t="shared" ref="O6" si="12">H6/100</f>
        <v>0</v>
      </c>
      <c r="P6" s="3170">
        <f t="shared" ref="P6:P7"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W7" si="14">T6</f>
        <v>1.0266</v>
      </c>
      <c r="X6" s="3179"/>
      <c r="Y6" s="3182"/>
      <c r="Z6" s="3182"/>
      <c r="AA6" s="3182"/>
      <c r="AB6" s="3182"/>
      <c r="AC6" s="3182"/>
      <c r="AD6" s="3182"/>
    </row>
    <row r="7" spans="1:30" s="3458" customFormat="1" ht="12.75">
      <c r="A7" s="3450" t="s">
        <v>3419</v>
      </c>
      <c r="B7" s="3451">
        <v>2023</v>
      </c>
      <c r="C7" s="3187">
        <v>4</v>
      </c>
      <c r="D7" s="3187">
        <v>0.19</v>
      </c>
      <c r="E7" s="3187">
        <v>0.24</v>
      </c>
      <c r="F7" s="3187">
        <v>-0.16</v>
      </c>
      <c r="G7" s="3187">
        <v>0.17</v>
      </c>
      <c r="H7" s="3188">
        <v>0.61</v>
      </c>
      <c r="I7" s="3189">
        <f>F7</f>
        <v>-0.16</v>
      </c>
      <c r="J7" s="3452"/>
      <c r="K7" s="3453">
        <f t="shared" si="8"/>
        <v>1.9E-3</v>
      </c>
      <c r="L7" s="3454">
        <f t="shared" si="8"/>
        <v>2.3999999999999998E-3</v>
      </c>
      <c r="M7" s="3454">
        <f t="shared" si="8"/>
        <v>-1.6000000000000001E-3</v>
      </c>
      <c r="N7" s="3454">
        <f t="shared" si="8"/>
        <v>1.7000000000000001E-3</v>
      </c>
      <c r="O7" s="3454">
        <f t="shared" si="8"/>
        <v>6.0999999999999995E-3</v>
      </c>
      <c r="P7" s="3454">
        <f t="shared" si="13"/>
        <v>-1.6000000000000001E-3</v>
      </c>
      <c r="Q7" s="3452"/>
      <c r="R7" s="3452">
        <f>ROUND(IF([2]项目基本情况!$B$8="出让",SUMPRODUCT(PRODUCT(1+K7:$K$18)),SUMPRODUCT(PRODUCT(1+K7:$K$17))),4)</f>
        <v>1.0804</v>
      </c>
      <c r="S7" s="3452">
        <f>ROUND(IF([2]项目基本情况!$B$8="出让",SUMPRODUCT(PRODUCT(1+L7:$L$18)),SUMPRODUCT(PRODUCT(1+L7:$L$17))),4)</f>
        <v>1.0471999999999999</v>
      </c>
      <c r="T7" s="3452">
        <f>ROUND(IF([2]项目基本情况!$B$8="出让",SUMPRODUCT(PRODUCT(1+M7:$M$18)),SUMPRODUCT(PRODUCT(1+M7:$M$17))),4)</f>
        <v>1.0266</v>
      </c>
      <c r="U7" s="3452">
        <f>ROUND(IF([2]项目基本情况!$B$8="出让",SUMPRODUCT(PRODUCT(1+N7:$N$18)),SUMPRODUCT(PRODUCT(1+N7:$N$17))),4)</f>
        <v>1.0859000000000001</v>
      </c>
      <c r="V7" s="3452">
        <f>ROUND(IF([2]项目基本情况!$B$8="出让",SUMPRODUCT(PRODUCT(1+O7:$O$18)),SUMPRODUCT(PRODUCT(1+O7:$O$17))),4)</f>
        <v>1.0741000000000001</v>
      </c>
      <c r="W7" s="3452">
        <f t="shared" si="14"/>
        <v>1.0266</v>
      </c>
      <c r="X7" s="3452"/>
      <c r="Y7" s="3454"/>
      <c r="Z7" s="3454"/>
      <c r="AA7" s="3454"/>
      <c r="AB7" s="3454"/>
      <c r="AC7" s="3454"/>
      <c r="AD7" s="3454"/>
    </row>
    <row r="8" spans="1:30" s="3193" customFormat="1" ht="12.75">
      <c r="A8" s="3184" t="s">
        <v>3371</v>
      </c>
      <c r="B8" s="3185">
        <v>2023</v>
      </c>
      <c r="C8" s="3186">
        <v>3</v>
      </c>
      <c r="D8" s="3187">
        <v>0.25</v>
      </c>
      <c r="E8" s="3187">
        <v>0.5</v>
      </c>
      <c r="F8" s="3187">
        <v>0.31</v>
      </c>
      <c r="G8" s="3187">
        <v>0.21</v>
      </c>
      <c r="H8" s="3188">
        <v>0.43</v>
      </c>
      <c r="I8" s="3189">
        <f t="shared" si="4"/>
        <v>0.31</v>
      </c>
      <c r="J8" s="3190"/>
      <c r="K8" s="3191">
        <f t="shared" ref="K8:K10" si="15">D8/100</f>
        <v>2.5000000000000001E-3</v>
      </c>
      <c r="L8" s="3192">
        <f t="shared" ref="L8:L10" si="16">E8/100</f>
        <v>5.0000000000000001E-3</v>
      </c>
      <c r="M8" s="3192">
        <f t="shared" ref="M8:M10" si="17">F8/100</f>
        <v>3.0999999999999999E-3</v>
      </c>
      <c r="N8" s="3192">
        <f t="shared" ref="N8:N10" si="18">G8/100</f>
        <v>2.0999999999999999E-3</v>
      </c>
      <c r="O8" s="3192">
        <f t="shared" ref="O8:O10" si="19">H8/100</f>
        <v>4.3E-3</v>
      </c>
      <c r="P8" s="3192">
        <f t="shared" ref="P8:P10" si="20">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1">T8</f>
        <v>1.0282</v>
      </c>
      <c r="X8" s="3190"/>
      <c r="Y8" s="3192"/>
      <c r="Z8" s="3192"/>
      <c r="AA8" s="3192"/>
      <c r="AB8" s="3192"/>
      <c r="AC8" s="3192"/>
      <c r="AD8" s="3192"/>
    </row>
    <row r="9" spans="1:30" s="3183" customFormat="1" ht="12.75">
      <c r="A9" s="3174" t="s">
        <v>3372</v>
      </c>
      <c r="B9" s="3175">
        <v>2023</v>
      </c>
      <c r="C9" s="3176">
        <v>2</v>
      </c>
      <c r="D9" s="3177">
        <v>0.91</v>
      </c>
      <c r="E9" s="3177">
        <v>0.66</v>
      </c>
      <c r="F9" s="3177">
        <v>0.47</v>
      </c>
      <c r="G9" s="3177">
        <v>0.96</v>
      </c>
      <c r="H9" s="3194">
        <v>0.71</v>
      </c>
      <c r="I9" s="3178">
        <f t="shared" si="4"/>
        <v>0.47</v>
      </c>
      <c r="J9" s="3179"/>
      <c r="K9" s="3180">
        <f t="shared" si="15"/>
        <v>9.1000000000000004E-3</v>
      </c>
      <c r="L9" s="3170">
        <f t="shared" si="16"/>
        <v>6.6E-3</v>
      </c>
      <c r="M9" s="3170">
        <f t="shared" si="17"/>
        <v>4.6999999999999993E-3</v>
      </c>
      <c r="N9" s="3170">
        <f t="shared" si="18"/>
        <v>9.5999999999999992E-3</v>
      </c>
      <c r="O9" s="3170">
        <f t="shared" si="19"/>
        <v>7.0999999999999995E-3</v>
      </c>
      <c r="P9" s="3170">
        <f t="shared" si="20"/>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1"/>
        <v>1.0250999999999999</v>
      </c>
      <c r="X9" s="3179"/>
      <c r="Y9" s="3182"/>
      <c r="Z9" s="3182"/>
      <c r="AA9" s="3182"/>
      <c r="AB9" s="3182"/>
      <c r="AC9" s="3182"/>
      <c r="AD9" s="3182"/>
    </row>
    <row r="10" spans="1:30" s="3183" customFormat="1" ht="12.75">
      <c r="A10" s="3174" t="s">
        <v>3370</v>
      </c>
      <c r="B10" s="3175">
        <v>2023</v>
      </c>
      <c r="C10" s="3176">
        <v>1</v>
      </c>
      <c r="D10" s="3177">
        <v>0.89</v>
      </c>
      <c r="E10" s="3177">
        <v>0.74</v>
      </c>
      <c r="F10" s="3177">
        <v>0.56999999999999995</v>
      </c>
      <c r="G10" s="3177">
        <v>0.92</v>
      </c>
      <c r="H10" s="3194">
        <v>0.5</v>
      </c>
      <c r="I10" s="3178">
        <f t="shared" si="4"/>
        <v>0.56999999999999995</v>
      </c>
      <c r="J10" s="3179"/>
      <c r="K10" s="3180">
        <f t="shared" si="15"/>
        <v>8.8999999999999999E-3</v>
      </c>
      <c r="L10" s="3170">
        <f t="shared" si="16"/>
        <v>7.4000000000000003E-3</v>
      </c>
      <c r="M10" s="3170">
        <f t="shared" si="17"/>
        <v>5.6999999999999993E-3</v>
      </c>
      <c r="N10" s="3170">
        <f t="shared" si="18"/>
        <v>9.1999999999999998E-3</v>
      </c>
      <c r="O10" s="3170">
        <f t="shared" si="19"/>
        <v>5.0000000000000001E-3</v>
      </c>
      <c r="P10" s="3170">
        <f t="shared" si="20"/>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2">T10</f>
        <v>1.0203</v>
      </c>
      <c r="X10" s="3179"/>
      <c r="Y10" s="3182"/>
      <c r="Z10" s="3182"/>
      <c r="AA10" s="3182"/>
      <c r="AB10" s="3182"/>
      <c r="AC10" s="3182"/>
      <c r="AD10" s="3182"/>
    </row>
    <row r="11" spans="1:30" s="3183" customFormat="1" ht="12.75">
      <c r="A11" s="3174" t="s">
        <v>3369</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3">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2"/>
        <v>1.0145</v>
      </c>
      <c r="X11" s="3179"/>
      <c r="Y11" s="3182">
        <f>IF(D11=0,0,ROUND(AVERAGE(D11:D19)/100,4))</f>
        <v>8.0999999999999996E-3</v>
      </c>
      <c r="Z11" s="3182">
        <f t="shared" ref="Z11:AC11" si="24">IF(E11=0,0,ROUND(AVERAGE(E11:E18)/100,4))</f>
        <v>3.3E-3</v>
      </c>
      <c r="AA11" s="3182">
        <f t="shared" si="24"/>
        <v>1.5E-3</v>
      </c>
      <c r="AB11" s="3182">
        <f t="shared" si="24"/>
        <v>8.8999999999999999E-3</v>
      </c>
      <c r="AC11" s="3182">
        <f t="shared" si="24"/>
        <v>6.6E-3</v>
      </c>
      <c r="AD11" s="3182">
        <f t="shared" si="7"/>
        <v>1.5E-3</v>
      </c>
    </row>
    <row r="12" spans="1:30" s="3183" customFormat="1" ht="12.75">
      <c r="A12" s="3174" t="s">
        <v>3365</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3"/>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2"/>
        <v>1.0134000000000001</v>
      </c>
      <c r="X12" s="3179"/>
      <c r="Y12" s="3182">
        <f>IF(D12=0,0,ROUND(AVERAGE(D12:D18)/100,4))</f>
        <v>8.3999999999999995E-3</v>
      </c>
      <c r="Z12" s="3182">
        <f t="shared" ref="Z12:AC12" si="25">IF(E12=0,0,ROUND(AVERAGE(E12:E18)/100,4))</f>
        <v>3.5000000000000001E-3</v>
      </c>
      <c r="AA12" s="3182">
        <f t="shared" si="25"/>
        <v>1.5E-3</v>
      </c>
      <c r="AB12" s="3182">
        <f t="shared" si="25"/>
        <v>9.1999999999999998E-3</v>
      </c>
      <c r="AC12" s="3182">
        <f t="shared" si="25"/>
        <v>6.7999999999999996E-3</v>
      </c>
      <c r="AD12" s="3182">
        <f t="shared" si="7"/>
        <v>1.5E-3</v>
      </c>
    </row>
    <row r="13" spans="1:30" s="3183" customFormat="1" ht="12.75">
      <c r="A13" s="3174" t="s">
        <v>3356</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3"/>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2"/>
        <v>1.0109999999999999</v>
      </c>
      <c r="X13" s="3179"/>
      <c r="Y13" s="3182">
        <f>IF(D13=0,0,ROUND(AVERAGE(D13:D18)/100,4))</f>
        <v>8.6999999999999994E-3</v>
      </c>
      <c r="Z13" s="3182">
        <f t="shared" ref="Z13:AC13" si="26">IF(E13=0,0,ROUND(AVERAGE(E13:E18)/100,4))</f>
        <v>3.5000000000000001E-3</v>
      </c>
      <c r="AA13" s="3182">
        <f t="shared" si="26"/>
        <v>1.4E-3</v>
      </c>
      <c r="AB13" s="3182">
        <f t="shared" si="26"/>
        <v>9.4999999999999998E-3</v>
      </c>
      <c r="AC13" s="3182">
        <f t="shared" si="26"/>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3"/>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2"/>
        <v>1.0108999999999999</v>
      </c>
      <c r="X14" s="3179"/>
      <c r="Y14" s="3182">
        <f>IF(D14=0,0,ROUND(AVERAGE(D14:D18)/100,4))</f>
        <v>8.6E-3</v>
      </c>
      <c r="Z14" s="3182">
        <f t="shared" ref="Z14:AC14" si="27">IF(E14=0,0,ROUND(AVERAGE(E14:E18)/100,4))</f>
        <v>3.8999999999999998E-3</v>
      </c>
      <c r="AA14" s="3182">
        <f t="shared" si="27"/>
        <v>1.6999999999999999E-3</v>
      </c>
      <c r="AB14" s="3182">
        <f t="shared" si="27"/>
        <v>9.2999999999999992E-3</v>
      </c>
      <c r="AC14" s="3182">
        <f t="shared" si="27"/>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3"/>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2"/>
        <v>1.0072000000000001</v>
      </c>
      <c r="X15" s="3179"/>
      <c r="Y15" s="3182">
        <f>IF(D15=0,0,ROUND(AVERAGE(D15:D18)/100,4))</f>
        <v>8.5000000000000006E-3</v>
      </c>
      <c r="Z15" s="3182">
        <f t="shared" ref="Z15:AC15" si="28">IF(E15=0,0,ROUND(AVERAGE(E15:E18)/100,4))</f>
        <v>3.8E-3</v>
      </c>
      <c r="AA15" s="3182">
        <f t="shared" si="28"/>
        <v>1.1999999999999999E-3</v>
      </c>
      <c r="AB15" s="3182">
        <f t="shared" si="28"/>
        <v>9.2999999999999992E-3</v>
      </c>
      <c r="AC15" s="3182">
        <f t="shared" si="28"/>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3"/>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2"/>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3"/>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2"/>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3"/>
        <v>-2.5000000000000001E-3</v>
      </c>
      <c r="Q18" s="3201"/>
      <c r="R18" s="3204">
        <v>1</v>
      </c>
      <c r="S18" s="3204">
        <v>1</v>
      </c>
      <c r="T18" s="3204">
        <v>1</v>
      </c>
      <c r="U18" s="3204">
        <v>1</v>
      </c>
      <c r="V18" s="3204">
        <v>1</v>
      </c>
      <c r="W18" s="3204">
        <f t="shared" ref="W18" si="29">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3367</v>
      </c>
    </row>
    <row r="21" spans="1:30" s="3007" customFormat="1">
      <c r="I21" s="3206" t="s">
        <v>2828</v>
      </c>
    </row>
    <row r="22" spans="1:30" s="3007" customFormat="1"/>
    <row r="23" spans="1:30" s="3207" customFormat="1" ht="12.75">
      <c r="B23" s="3208" t="s">
        <v>3374</v>
      </c>
      <c r="C23" s="3209"/>
      <c r="D23" s="3209"/>
      <c r="E23" s="3209"/>
      <c r="F23" s="3209"/>
      <c r="G23" s="3209"/>
      <c r="H23" s="3209"/>
      <c r="I23" s="3209"/>
      <c r="J23" s="3163"/>
      <c r="K23" s="3209" t="s">
        <v>2829</v>
      </c>
      <c r="L23" s="3209"/>
      <c r="M23" s="3209"/>
      <c r="N23" s="3209"/>
      <c r="O23" s="3209"/>
      <c r="P23" s="3209"/>
      <c r="Q23" s="3163"/>
      <c r="R23" s="3840" t="s">
        <v>2830</v>
      </c>
      <c r="S23" s="3841"/>
      <c r="T23" s="3841"/>
      <c r="U23" s="3841"/>
      <c r="V23" s="3841"/>
      <c r="W23" s="3841"/>
      <c r="X23" s="3163"/>
      <c r="Y23" s="3840" t="s">
        <v>2831</v>
      </c>
      <c r="Z23" s="3841"/>
      <c r="AA23" s="3841"/>
      <c r="AB23" s="3841"/>
      <c r="AC23" s="3841"/>
      <c r="AD23" s="3841"/>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0">ROUND(AVERAGEIF(E26:E40,"&lt;&gt;0"),2)</f>
        <v>0.39</v>
      </c>
      <c r="F25" s="3149">
        <f t="shared" si="30"/>
        <v>0.28000000000000003</v>
      </c>
      <c r="G25" s="3149">
        <f t="shared" si="30"/>
        <v>0.67</v>
      </c>
      <c r="H25" s="3149"/>
      <c r="I25" s="3149">
        <f>F25</f>
        <v>0.28000000000000003</v>
      </c>
      <c r="J25" s="3150"/>
      <c r="K25" s="3151"/>
      <c r="L25" s="3152">
        <f t="shared" ref="L25:N25" si="31">ROUND(AVERAGEIF(L26:L40,"&lt;&gt;0"),4)</f>
        <v>3.8999999999999998E-3</v>
      </c>
      <c r="M25" s="3152">
        <f t="shared" si="31"/>
        <v>2.8E-3</v>
      </c>
      <c r="N25" s="3152">
        <f t="shared" si="31"/>
        <v>6.7000000000000002E-3</v>
      </c>
      <c r="O25" s="3152"/>
      <c r="P25" s="3152">
        <f>M25</f>
        <v>2.8E-3</v>
      </c>
      <c r="Q25" s="3150"/>
      <c r="R25" s="3153"/>
      <c r="S25" s="3154">
        <f>ROUND(SUMPRODUCT(PRODUCT(1+L26:L40)),4)</f>
        <v>1.0476000000000001</v>
      </c>
      <c r="T25" s="3154">
        <f t="shared" ref="T25:U25" si="32">ROUND(SUMPRODUCT(PRODUCT(1+M26:M40)),4)</f>
        <v>1.0346</v>
      </c>
      <c r="U25" s="3154">
        <f t="shared" si="32"/>
        <v>1.0831999999999999</v>
      </c>
      <c r="V25" s="3154"/>
      <c r="W25" s="3153">
        <f>T25</f>
        <v>1.0346</v>
      </c>
      <c r="X25" s="3150"/>
      <c r="Y25" s="3155"/>
      <c r="Z25" s="3156">
        <f t="shared" ref="Z25:AB25" si="33">ROUND(AVERAGEIF(Z26:Z40,"&lt;&gt;0"),4)</f>
        <v>4.3E-3</v>
      </c>
      <c r="AA25" s="3157">
        <f t="shared" si="33"/>
        <v>3.5999999999999999E-3</v>
      </c>
      <c r="AB25" s="3155">
        <f t="shared" si="33"/>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3377</v>
      </c>
      <c r="B27" s="3175">
        <v>2023</v>
      </c>
      <c r="C27" s="3176">
        <v>4</v>
      </c>
      <c r="D27" s="3177"/>
      <c r="E27" s="3177">
        <v>0</v>
      </c>
      <c r="F27" s="3177">
        <v>0</v>
      </c>
      <c r="G27" s="3177">
        <v>0</v>
      </c>
      <c r="H27" s="3177"/>
      <c r="I27" s="3178">
        <f t="shared" ref="I27:I40" si="34">F27</f>
        <v>0</v>
      </c>
      <c r="J27" s="3179"/>
      <c r="K27" s="3180"/>
      <c r="L27" s="3170">
        <f t="shared" ref="L27:N40" si="35">E27/100</f>
        <v>0</v>
      </c>
      <c r="M27" s="3170">
        <f t="shared" si="35"/>
        <v>0</v>
      </c>
      <c r="N27" s="3170">
        <f t="shared" si="35"/>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3378</v>
      </c>
      <c r="B28" s="3175">
        <v>2023</v>
      </c>
      <c r="C28" s="3176">
        <v>3</v>
      </c>
      <c r="D28" s="3177"/>
      <c r="E28" s="3177">
        <v>0</v>
      </c>
      <c r="F28" s="3177">
        <v>0</v>
      </c>
      <c r="G28" s="3177">
        <v>0</v>
      </c>
      <c r="H28" s="3177"/>
      <c r="I28" s="3178">
        <f t="shared" ref="I28:I29" si="36">F28</f>
        <v>0</v>
      </c>
      <c r="J28" s="3179"/>
      <c r="K28" s="3180"/>
      <c r="L28" s="3170">
        <f t="shared" ref="L28:N29" si="37">E28/100</f>
        <v>0</v>
      </c>
      <c r="M28" s="3170">
        <f t="shared" ref="M28" si="38">F28/100</f>
        <v>0</v>
      </c>
      <c r="N28" s="3170">
        <f t="shared" ref="N28" si="39">G28/100</f>
        <v>0</v>
      </c>
      <c r="O28" s="3170"/>
      <c r="P28" s="3170">
        <f t="shared" ref="P28:P29" si="40">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W29" si="41">T28</f>
        <v>1.0297000000000001</v>
      </c>
      <c r="X28" s="3179"/>
      <c r="Y28" s="3182"/>
      <c r="Z28" s="3210"/>
      <c r="AA28" s="3212"/>
      <c r="AB28" s="3182"/>
      <c r="AC28" s="3211"/>
      <c r="AD28" s="3182"/>
    </row>
    <row r="29" spans="1:30" s="3458" customFormat="1" ht="12.75">
      <c r="A29" s="3450" t="s">
        <v>3420</v>
      </c>
      <c r="B29" s="3451">
        <v>2023</v>
      </c>
      <c r="C29" s="3187">
        <v>4</v>
      </c>
      <c r="D29" s="3187"/>
      <c r="E29" s="3187">
        <v>7.0000000000000007E-2</v>
      </c>
      <c r="F29" s="3187">
        <v>0.09</v>
      </c>
      <c r="G29" s="3187">
        <v>0.03</v>
      </c>
      <c r="H29" s="3188"/>
      <c r="I29" s="3189">
        <f t="shared" si="36"/>
        <v>0.09</v>
      </c>
      <c r="J29" s="3452"/>
      <c r="K29" s="3453"/>
      <c r="L29" s="3454">
        <f t="shared" si="37"/>
        <v>7.000000000000001E-4</v>
      </c>
      <c r="M29" s="3454">
        <f t="shared" si="37"/>
        <v>8.9999999999999998E-4</v>
      </c>
      <c r="N29" s="3454">
        <f t="shared" si="37"/>
        <v>2.9999999999999997E-4</v>
      </c>
      <c r="O29" s="3454"/>
      <c r="P29" s="3454">
        <f t="shared" si="40"/>
        <v>8.9999999999999998E-4</v>
      </c>
      <c r="Q29" s="3452"/>
      <c r="R29" s="3452"/>
      <c r="S29" s="3452">
        <f>ROUND(IF([2]项目基本情况!$B$8="出让",SUMPRODUCT(PRODUCT(1+L29:L$40)),SUMPRODUCT(PRODUCT(1+L29:L$39))),4)</f>
        <v>1.0439000000000001</v>
      </c>
      <c r="T29" s="3452">
        <f>ROUND(IF([2]项目基本情况!$B$8="出让",SUMPRODUCT(PRODUCT(1+M29:M$40)),SUMPRODUCT(PRODUCT(1+M29:M$39))),4)</f>
        <v>1.0297000000000001</v>
      </c>
      <c r="U29" s="3452">
        <f>ROUND(IF([2]项目基本情况!$B$8="出让",SUMPRODUCT(PRODUCT(1+N29:N$40)),SUMPRODUCT(PRODUCT(1+N29:N$39))),4)</f>
        <v>1.0727</v>
      </c>
      <c r="V29" s="3452"/>
      <c r="W29" s="3452">
        <f t="shared" si="41"/>
        <v>1.0297000000000001</v>
      </c>
      <c r="X29" s="3452"/>
      <c r="Y29" s="3454"/>
      <c r="Z29" s="3455"/>
      <c r="AA29" s="3456"/>
      <c r="AB29" s="3454"/>
      <c r="AC29" s="3457"/>
      <c r="AD29" s="3454"/>
    </row>
    <row r="30" spans="1:30" s="3193" customFormat="1" ht="12.75">
      <c r="A30" s="3184" t="s">
        <v>3375</v>
      </c>
      <c r="B30" s="3185">
        <v>2023</v>
      </c>
      <c r="C30" s="3186">
        <v>3</v>
      </c>
      <c r="D30" s="3187"/>
      <c r="E30" s="3187">
        <v>0.35</v>
      </c>
      <c r="F30" s="3187">
        <v>0.17</v>
      </c>
      <c r="G30" s="3187">
        <v>0.52</v>
      </c>
      <c r="H30" s="3188"/>
      <c r="I30" s="3189">
        <f t="shared" si="34"/>
        <v>0.17</v>
      </c>
      <c r="J30" s="3190"/>
      <c r="K30" s="3191"/>
      <c r="L30" s="3192">
        <f t="shared" ref="L30:L32" si="42">E30/100</f>
        <v>3.4999999999999996E-3</v>
      </c>
      <c r="M30" s="3192">
        <f t="shared" ref="M30:M32" si="43">F30/100</f>
        <v>1.7000000000000001E-3</v>
      </c>
      <c r="N30" s="3192">
        <f t="shared" ref="N30:N32" si="44">G30/100</f>
        <v>5.1999999999999998E-3</v>
      </c>
      <c r="O30" s="3192"/>
      <c r="P30" s="3192">
        <f t="shared" ref="P30:P32" si="45">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46">T30</f>
        <v>1.0286999999999999</v>
      </c>
      <c r="X30" s="3190"/>
      <c r="Y30" s="3192"/>
      <c r="Z30" s="3213"/>
      <c r="AA30" s="3214"/>
      <c r="AB30" s="3192"/>
      <c r="AC30" s="3215"/>
      <c r="AD30" s="3192"/>
    </row>
    <row r="31" spans="1:30" s="3183" customFormat="1" ht="12.75">
      <c r="A31" s="3174" t="s">
        <v>3376</v>
      </c>
      <c r="B31" s="3175">
        <v>2023</v>
      </c>
      <c r="C31" s="3176">
        <v>2</v>
      </c>
      <c r="D31" s="3177"/>
      <c r="E31" s="3177">
        <v>0.5</v>
      </c>
      <c r="F31" s="3177">
        <v>0.45</v>
      </c>
      <c r="G31" s="3177">
        <v>0.89</v>
      </c>
      <c r="H31" s="3194"/>
      <c r="I31" s="3178">
        <f t="shared" si="34"/>
        <v>0.45</v>
      </c>
      <c r="J31" s="3179"/>
      <c r="K31" s="3180"/>
      <c r="L31" s="3170">
        <f t="shared" si="42"/>
        <v>5.0000000000000001E-3</v>
      </c>
      <c r="M31" s="3170">
        <f t="shared" si="43"/>
        <v>4.5000000000000005E-3</v>
      </c>
      <c r="N31" s="3170">
        <f t="shared" si="44"/>
        <v>8.8999999999999999E-3</v>
      </c>
      <c r="O31" s="3170"/>
      <c r="P31" s="3170">
        <f t="shared" si="45"/>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46"/>
        <v>1.0269999999999999</v>
      </c>
      <c r="X31" s="3179"/>
      <c r="Y31" s="3182"/>
      <c r="Z31" s="3210"/>
      <c r="AA31" s="3212"/>
      <c r="AB31" s="3182"/>
      <c r="AC31" s="3211"/>
      <c r="AD31" s="3182"/>
    </row>
    <row r="32" spans="1:30" s="3183" customFormat="1" ht="12.75">
      <c r="A32" s="3174" t="s">
        <v>3370</v>
      </c>
      <c r="B32" s="3175">
        <v>2023</v>
      </c>
      <c r="C32" s="3176">
        <v>1</v>
      </c>
      <c r="D32" s="3177"/>
      <c r="E32" s="3177">
        <v>0.55000000000000004</v>
      </c>
      <c r="F32" s="3177">
        <v>0.59</v>
      </c>
      <c r="G32" s="3177">
        <v>0.64</v>
      </c>
      <c r="H32" s="3194"/>
      <c r="I32" s="3178">
        <f t="shared" si="34"/>
        <v>0.59</v>
      </c>
      <c r="J32" s="3179"/>
      <c r="K32" s="3180"/>
      <c r="L32" s="3170">
        <f t="shared" si="42"/>
        <v>5.5000000000000005E-3</v>
      </c>
      <c r="M32" s="3170">
        <f t="shared" si="43"/>
        <v>5.8999999999999999E-3</v>
      </c>
      <c r="N32" s="3170">
        <f t="shared" si="44"/>
        <v>6.4000000000000003E-3</v>
      </c>
      <c r="O32" s="3170"/>
      <c r="P32" s="3170">
        <f t="shared" si="45"/>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46"/>
        <v>1.0224</v>
      </c>
      <c r="X32" s="3179"/>
      <c r="Y32" s="3182"/>
      <c r="Z32" s="3210"/>
      <c r="AA32" s="3212"/>
      <c r="AB32" s="3182"/>
      <c r="AC32" s="3211"/>
      <c r="AD32" s="3182"/>
    </row>
    <row r="33" spans="1:30" s="3183" customFormat="1" ht="12.75">
      <c r="A33" s="3174" t="s">
        <v>3369</v>
      </c>
      <c r="B33" s="3175">
        <v>2022</v>
      </c>
      <c r="C33" s="3176">
        <v>4</v>
      </c>
      <c r="D33" s="3177"/>
      <c r="E33" s="3177">
        <v>0.45</v>
      </c>
      <c r="F33" s="3177">
        <v>0.2</v>
      </c>
      <c r="G33" s="3177">
        <v>0.38</v>
      </c>
      <c r="H33" s="3194"/>
      <c r="I33" s="3178">
        <f t="shared" si="34"/>
        <v>0.2</v>
      </c>
      <c r="J33" s="3179"/>
      <c r="K33" s="3180"/>
      <c r="L33" s="3170">
        <f t="shared" si="35"/>
        <v>4.5000000000000005E-3</v>
      </c>
      <c r="M33" s="3170">
        <f t="shared" si="35"/>
        <v>2E-3</v>
      </c>
      <c r="N33" s="3170">
        <f t="shared" si="35"/>
        <v>3.8E-3</v>
      </c>
      <c r="O33" s="3170"/>
      <c r="P33" s="3170">
        <f t="shared" ref="P33:P40" si="47">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48">T33</f>
        <v>1.0164</v>
      </c>
      <c r="X33" s="3179"/>
      <c r="Y33" s="3182"/>
      <c r="Z33" s="3210">
        <f t="shared" ref="Z33:AD40" si="49">IF(E33=0,0,ROUND(AVERAGE(E33:E41)/100,4))</f>
        <v>4.0000000000000001E-3</v>
      </c>
      <c r="AA33" s="3212">
        <f t="shared" si="49"/>
        <v>2.5999999999999999E-3</v>
      </c>
      <c r="AB33" s="3182">
        <f t="shared" si="49"/>
        <v>7.4000000000000003E-3</v>
      </c>
      <c r="AC33" s="3211"/>
      <c r="AD33" s="3182">
        <f t="shared" si="49"/>
        <v>2.5999999999999999E-3</v>
      </c>
    </row>
    <row r="34" spans="1:30" s="3183" customFormat="1" ht="12.75">
      <c r="A34" s="3174" t="s">
        <v>3366</v>
      </c>
      <c r="B34" s="3175">
        <v>2022</v>
      </c>
      <c r="C34" s="3176">
        <v>3</v>
      </c>
      <c r="D34" s="3177"/>
      <c r="E34" s="3177">
        <v>0.3</v>
      </c>
      <c r="F34" s="3177">
        <v>0.28999999999999998</v>
      </c>
      <c r="G34" s="3177">
        <v>0.83</v>
      </c>
      <c r="H34" s="3194"/>
      <c r="I34" s="3178">
        <f t="shared" si="34"/>
        <v>0.28999999999999998</v>
      </c>
      <c r="J34" s="3179"/>
      <c r="K34" s="3180"/>
      <c r="L34" s="3170">
        <f t="shared" si="35"/>
        <v>3.0000000000000001E-3</v>
      </c>
      <c r="M34" s="3170">
        <f t="shared" si="35"/>
        <v>2.8999999999999998E-3</v>
      </c>
      <c r="N34" s="3170">
        <f t="shared" si="35"/>
        <v>8.3000000000000001E-3</v>
      </c>
      <c r="O34" s="3170"/>
      <c r="P34" s="3170">
        <f t="shared" si="47"/>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48"/>
        <v>1.0144</v>
      </c>
      <c r="X34" s="3179"/>
      <c r="Y34" s="3182"/>
      <c r="Z34" s="3210">
        <f t="shared" si="49"/>
        <v>3.8999999999999998E-3</v>
      </c>
      <c r="AA34" s="3212">
        <f t="shared" si="49"/>
        <v>2.7000000000000001E-3</v>
      </c>
      <c r="AB34" s="3182">
        <f t="shared" si="49"/>
        <v>7.9000000000000008E-3</v>
      </c>
      <c r="AC34" s="3211"/>
      <c r="AD34" s="3182">
        <f t="shared" si="49"/>
        <v>2.7000000000000001E-3</v>
      </c>
    </row>
    <row r="35" spans="1:30" s="3183" customFormat="1" ht="12.75">
      <c r="A35" s="3174" t="s">
        <v>3356</v>
      </c>
      <c r="B35" s="3175">
        <v>2022</v>
      </c>
      <c r="C35" s="3176">
        <v>2</v>
      </c>
      <c r="D35" s="3177"/>
      <c r="E35" s="3177">
        <v>-0.11</v>
      </c>
      <c r="F35" s="3177">
        <v>-0.13</v>
      </c>
      <c r="G35" s="3177">
        <v>0.53</v>
      </c>
      <c r="H35" s="3194"/>
      <c r="I35" s="3178">
        <f t="shared" si="34"/>
        <v>-0.13</v>
      </c>
      <c r="J35" s="3179"/>
      <c r="K35" s="3180"/>
      <c r="L35" s="3170">
        <f t="shared" si="35"/>
        <v>-1.1000000000000001E-3</v>
      </c>
      <c r="M35" s="3170">
        <f t="shared" si="35"/>
        <v>-1.2999999999999999E-3</v>
      </c>
      <c r="N35" s="3170">
        <f t="shared" si="35"/>
        <v>5.3E-3</v>
      </c>
      <c r="O35" s="3170"/>
      <c r="P35" s="3170">
        <f t="shared" si="47"/>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48"/>
        <v>1.0114000000000001</v>
      </c>
      <c r="X35" s="3179"/>
      <c r="Y35" s="3182"/>
      <c r="Z35" s="3210">
        <f t="shared" si="49"/>
        <v>4.1000000000000003E-3</v>
      </c>
      <c r="AA35" s="3212">
        <f t="shared" si="49"/>
        <v>2.7000000000000001E-3</v>
      </c>
      <c r="AB35" s="3182">
        <f t="shared" si="49"/>
        <v>7.9000000000000008E-3</v>
      </c>
      <c r="AC35" s="3211"/>
      <c r="AD35" s="3182">
        <f t="shared" si="49"/>
        <v>2.7000000000000001E-3</v>
      </c>
    </row>
    <row r="36" spans="1:30" s="3183" customFormat="1" ht="12.75">
      <c r="A36" s="3174" t="s">
        <v>2838</v>
      </c>
      <c r="B36" s="3175">
        <v>2022</v>
      </c>
      <c r="C36" s="3176">
        <v>1</v>
      </c>
      <c r="D36" s="3177"/>
      <c r="E36" s="3177">
        <v>0.6</v>
      </c>
      <c r="F36" s="3177">
        <v>0.45</v>
      </c>
      <c r="G36" s="3177">
        <v>0.53</v>
      </c>
      <c r="H36" s="3194"/>
      <c r="I36" s="3178">
        <f t="shared" si="34"/>
        <v>0.45</v>
      </c>
      <c r="J36" s="3179"/>
      <c r="K36" s="3180"/>
      <c r="L36" s="3170">
        <f t="shared" si="35"/>
        <v>6.0000000000000001E-3</v>
      </c>
      <c r="M36" s="3170">
        <f t="shared" si="35"/>
        <v>4.5000000000000005E-3</v>
      </c>
      <c r="N36" s="3170">
        <f t="shared" si="35"/>
        <v>5.3E-3</v>
      </c>
      <c r="O36" s="3170"/>
      <c r="P36" s="3170">
        <f t="shared" si="47"/>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48"/>
        <v>1.0127999999999999</v>
      </c>
      <c r="X36" s="3179"/>
      <c r="Y36" s="3182"/>
      <c r="Z36" s="3210">
        <f t="shared" si="49"/>
        <v>5.1000000000000004E-3</v>
      </c>
      <c r="AA36" s="3212">
        <f t="shared" si="49"/>
        <v>3.5000000000000001E-3</v>
      </c>
      <c r="AB36" s="3182">
        <f t="shared" si="49"/>
        <v>8.3999999999999995E-3</v>
      </c>
      <c r="AC36" s="3211"/>
      <c r="AD36" s="3182">
        <f t="shared" si="49"/>
        <v>3.5000000000000001E-3</v>
      </c>
    </row>
    <row r="37" spans="1:30" s="3183" customFormat="1" ht="12.75">
      <c r="A37" s="3174" t="s">
        <v>2839</v>
      </c>
      <c r="B37" s="3175">
        <v>2021</v>
      </c>
      <c r="C37" s="3176">
        <v>4</v>
      </c>
      <c r="D37" s="3177"/>
      <c r="E37" s="3177">
        <v>0.57999999999999996</v>
      </c>
      <c r="F37" s="3177">
        <v>0.08</v>
      </c>
      <c r="G37" s="3177">
        <v>0.68</v>
      </c>
      <c r="H37" s="3194"/>
      <c r="I37" s="3178">
        <f t="shared" si="34"/>
        <v>0.08</v>
      </c>
      <c r="J37" s="3179"/>
      <c r="K37" s="3180"/>
      <c r="L37" s="3170">
        <f t="shared" si="35"/>
        <v>5.7999999999999996E-3</v>
      </c>
      <c r="M37" s="3170">
        <f t="shared" si="35"/>
        <v>8.0000000000000004E-4</v>
      </c>
      <c r="N37" s="3170">
        <f t="shared" si="35"/>
        <v>6.8000000000000005E-3</v>
      </c>
      <c r="O37" s="3170"/>
      <c r="P37" s="3170">
        <f t="shared" si="47"/>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48"/>
        <v>1.0082</v>
      </c>
      <c r="X37" s="3179"/>
      <c r="Y37" s="3182"/>
      <c r="Z37" s="3210">
        <f t="shared" si="49"/>
        <v>4.8999999999999998E-3</v>
      </c>
      <c r="AA37" s="3212">
        <f t="shared" si="49"/>
        <v>3.3E-3</v>
      </c>
      <c r="AB37" s="3182">
        <f t="shared" si="49"/>
        <v>9.1999999999999998E-3</v>
      </c>
      <c r="AC37" s="3211"/>
      <c r="AD37" s="3182">
        <f t="shared" si="49"/>
        <v>3.3E-3</v>
      </c>
    </row>
    <row r="38" spans="1:30" s="3183" customFormat="1" ht="12.75">
      <c r="A38" s="3174" t="s">
        <v>2840</v>
      </c>
      <c r="B38" s="3175">
        <v>2021</v>
      </c>
      <c r="C38" s="3176">
        <v>3</v>
      </c>
      <c r="D38" s="3177"/>
      <c r="E38" s="3177">
        <v>0.47</v>
      </c>
      <c r="F38" s="3177">
        <v>0.28000000000000003</v>
      </c>
      <c r="G38" s="3177">
        <v>0.91</v>
      </c>
      <c r="H38" s="3194"/>
      <c r="I38" s="3178">
        <f t="shared" si="34"/>
        <v>0.28000000000000003</v>
      </c>
      <c r="J38" s="3179"/>
      <c r="K38" s="3180"/>
      <c r="L38" s="3170">
        <f t="shared" si="35"/>
        <v>4.6999999999999993E-3</v>
      </c>
      <c r="M38" s="3170">
        <f t="shared" si="35"/>
        <v>2.8000000000000004E-3</v>
      </c>
      <c r="N38" s="3170">
        <f t="shared" si="35"/>
        <v>9.1000000000000004E-3</v>
      </c>
      <c r="O38" s="3170"/>
      <c r="P38" s="3170">
        <f t="shared" si="47"/>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48"/>
        <v>1.0074000000000001</v>
      </c>
      <c r="X38" s="3179"/>
      <c r="Y38" s="3182"/>
      <c r="Z38" s="3210">
        <f t="shared" si="49"/>
        <v>4.5999999999999999E-3</v>
      </c>
      <c r="AA38" s="3212">
        <f t="shared" si="49"/>
        <v>4.1000000000000003E-3</v>
      </c>
      <c r="AB38" s="3182">
        <f t="shared" si="49"/>
        <v>0.01</v>
      </c>
      <c r="AC38" s="3211"/>
      <c r="AD38" s="3182">
        <f t="shared" si="49"/>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4"/>
        <v>0.46</v>
      </c>
      <c r="J39" s="3179"/>
      <c r="K39" s="3180"/>
      <c r="L39" s="3170">
        <f t="shared" si="35"/>
        <v>5.5000000000000005E-3</v>
      </c>
      <c r="M39" s="3170">
        <f t="shared" si="35"/>
        <v>4.5999999999999999E-3</v>
      </c>
      <c r="N39" s="3170">
        <f t="shared" si="35"/>
        <v>1.1000000000000001E-2</v>
      </c>
      <c r="O39" s="3170"/>
      <c r="P39" s="3170">
        <f t="shared" si="47"/>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48"/>
        <v>1.0045999999999999</v>
      </c>
      <c r="X39" s="3179"/>
      <c r="Y39" s="3182"/>
      <c r="Z39" s="3210">
        <f t="shared" si="49"/>
        <v>4.4999999999999997E-3</v>
      </c>
      <c r="AA39" s="3212">
        <f t="shared" si="49"/>
        <v>4.7000000000000002E-3</v>
      </c>
      <c r="AB39" s="3182">
        <f t="shared" si="49"/>
        <v>1.04E-2</v>
      </c>
      <c r="AC39" s="3211"/>
      <c r="AD39" s="3182">
        <f t="shared" si="49"/>
        <v>4.7000000000000002E-3</v>
      </c>
    </row>
    <row r="40" spans="1:30" s="3205" customFormat="1" thickBot="1">
      <c r="A40" s="3195" t="s">
        <v>2827</v>
      </c>
      <c r="B40" s="3196">
        <v>2021</v>
      </c>
      <c r="C40" s="3197">
        <v>1</v>
      </c>
      <c r="D40" s="3198"/>
      <c r="E40" s="3198">
        <v>0.35</v>
      </c>
      <c r="F40" s="3198">
        <v>0.48</v>
      </c>
      <c r="G40" s="3198">
        <v>0.98</v>
      </c>
      <c r="H40" s="3199"/>
      <c r="I40" s="3200">
        <f t="shared" si="34"/>
        <v>0.48</v>
      </c>
      <c r="J40" s="3201"/>
      <c r="K40" s="3202"/>
      <c r="L40" s="3203">
        <f t="shared" si="35"/>
        <v>3.4999999999999996E-3</v>
      </c>
      <c r="M40" s="3203">
        <f>F40/100</f>
        <v>4.7999999999999996E-3</v>
      </c>
      <c r="N40" s="3203">
        <f t="shared" si="35"/>
        <v>9.7999999999999997E-3</v>
      </c>
      <c r="O40" s="3203"/>
      <c r="P40" s="3203">
        <f t="shared" si="47"/>
        <v>4.7999999999999996E-3</v>
      </c>
      <c r="Q40" s="3201"/>
      <c r="R40" s="3204"/>
      <c r="S40" s="3204">
        <v>1</v>
      </c>
      <c r="T40" s="3204">
        <v>1</v>
      </c>
      <c r="U40" s="3204">
        <v>1</v>
      </c>
      <c r="V40" s="3204"/>
      <c r="W40" s="3204">
        <f t="shared" si="48"/>
        <v>1</v>
      </c>
      <c r="X40" s="3201"/>
      <c r="Y40" s="3203"/>
      <c r="Z40" s="3216">
        <f t="shared" si="49"/>
        <v>3.5000000000000001E-3</v>
      </c>
      <c r="AA40" s="3217">
        <f t="shared" si="49"/>
        <v>4.7999999999999996E-3</v>
      </c>
      <c r="AB40" s="3203">
        <f t="shared" si="49"/>
        <v>9.7999999999999997E-3</v>
      </c>
      <c r="AC40" s="3218"/>
      <c r="AD40" s="3203">
        <f t="shared" si="49"/>
        <v>4.7999999999999996E-3</v>
      </c>
    </row>
    <row r="41" spans="1:30" ht="14.25" thickTop="1"/>
    <row r="42" spans="1:30">
      <c r="A42" s="3446" t="s">
        <v>3368</v>
      </c>
    </row>
  </sheetData>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47" t="s">
        <v>452</v>
      </c>
      <c r="C1" s="3847"/>
      <c r="D1" s="3847"/>
      <c r="E1" s="3847"/>
      <c r="F1" s="3847"/>
      <c r="G1" s="3846" t="s">
        <v>453</v>
      </c>
      <c r="H1" s="3846"/>
      <c r="I1" s="3846"/>
      <c r="J1" s="3846"/>
      <c r="K1" s="3846"/>
      <c r="L1" s="3846"/>
      <c r="N1" s="3846" t="s">
        <v>454</v>
      </c>
      <c r="O1" s="3846"/>
      <c r="P1" s="3846"/>
      <c r="Q1" s="3846"/>
      <c r="S1" s="3846" t="s">
        <v>455</v>
      </c>
      <c r="T1" s="3846"/>
      <c r="U1" s="3846"/>
      <c r="V1" s="3846"/>
      <c r="X1" s="3845" t="s">
        <v>456</v>
      </c>
      <c r="Y1" s="3846"/>
      <c r="Z1" s="3846"/>
      <c r="AA1" s="3846"/>
      <c r="AB1" s="3846"/>
      <c r="AD1" s="3845" t="s">
        <v>457</v>
      </c>
      <c r="AE1" s="3846"/>
      <c r="AF1" s="3846"/>
      <c r="AG1" s="3846"/>
      <c r="AH1" s="384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4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4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4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4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4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4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4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4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4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4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4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4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4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4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4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4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4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4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4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4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4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4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4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4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4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4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4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4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4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4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4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4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4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4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4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4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4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4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4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4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4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4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4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4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4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4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4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4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4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4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4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4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4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4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4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4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4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4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4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4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4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4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4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45348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2312</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2"/>
  <sheetViews>
    <sheetView workbookViewId="0">
      <selection activeCell="K31" sqref="K31"/>
    </sheetView>
  </sheetViews>
  <sheetFormatPr defaultRowHeight="13.5"/>
  <sheetData>
    <row r="12" spans="5:5">
      <c r="E12">
        <f>191949068.51/10000</f>
        <v>19194.906851</v>
      </c>
    </row>
  </sheetData>
  <phoneticPr fontId="134" type="noConversion"/>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7"/>
  <sheetViews>
    <sheetView topLeftCell="A37" workbookViewId="0">
      <selection activeCell="G62" sqref="G62"/>
    </sheetView>
  </sheetViews>
  <sheetFormatPr defaultRowHeight="13.5"/>
  <cols>
    <col min="2" max="2" width="17.125" customWidth="1"/>
    <col min="3" max="3" width="33.75" customWidth="1"/>
    <col min="4" max="4" width="23.875" bestFit="1" customWidth="1"/>
    <col min="8" max="8" width="12.75" customWidth="1"/>
    <col min="9" max="9" width="11.625" bestFit="1" customWidth="1"/>
  </cols>
  <sheetData>
    <row r="1" spans="1:9">
      <c r="A1" s="3853" t="s">
        <v>3422</v>
      </c>
      <c r="B1" s="3853"/>
      <c r="C1" s="3853"/>
      <c r="D1" s="3853"/>
      <c r="E1" s="3853"/>
      <c r="F1" s="3853"/>
      <c r="G1" s="3853"/>
      <c r="H1" s="3853"/>
      <c r="I1" s="3853"/>
    </row>
    <row r="2" spans="1:9" ht="14.25" thickBot="1">
      <c r="A2" s="3854"/>
      <c r="B2" s="3854"/>
      <c r="C2" s="3854"/>
      <c r="D2" s="3854"/>
      <c r="E2" s="3854"/>
      <c r="F2" s="3854"/>
      <c r="G2" s="3854"/>
      <c r="H2" s="3854"/>
      <c r="I2" s="3854"/>
    </row>
    <row r="3" spans="1:9" ht="57">
      <c r="A3" s="3459" t="s">
        <v>3423</v>
      </c>
      <c r="B3" s="3460" t="s">
        <v>3424</v>
      </c>
      <c r="C3" s="3461" t="s">
        <v>3425</v>
      </c>
      <c r="D3" s="3460" t="s">
        <v>3426</v>
      </c>
      <c r="E3" s="3460" t="s">
        <v>3427</v>
      </c>
      <c r="F3" s="3461" t="s">
        <v>3428</v>
      </c>
      <c r="G3" s="3461" t="s">
        <v>3429</v>
      </c>
      <c r="H3" s="3461" t="s">
        <v>3430</v>
      </c>
      <c r="I3" s="3461" t="s">
        <v>3431</v>
      </c>
    </row>
    <row r="4" spans="1:9" ht="14.25">
      <c r="A4" s="3462">
        <v>1</v>
      </c>
      <c r="B4" s="3463" t="s">
        <v>3432</v>
      </c>
      <c r="C4" s="3463" t="s">
        <v>3433</v>
      </c>
      <c r="D4" s="3464" t="s">
        <v>3434</v>
      </c>
      <c r="E4" s="3464">
        <v>24</v>
      </c>
      <c r="F4" s="3464">
        <v>818.45</v>
      </c>
      <c r="G4" s="3465">
        <v>7.1</v>
      </c>
      <c r="H4" s="3466">
        <f>G4*F4</f>
        <v>5810.9949999999999</v>
      </c>
      <c r="I4" s="3467">
        <f t="shared" ref="I4:I16" si="0">F4*G4*365/12</f>
        <v>176751.09791666665</v>
      </c>
    </row>
    <row r="5" spans="1:9" ht="14.25">
      <c r="A5" s="3462"/>
      <c r="B5" s="3468">
        <v>306</v>
      </c>
      <c r="C5" s="3463" t="s">
        <v>3435</v>
      </c>
      <c r="D5" s="3464" t="s">
        <v>3436</v>
      </c>
      <c r="E5" s="3464">
        <v>24</v>
      </c>
      <c r="F5" s="3464">
        <v>136.32</v>
      </c>
      <c r="G5" s="3465">
        <v>7.1</v>
      </c>
      <c r="H5" s="3466">
        <f>G5*F5</f>
        <v>967.87199999999996</v>
      </c>
      <c r="I5" s="3467">
        <f t="shared" si="0"/>
        <v>29439.439999999999</v>
      </c>
    </row>
    <row r="6" spans="1:9" ht="28.5">
      <c r="A6" s="3462">
        <v>2</v>
      </c>
      <c r="B6" s="3463" t="s">
        <v>3437</v>
      </c>
      <c r="C6" s="3468" t="s">
        <v>3438</v>
      </c>
      <c r="D6" s="3464" t="s">
        <v>3434</v>
      </c>
      <c r="E6" s="3464">
        <v>24</v>
      </c>
      <c r="F6" s="3464">
        <v>933.8</v>
      </c>
      <c r="G6" s="3465">
        <v>7.1</v>
      </c>
      <c r="H6" s="3466">
        <f t="shared" ref="H6:H16" si="1">F6*G6</f>
        <v>6629.98</v>
      </c>
      <c r="I6" s="3467">
        <f t="shared" si="0"/>
        <v>201661.89166666663</v>
      </c>
    </row>
    <row r="7" spans="1:9" ht="14.25">
      <c r="A7" s="3462">
        <v>3</v>
      </c>
      <c r="B7" s="3463" t="s">
        <v>3439</v>
      </c>
      <c r="C7" s="3463" t="s">
        <v>3440</v>
      </c>
      <c r="D7" s="3464" t="s">
        <v>3434</v>
      </c>
      <c r="E7" s="3464">
        <v>24</v>
      </c>
      <c r="F7" s="3464">
        <v>718.74</v>
      </c>
      <c r="G7" s="3465">
        <v>7.1</v>
      </c>
      <c r="H7" s="3466">
        <f t="shared" si="1"/>
        <v>5103.0540000000001</v>
      </c>
      <c r="I7" s="3467">
        <f t="shared" si="0"/>
        <v>155217.89249999999</v>
      </c>
    </row>
    <row r="8" spans="1:9" ht="28.5">
      <c r="A8" s="3462">
        <v>4</v>
      </c>
      <c r="B8" s="3464" t="s">
        <v>3441</v>
      </c>
      <c r="C8" s="3468" t="s">
        <v>3442</v>
      </c>
      <c r="D8" s="3468" t="s">
        <v>3443</v>
      </c>
      <c r="E8" s="3464">
        <v>24</v>
      </c>
      <c r="F8" s="3468">
        <v>2998.71</v>
      </c>
      <c r="G8" s="3465">
        <v>8.0500000000000007</v>
      </c>
      <c r="H8" s="3466">
        <f t="shared" si="1"/>
        <v>24139.615500000004</v>
      </c>
      <c r="I8" s="3467">
        <f t="shared" si="0"/>
        <v>734246.63812500006</v>
      </c>
    </row>
    <row r="9" spans="1:9" ht="14.25">
      <c r="A9" s="3462"/>
      <c r="B9" s="3464" t="s">
        <v>3444</v>
      </c>
      <c r="C9" s="3468" t="s">
        <v>3445</v>
      </c>
      <c r="D9" s="3468" t="s">
        <v>3446</v>
      </c>
      <c r="E9" s="3464">
        <v>23</v>
      </c>
      <c r="F9" s="3468">
        <v>322.87</v>
      </c>
      <c r="G9" s="3465">
        <v>7.8</v>
      </c>
      <c r="H9" s="3466">
        <f t="shared" si="1"/>
        <v>2518.386</v>
      </c>
      <c r="I9" s="3467">
        <f t="shared" si="0"/>
        <v>76600.907500000001</v>
      </c>
    </row>
    <row r="10" spans="1:9" ht="14.25">
      <c r="A10" s="3462"/>
      <c r="B10" s="3464" t="s">
        <v>3447</v>
      </c>
      <c r="C10" s="3468" t="s">
        <v>3448</v>
      </c>
      <c r="D10" s="3468" t="s">
        <v>3449</v>
      </c>
      <c r="E10" s="3464">
        <v>24</v>
      </c>
      <c r="F10" s="3468">
        <v>482.78</v>
      </c>
      <c r="G10" s="3465">
        <v>7.35</v>
      </c>
      <c r="H10" s="3466">
        <f t="shared" si="1"/>
        <v>3548.4329999999995</v>
      </c>
      <c r="I10" s="3467">
        <f t="shared" si="0"/>
        <v>107931.50374999999</v>
      </c>
    </row>
    <row r="11" spans="1:9" ht="14.25">
      <c r="A11" s="3462">
        <v>7</v>
      </c>
      <c r="B11" s="3464" t="s">
        <v>3450</v>
      </c>
      <c r="C11" s="3468" t="s">
        <v>3445</v>
      </c>
      <c r="D11" s="3464" t="s">
        <v>3451</v>
      </c>
      <c r="E11" s="3464">
        <v>23</v>
      </c>
      <c r="F11" s="3464">
        <v>1867.22</v>
      </c>
      <c r="G11" s="3465">
        <v>6.06</v>
      </c>
      <c r="H11" s="3466">
        <f t="shared" si="1"/>
        <v>11315.3532</v>
      </c>
      <c r="I11" s="3467">
        <f t="shared" si="0"/>
        <v>344175.32650000002</v>
      </c>
    </row>
    <row r="12" spans="1:9" ht="28.5">
      <c r="A12" s="3462"/>
      <c r="B12" s="3464" t="s">
        <v>3452</v>
      </c>
      <c r="C12" s="3468" t="s">
        <v>3453</v>
      </c>
      <c r="D12" s="3464" t="s">
        <v>3454</v>
      </c>
      <c r="E12" s="3464">
        <v>24</v>
      </c>
      <c r="F12" s="3469">
        <v>1727.79</v>
      </c>
      <c r="G12" s="3465">
        <v>7.3</v>
      </c>
      <c r="H12" s="3466">
        <f t="shared" si="1"/>
        <v>12612.867</v>
      </c>
      <c r="I12" s="3467">
        <f t="shared" si="0"/>
        <v>383641.37125000003</v>
      </c>
    </row>
    <row r="13" spans="1:9" ht="28.5">
      <c r="A13" s="3462"/>
      <c r="B13" s="3468">
        <v>915</v>
      </c>
      <c r="C13" s="3468" t="s">
        <v>3455</v>
      </c>
      <c r="D13" s="3464" t="s">
        <v>3456</v>
      </c>
      <c r="E13" s="3464">
        <v>25</v>
      </c>
      <c r="F13" s="3464">
        <v>295.41000000000003</v>
      </c>
      <c r="G13" s="3465">
        <v>7.35</v>
      </c>
      <c r="H13" s="3466">
        <f t="shared" si="1"/>
        <v>2171.2635</v>
      </c>
      <c r="I13" s="3467">
        <f t="shared" si="0"/>
        <v>66042.598125000004</v>
      </c>
    </row>
    <row r="14" spans="1:9" ht="14.25">
      <c r="A14" s="3462"/>
      <c r="B14" s="3468" t="s">
        <v>3457</v>
      </c>
      <c r="C14" s="3468" t="s">
        <v>3458</v>
      </c>
      <c r="D14" s="3464" t="s">
        <v>3459</v>
      </c>
      <c r="E14" s="3464">
        <v>24</v>
      </c>
      <c r="F14" s="3464">
        <v>322.87</v>
      </c>
      <c r="G14" s="3465">
        <v>7.35</v>
      </c>
      <c r="H14" s="3466">
        <f t="shared" si="1"/>
        <v>2373.0944999999997</v>
      </c>
      <c r="I14" s="3467">
        <f t="shared" si="0"/>
        <v>72181.624374999999</v>
      </c>
    </row>
    <row r="15" spans="1:9" ht="28.5">
      <c r="A15" s="3462">
        <v>8</v>
      </c>
      <c r="B15" s="3468">
        <v>1006</v>
      </c>
      <c r="C15" s="3468" t="s">
        <v>3460</v>
      </c>
      <c r="D15" s="3468" t="s">
        <v>3461</v>
      </c>
      <c r="E15" s="3464">
        <v>25</v>
      </c>
      <c r="F15" s="3464">
        <v>149.66</v>
      </c>
      <c r="G15" s="3465">
        <v>8.6</v>
      </c>
      <c r="H15" s="3466">
        <f t="shared" si="1"/>
        <v>1287.076</v>
      </c>
      <c r="I15" s="3467">
        <f t="shared" si="0"/>
        <v>39148.561666666668</v>
      </c>
    </row>
    <row r="16" spans="1:9" ht="14.25">
      <c r="A16" s="3462"/>
      <c r="B16" s="3468" t="s">
        <v>3462</v>
      </c>
      <c r="C16" s="3468" t="s">
        <v>3445</v>
      </c>
      <c r="D16" s="3464" t="s">
        <v>3463</v>
      </c>
      <c r="E16" s="3464">
        <v>23</v>
      </c>
      <c r="F16" s="3464">
        <v>575.84</v>
      </c>
      <c r="G16" s="3465">
        <v>7.8</v>
      </c>
      <c r="H16" s="3466">
        <f t="shared" si="1"/>
        <v>4491.5520000000006</v>
      </c>
      <c r="I16" s="3467">
        <f t="shared" si="0"/>
        <v>136618.04</v>
      </c>
    </row>
    <row r="17" spans="1:9" ht="14.25">
      <c r="A17" s="3462">
        <v>9</v>
      </c>
      <c r="B17" s="3468" t="s">
        <v>3464</v>
      </c>
      <c r="C17" s="3468" t="s">
        <v>3445</v>
      </c>
      <c r="D17" s="3464" t="s">
        <v>3465</v>
      </c>
      <c r="E17" s="3464">
        <v>24</v>
      </c>
      <c r="F17" s="3464">
        <v>322.98</v>
      </c>
      <c r="G17" s="3465">
        <v>6.06</v>
      </c>
      <c r="H17" s="3466">
        <f>G17*F17</f>
        <v>1957.2588000000001</v>
      </c>
      <c r="I17" s="3467">
        <f>G17*365/12*F17</f>
        <v>59533.288499999988</v>
      </c>
    </row>
    <row r="18" spans="1:9" ht="28.5">
      <c r="A18" s="3462"/>
      <c r="B18" s="3468" t="s">
        <v>3466</v>
      </c>
      <c r="C18" s="3468" t="s">
        <v>3467</v>
      </c>
      <c r="D18" s="3464" t="s">
        <v>3468</v>
      </c>
      <c r="E18" s="3464">
        <v>25</v>
      </c>
      <c r="F18" s="3464">
        <v>482.96</v>
      </c>
      <c r="G18" s="3465">
        <v>7.3</v>
      </c>
      <c r="H18" s="3466">
        <f>G18*F18</f>
        <v>3525.6079999999997</v>
      </c>
      <c r="I18" s="3467">
        <f t="shared" ref="I18:I20" si="2">F18*G18*365/12</f>
        <v>107237.24333333333</v>
      </c>
    </row>
    <row r="19" spans="1:9" ht="28.5">
      <c r="A19" s="3462">
        <v>11</v>
      </c>
      <c r="B19" s="3464">
        <v>1107</v>
      </c>
      <c r="C19" s="3468" t="s">
        <v>3469</v>
      </c>
      <c r="D19" s="3464" t="s">
        <v>3470</v>
      </c>
      <c r="E19" s="3464">
        <v>23</v>
      </c>
      <c r="F19" s="3464">
        <v>345.46</v>
      </c>
      <c r="G19" s="3465">
        <v>8.15</v>
      </c>
      <c r="H19" s="3466">
        <f t="shared" ref="H19:H27" si="3">F19*G19</f>
        <v>2815.4989999999998</v>
      </c>
      <c r="I19" s="3467">
        <f t="shared" si="2"/>
        <v>85638.094583333324</v>
      </c>
    </row>
    <row r="20" spans="1:9" ht="14.25">
      <c r="A20" s="3462"/>
      <c r="B20" s="3464" t="s">
        <v>3471</v>
      </c>
      <c r="C20" s="3468" t="s">
        <v>3472</v>
      </c>
      <c r="D20" s="3464" t="s">
        <v>3473</v>
      </c>
      <c r="E20" s="3464">
        <v>25</v>
      </c>
      <c r="F20" s="3464">
        <v>443.96</v>
      </c>
      <c r="G20" s="3465">
        <v>7.45</v>
      </c>
      <c r="H20" s="3466">
        <f t="shared" si="3"/>
        <v>3307.502</v>
      </c>
      <c r="I20" s="3467">
        <f t="shared" si="2"/>
        <v>100603.18583333334</v>
      </c>
    </row>
    <row r="21" spans="1:9" ht="28.5">
      <c r="A21" s="3462">
        <v>12</v>
      </c>
      <c r="B21" s="3464">
        <v>1110</v>
      </c>
      <c r="C21" s="3468" t="s">
        <v>3474</v>
      </c>
      <c r="D21" s="3468" t="s">
        <v>3475</v>
      </c>
      <c r="E21" s="3464">
        <v>24</v>
      </c>
      <c r="F21" s="3464">
        <v>145.34</v>
      </c>
      <c r="G21" s="3465">
        <v>8.0299999999999994</v>
      </c>
      <c r="H21" s="3466">
        <f t="shared" si="3"/>
        <v>1167.0801999999999</v>
      </c>
      <c r="I21" s="3467">
        <v>35498.69</v>
      </c>
    </row>
    <row r="22" spans="1:9" ht="42.75">
      <c r="A22" s="3462">
        <v>13</v>
      </c>
      <c r="B22" s="3464" t="s">
        <v>3476</v>
      </c>
      <c r="C22" s="3468" t="s">
        <v>3477</v>
      </c>
      <c r="D22" s="3468" t="s">
        <v>3478</v>
      </c>
      <c r="E22" s="3464">
        <v>24</v>
      </c>
      <c r="F22" s="3464">
        <v>502.17</v>
      </c>
      <c r="G22" s="3465">
        <v>8.9</v>
      </c>
      <c r="H22" s="3466">
        <f t="shared" si="3"/>
        <v>4469.3130000000001</v>
      </c>
      <c r="I22" s="3467">
        <f t="shared" ref="I22:I27" si="4">F22*G22*365/12</f>
        <v>135941.60375000001</v>
      </c>
    </row>
    <row r="23" spans="1:9" ht="28.5">
      <c r="A23" s="3462">
        <v>14</v>
      </c>
      <c r="B23" s="3470" t="s">
        <v>3479</v>
      </c>
      <c r="C23" s="3468" t="s">
        <v>3480</v>
      </c>
      <c r="D23" s="3468" t="s">
        <v>3481</v>
      </c>
      <c r="E23" s="3464">
        <v>23</v>
      </c>
      <c r="F23" s="3464">
        <v>127.99</v>
      </c>
      <c r="G23" s="3465">
        <v>8</v>
      </c>
      <c r="H23" s="3466">
        <f t="shared" si="3"/>
        <v>1023.92</v>
      </c>
      <c r="I23" s="3467">
        <f t="shared" si="4"/>
        <v>31144.233333333334</v>
      </c>
    </row>
    <row r="24" spans="1:9" ht="14.25">
      <c r="A24" s="3462">
        <v>15</v>
      </c>
      <c r="B24" s="3470">
        <v>1116</v>
      </c>
      <c r="C24" s="3471" t="s">
        <v>3482</v>
      </c>
      <c r="D24" s="3472" t="s">
        <v>3483</v>
      </c>
      <c r="E24" s="3470">
        <v>24</v>
      </c>
      <c r="F24" s="3473">
        <v>52.27</v>
      </c>
      <c r="G24" s="3465">
        <v>6.25</v>
      </c>
      <c r="H24" s="3466">
        <f t="shared" si="3"/>
        <v>326.6875</v>
      </c>
      <c r="I24" s="3467">
        <f t="shared" si="4"/>
        <v>9936.7447916666661</v>
      </c>
    </row>
    <row r="25" spans="1:9" ht="14.25">
      <c r="A25" s="3462">
        <v>16</v>
      </c>
      <c r="B25" s="3470" t="s">
        <v>3484</v>
      </c>
      <c r="C25" s="3472" t="s">
        <v>3485</v>
      </c>
      <c r="D25" s="3470" t="s">
        <v>3486</v>
      </c>
      <c r="E25" s="3470">
        <v>24</v>
      </c>
      <c r="F25" s="3473">
        <v>971.65</v>
      </c>
      <c r="G25" s="3465">
        <v>7.25</v>
      </c>
      <c r="H25" s="3466">
        <f t="shared" si="3"/>
        <v>7044.4624999999996</v>
      </c>
      <c r="I25" s="3467">
        <f t="shared" si="4"/>
        <v>214269.06770833334</v>
      </c>
    </row>
    <row r="26" spans="1:9" ht="14.25">
      <c r="A26" s="3462">
        <v>17</v>
      </c>
      <c r="B26" s="3470" t="s">
        <v>3487</v>
      </c>
      <c r="C26" s="3472" t="s">
        <v>3485</v>
      </c>
      <c r="D26" s="3470" t="s">
        <v>3488</v>
      </c>
      <c r="E26" s="3470">
        <v>24</v>
      </c>
      <c r="F26" s="3474">
        <v>989.9</v>
      </c>
      <c r="G26" s="3465">
        <v>7.25</v>
      </c>
      <c r="H26" s="3466">
        <f t="shared" si="3"/>
        <v>7176.7749999999996</v>
      </c>
      <c r="I26" s="3467">
        <f t="shared" si="4"/>
        <v>218293.57291666666</v>
      </c>
    </row>
    <row r="27" spans="1:9" ht="14.25">
      <c r="A27" s="3462">
        <v>18</v>
      </c>
      <c r="B27" s="3470" t="s">
        <v>3489</v>
      </c>
      <c r="C27" s="3472" t="s">
        <v>3485</v>
      </c>
      <c r="D27" s="3470" t="s">
        <v>3490</v>
      </c>
      <c r="E27" s="3470">
        <v>24</v>
      </c>
      <c r="F27" s="3474">
        <v>985.2</v>
      </c>
      <c r="G27" s="3465">
        <v>7.25</v>
      </c>
      <c r="H27" s="3466">
        <f t="shared" si="3"/>
        <v>7142.7000000000007</v>
      </c>
      <c r="I27" s="3467">
        <f t="shared" si="4"/>
        <v>217257.12500000003</v>
      </c>
    </row>
    <row r="28" spans="1:9" ht="57">
      <c r="A28" s="3462">
        <v>19</v>
      </c>
      <c r="B28" s="3472" t="s">
        <v>3491</v>
      </c>
      <c r="C28" s="3472" t="s">
        <v>3492</v>
      </c>
      <c r="D28" s="3472" t="s">
        <v>3493</v>
      </c>
      <c r="E28" s="3472">
        <v>25</v>
      </c>
      <c r="F28" s="3474">
        <v>1729.4</v>
      </c>
      <c r="G28" s="3465">
        <v>8.8000000000000007</v>
      </c>
      <c r="H28" s="3466">
        <f>F28*G28</f>
        <v>15218.720000000001</v>
      </c>
      <c r="I28" s="3467">
        <f>F28*G28*365/12</f>
        <v>462902.7333333334</v>
      </c>
    </row>
    <row r="29" spans="1:9" ht="14.25">
      <c r="A29" s="3462">
        <v>21</v>
      </c>
      <c r="B29" s="3472" t="s">
        <v>3494</v>
      </c>
      <c r="C29" s="3472" t="s">
        <v>3495</v>
      </c>
      <c r="D29" s="3472" t="s">
        <v>3496</v>
      </c>
      <c r="E29" s="3472">
        <v>23</v>
      </c>
      <c r="F29" s="3474">
        <v>323.92</v>
      </c>
      <c r="G29" s="3465">
        <v>7.35</v>
      </c>
      <c r="H29" s="3466">
        <f>F29*G29</f>
        <v>2380.8119999999999</v>
      </c>
      <c r="I29" s="3467">
        <f>F29*G29*365/12</f>
        <v>72416.365000000005</v>
      </c>
    </row>
    <row r="30" spans="1:9" ht="14.25">
      <c r="A30" s="3462">
        <v>23</v>
      </c>
      <c r="B30" s="3470">
        <v>1508</v>
      </c>
      <c r="C30" s="3472" t="s">
        <v>3497</v>
      </c>
      <c r="D30" s="3470" t="s">
        <v>3498</v>
      </c>
      <c r="E30" s="3470">
        <v>23</v>
      </c>
      <c r="F30" s="3474">
        <v>305.16000000000003</v>
      </c>
      <c r="G30" s="3465">
        <v>7.35</v>
      </c>
      <c r="H30" s="3466">
        <f>F30*G30</f>
        <v>2242.9259999999999</v>
      </c>
      <c r="I30" s="3467">
        <f>F30*G30*365/12</f>
        <v>68222.332500000004</v>
      </c>
    </row>
    <row r="31" spans="1:9" ht="14.25">
      <c r="A31" s="3462"/>
      <c r="B31" s="3470">
        <v>1601</v>
      </c>
      <c r="C31" s="3472" t="s">
        <v>3499</v>
      </c>
      <c r="D31" s="3470" t="s">
        <v>3500</v>
      </c>
      <c r="E31" s="3470">
        <v>24</v>
      </c>
      <c r="F31" s="3474">
        <v>281.5</v>
      </c>
      <c r="G31" s="3465">
        <v>7.75</v>
      </c>
      <c r="H31" s="3466">
        <f>F31*G31</f>
        <v>2181.625</v>
      </c>
      <c r="I31" s="3467">
        <f>F31*G31*365/12</f>
        <v>66357.760416666672</v>
      </c>
    </row>
    <row r="32" spans="1:9" ht="15.75">
      <c r="A32" s="3462"/>
      <c r="B32" s="3470" t="s">
        <v>3501</v>
      </c>
      <c r="C32" s="3472" t="s">
        <v>3502</v>
      </c>
      <c r="D32" s="3474" t="s">
        <v>3503</v>
      </c>
      <c r="E32" s="3470">
        <v>24</v>
      </c>
      <c r="F32" s="3474">
        <v>170.44</v>
      </c>
      <c r="G32" s="3475">
        <v>7.4</v>
      </c>
      <c r="H32" s="3466">
        <f t="shared" ref="H32:H38" si="5">F32*G32</f>
        <v>1261.2560000000001</v>
      </c>
      <c r="I32" s="3467">
        <f t="shared" ref="I32:I52" si="6">F32*G32*365/12</f>
        <v>38363.203333333331</v>
      </c>
    </row>
    <row r="33" spans="1:9" ht="15.75">
      <c r="A33" s="3462"/>
      <c r="B33" s="3470" t="s">
        <v>3504</v>
      </c>
      <c r="C33" s="3472" t="s">
        <v>3505</v>
      </c>
      <c r="D33" s="3474" t="s">
        <v>3506</v>
      </c>
      <c r="E33" s="3470">
        <v>25</v>
      </c>
      <c r="F33" s="3474">
        <v>81.3</v>
      </c>
      <c r="G33" s="3475">
        <v>7.81</v>
      </c>
      <c r="H33" s="3466">
        <f t="shared" si="5"/>
        <v>634.95299999999997</v>
      </c>
      <c r="I33" s="3467">
        <f t="shared" si="6"/>
        <v>19313.153750000001</v>
      </c>
    </row>
    <row r="34" spans="1:9" ht="15.75">
      <c r="A34" s="3462"/>
      <c r="B34" s="3470" t="s">
        <v>3507</v>
      </c>
      <c r="C34" s="3472" t="s">
        <v>3508</v>
      </c>
      <c r="D34" s="3474" t="s">
        <v>3506</v>
      </c>
      <c r="E34" s="3470">
        <v>25</v>
      </c>
      <c r="F34" s="3474">
        <v>81.3</v>
      </c>
      <c r="G34" s="3475">
        <v>7.81</v>
      </c>
      <c r="H34" s="3466">
        <f t="shared" si="5"/>
        <v>634.95299999999997</v>
      </c>
      <c r="I34" s="3467">
        <f t="shared" si="6"/>
        <v>19313.153750000001</v>
      </c>
    </row>
    <row r="35" spans="1:9" ht="15.75">
      <c r="A35" s="3462"/>
      <c r="B35" s="3470" t="s">
        <v>3509</v>
      </c>
      <c r="C35" s="3472" t="s">
        <v>3510</v>
      </c>
      <c r="D35" s="3474" t="s">
        <v>3506</v>
      </c>
      <c r="E35" s="3470">
        <v>25</v>
      </c>
      <c r="F35" s="3474">
        <v>74.819999999999993</v>
      </c>
      <c r="G35" s="3475">
        <v>7.81</v>
      </c>
      <c r="H35" s="3466">
        <f t="shared" si="5"/>
        <v>584.34419999999989</v>
      </c>
      <c r="I35" s="3467">
        <f t="shared" si="6"/>
        <v>17773.802749999999</v>
      </c>
    </row>
    <row r="36" spans="1:9" ht="15.75">
      <c r="A36" s="3462"/>
      <c r="B36" s="3470" t="s">
        <v>3511</v>
      </c>
      <c r="C36" s="3472" t="s">
        <v>3512</v>
      </c>
      <c r="D36" s="3474" t="s">
        <v>3506</v>
      </c>
      <c r="E36" s="3470">
        <v>25</v>
      </c>
      <c r="F36" s="3474">
        <v>74.81</v>
      </c>
      <c r="G36" s="3475">
        <v>7.81</v>
      </c>
      <c r="H36" s="3466">
        <f t="shared" si="5"/>
        <v>584.26609999999994</v>
      </c>
      <c r="I36" s="3467">
        <f t="shared" si="6"/>
        <v>17771.427208333331</v>
      </c>
    </row>
    <row r="37" spans="1:9" ht="14.25">
      <c r="A37" s="3462">
        <v>24</v>
      </c>
      <c r="B37" s="3470">
        <v>1607</v>
      </c>
      <c r="C37" s="3472" t="s">
        <v>3513</v>
      </c>
      <c r="D37" s="3474" t="s">
        <v>3506</v>
      </c>
      <c r="E37" s="3470">
        <v>25</v>
      </c>
      <c r="F37" s="3474">
        <f>658.8-81.3-81.3-74.82-74.81</f>
        <v>346.57</v>
      </c>
      <c r="G37" s="3465">
        <v>7.81</v>
      </c>
      <c r="H37" s="3466">
        <f t="shared" si="5"/>
        <v>2706.7116999999998</v>
      </c>
      <c r="I37" s="3467">
        <f t="shared" si="6"/>
        <v>82329.147541666665</v>
      </c>
    </row>
    <row r="38" spans="1:9" ht="14.25">
      <c r="A38" s="3462"/>
      <c r="B38" s="3472" t="s">
        <v>3514</v>
      </c>
      <c r="C38" s="3472" t="s">
        <v>3515</v>
      </c>
      <c r="D38" s="3470" t="s">
        <v>3516</v>
      </c>
      <c r="E38" s="3470">
        <v>24</v>
      </c>
      <c r="F38" s="3476">
        <v>587.65</v>
      </c>
      <c r="G38" s="3465">
        <v>7.3</v>
      </c>
      <c r="H38" s="3466">
        <f t="shared" si="5"/>
        <v>4289.8449999999993</v>
      </c>
      <c r="I38" s="3467">
        <f t="shared" si="6"/>
        <v>130482.78541666665</v>
      </c>
    </row>
    <row r="39" spans="1:9" ht="14.25">
      <c r="A39" s="3462">
        <v>25</v>
      </c>
      <c r="B39" s="3470" t="s">
        <v>3517</v>
      </c>
      <c r="C39" s="3468" t="s">
        <v>3518</v>
      </c>
      <c r="D39" s="3470" t="s">
        <v>3451</v>
      </c>
      <c r="E39" s="3470">
        <v>23</v>
      </c>
      <c r="F39" s="3474">
        <v>548.41</v>
      </c>
      <c r="G39" s="3465">
        <v>5.25</v>
      </c>
      <c r="H39" s="3466">
        <f>F39*G39</f>
        <v>2879.1524999999997</v>
      </c>
      <c r="I39" s="3467">
        <f t="shared" si="6"/>
        <v>87574.221874999988</v>
      </c>
    </row>
    <row r="40" spans="1:9" ht="14.25">
      <c r="A40" s="3462">
        <v>26</v>
      </c>
      <c r="B40" s="3477" t="s">
        <v>3519</v>
      </c>
      <c r="C40" s="3478" t="s">
        <v>3520</v>
      </c>
      <c r="D40" s="3470" t="s">
        <v>3521</v>
      </c>
      <c r="E40" s="3470">
        <v>24</v>
      </c>
      <c r="F40" s="3474">
        <v>774.78</v>
      </c>
      <c r="G40" s="3465">
        <v>8.25</v>
      </c>
      <c r="H40" s="3466">
        <f>F40*G40</f>
        <v>6391.9349999999995</v>
      </c>
      <c r="I40" s="3467">
        <f t="shared" si="6"/>
        <v>194421.35624999998</v>
      </c>
    </row>
    <row r="41" spans="1:9" ht="14.25">
      <c r="A41" s="3462">
        <v>28</v>
      </c>
      <c r="B41" s="3470">
        <v>1712</v>
      </c>
      <c r="C41" s="3472" t="s">
        <v>3522</v>
      </c>
      <c r="D41" s="3472" t="s">
        <v>3523</v>
      </c>
      <c r="E41" s="3470">
        <v>23</v>
      </c>
      <c r="F41" s="3474">
        <v>156.85</v>
      </c>
      <c r="G41" s="3465">
        <v>7.4</v>
      </c>
      <c r="H41" s="3466">
        <f>F41*G41</f>
        <v>1160.69</v>
      </c>
      <c r="I41" s="3467">
        <f t="shared" si="6"/>
        <v>35304.320833333339</v>
      </c>
    </row>
    <row r="42" spans="1:9" ht="14.25">
      <c r="A42" s="3462"/>
      <c r="B42" s="3470">
        <v>1901</v>
      </c>
      <c r="C42" s="3472" t="s">
        <v>3474</v>
      </c>
      <c r="D42" s="3470" t="s">
        <v>3524</v>
      </c>
      <c r="E42" s="3470">
        <v>24</v>
      </c>
      <c r="F42" s="3474">
        <v>280.95999999999998</v>
      </c>
      <c r="G42" s="3465">
        <v>8.0299999999999994</v>
      </c>
      <c r="H42" s="3466">
        <f>F42*G42</f>
        <v>2256.1087999999995</v>
      </c>
      <c r="I42" s="3467">
        <f t="shared" si="6"/>
        <v>68623.309333333324</v>
      </c>
    </row>
    <row r="43" spans="1:9" ht="14.25">
      <c r="A43" s="3462"/>
      <c r="B43" s="3470">
        <v>1902</v>
      </c>
      <c r="C43" s="3472" t="s">
        <v>3499</v>
      </c>
      <c r="D43" s="3470" t="s">
        <v>3525</v>
      </c>
      <c r="E43" s="3470">
        <v>24</v>
      </c>
      <c r="F43" s="3474">
        <v>166.31</v>
      </c>
      <c r="G43" s="3465">
        <v>7.85</v>
      </c>
      <c r="H43" s="3466">
        <f t="shared" ref="H43:H45" si="7">G43*F43</f>
        <v>1305.5335</v>
      </c>
      <c r="I43" s="3467">
        <f t="shared" si="6"/>
        <v>39709.977291666662</v>
      </c>
    </row>
    <row r="44" spans="1:9" ht="14.25">
      <c r="A44" s="3462"/>
      <c r="B44" s="3470">
        <v>1903</v>
      </c>
      <c r="C44" s="3472" t="s">
        <v>3526</v>
      </c>
      <c r="D44" s="3470" t="s">
        <v>3525</v>
      </c>
      <c r="E44" s="3470">
        <v>24</v>
      </c>
      <c r="F44" s="3474">
        <v>157.24</v>
      </c>
      <c r="G44" s="3465">
        <v>7.85</v>
      </c>
      <c r="H44" s="3466">
        <f t="shared" si="7"/>
        <v>1234.3340000000001</v>
      </c>
      <c r="I44" s="3467">
        <f t="shared" si="6"/>
        <v>37544.325833333336</v>
      </c>
    </row>
    <row r="45" spans="1:9" ht="14.25">
      <c r="A45" s="3462"/>
      <c r="B45" s="3470" t="s">
        <v>3527</v>
      </c>
      <c r="C45" s="3468" t="s">
        <v>3528</v>
      </c>
      <c r="D45" s="3470" t="s">
        <v>3529</v>
      </c>
      <c r="E45" s="3470">
        <v>25</v>
      </c>
      <c r="F45" s="3474">
        <v>170.33</v>
      </c>
      <c r="G45" s="3465">
        <v>7.2</v>
      </c>
      <c r="H45" s="3466">
        <f t="shared" si="7"/>
        <v>1226.3760000000002</v>
      </c>
      <c r="I45" s="3467">
        <f t="shared" si="6"/>
        <v>37302.270000000004</v>
      </c>
    </row>
    <row r="46" spans="1:9" ht="28.5">
      <c r="A46" s="3462">
        <v>29</v>
      </c>
      <c r="B46" s="3470">
        <v>1916</v>
      </c>
      <c r="C46" s="3472" t="s">
        <v>3530</v>
      </c>
      <c r="D46" s="3472" t="s">
        <v>3531</v>
      </c>
      <c r="E46" s="3470">
        <v>23</v>
      </c>
      <c r="F46" s="3474">
        <v>51.84</v>
      </c>
      <c r="G46" s="3465">
        <v>7.05</v>
      </c>
      <c r="H46" s="3466">
        <f>F46*G46</f>
        <v>365.47200000000004</v>
      </c>
      <c r="I46" s="3467">
        <f t="shared" si="6"/>
        <v>11116.440000000002</v>
      </c>
    </row>
    <row r="47" spans="1:9" ht="14.25">
      <c r="A47" s="3462">
        <v>31</v>
      </c>
      <c r="B47" s="3472">
        <v>2315</v>
      </c>
      <c r="C47" s="3472" t="s">
        <v>3532</v>
      </c>
      <c r="D47" s="3479" t="s">
        <v>3533</v>
      </c>
      <c r="E47" s="3479">
        <v>23</v>
      </c>
      <c r="F47" s="3464">
        <v>291.64999999999998</v>
      </c>
      <c r="G47" s="3465">
        <v>8.0299999999999994</v>
      </c>
      <c r="H47" s="3466">
        <f t="shared" ref="H47:H52" si="8">F47*G47</f>
        <v>2341.9494999999997</v>
      </c>
      <c r="I47" s="3467">
        <f t="shared" si="6"/>
        <v>71234.297291666662</v>
      </c>
    </row>
    <row r="48" spans="1:9" ht="28.5">
      <c r="A48" s="3462">
        <v>32</v>
      </c>
      <c r="B48" s="3472" t="s">
        <v>3534</v>
      </c>
      <c r="C48" s="3472" t="s">
        <v>3535</v>
      </c>
      <c r="D48" s="3470" t="s">
        <v>3536</v>
      </c>
      <c r="E48" s="3470">
        <v>24</v>
      </c>
      <c r="F48" s="3474">
        <v>697.92</v>
      </c>
      <c r="G48" s="3465">
        <v>7.55</v>
      </c>
      <c r="H48" s="3466">
        <f t="shared" si="8"/>
        <v>5269.2959999999994</v>
      </c>
      <c r="I48" s="3467">
        <f t="shared" si="6"/>
        <v>160274.41999999998</v>
      </c>
    </row>
    <row r="49" spans="1:9" ht="14.25">
      <c r="A49" s="3462">
        <v>33</v>
      </c>
      <c r="B49" s="3472" t="s">
        <v>3537</v>
      </c>
      <c r="C49" s="3480" t="s">
        <v>3538</v>
      </c>
      <c r="D49" s="3477" t="s">
        <v>3539</v>
      </c>
      <c r="E49" s="3470">
        <v>25</v>
      </c>
      <c r="F49" s="3472">
        <v>491.72</v>
      </c>
      <c r="G49" s="3465">
        <v>7.55</v>
      </c>
      <c r="H49" s="3466">
        <f t="shared" si="8"/>
        <v>3712.4860000000003</v>
      </c>
      <c r="I49" s="3467">
        <f t="shared" si="6"/>
        <v>112921.44916666667</v>
      </c>
    </row>
    <row r="50" spans="1:9" ht="14.25">
      <c r="A50" s="3462">
        <v>35</v>
      </c>
      <c r="B50" s="3472" t="s">
        <v>3540</v>
      </c>
      <c r="C50" s="3472" t="s">
        <v>3541</v>
      </c>
      <c r="D50" s="3470" t="s">
        <v>3498</v>
      </c>
      <c r="E50" s="3470">
        <v>23</v>
      </c>
      <c r="F50" s="3474">
        <v>960.38</v>
      </c>
      <c r="G50" s="3465">
        <v>7.55</v>
      </c>
      <c r="H50" s="3466">
        <f t="shared" si="8"/>
        <v>7250.8689999999997</v>
      </c>
      <c r="I50" s="3467">
        <f t="shared" si="6"/>
        <v>220547.26541666666</v>
      </c>
    </row>
    <row r="51" spans="1:9" ht="42.75">
      <c r="A51" s="3462">
        <v>36</v>
      </c>
      <c r="B51" s="3470">
        <v>2409</v>
      </c>
      <c r="C51" s="3472" t="s">
        <v>3542</v>
      </c>
      <c r="D51" s="3472" t="s">
        <v>3543</v>
      </c>
      <c r="E51" s="3470">
        <v>25</v>
      </c>
      <c r="F51" s="3474">
        <v>137.38</v>
      </c>
      <c r="G51" s="3465">
        <v>8.9</v>
      </c>
      <c r="H51" s="3466">
        <f t="shared" si="8"/>
        <v>1222.682</v>
      </c>
      <c r="I51" s="3467">
        <f t="shared" si="6"/>
        <v>37189.910833333335</v>
      </c>
    </row>
    <row r="52" spans="1:9" ht="14.25">
      <c r="A52" s="3462">
        <v>37</v>
      </c>
      <c r="B52" s="3481" t="s">
        <v>3544</v>
      </c>
      <c r="C52" s="3471" t="s">
        <v>3545</v>
      </c>
      <c r="D52" s="3470" t="s">
        <v>3546</v>
      </c>
      <c r="E52" s="3470">
        <v>25</v>
      </c>
      <c r="F52" s="3473">
        <v>322.75</v>
      </c>
      <c r="G52" s="3465">
        <v>7.55</v>
      </c>
      <c r="H52" s="3466">
        <f t="shared" si="8"/>
        <v>2436.7624999999998</v>
      </c>
      <c r="I52" s="3467">
        <f t="shared" si="6"/>
        <v>74118.192708333328</v>
      </c>
    </row>
    <row r="53" spans="1:9" ht="14.25">
      <c r="A53" s="3462">
        <v>41</v>
      </c>
      <c r="B53" s="3470">
        <v>2416</v>
      </c>
      <c r="C53" s="3472" t="s">
        <v>3547</v>
      </c>
      <c r="D53" s="3470" t="s">
        <v>3548</v>
      </c>
      <c r="E53" s="3470">
        <v>23</v>
      </c>
      <c r="F53" s="3474">
        <v>130.59</v>
      </c>
      <c r="G53" s="3465">
        <v>6.05</v>
      </c>
      <c r="H53" s="3466">
        <f>F53*G53</f>
        <v>790.06949999999995</v>
      </c>
      <c r="I53" s="3467">
        <f>F53*G53*365/12</f>
        <v>24031.280624999999</v>
      </c>
    </row>
    <row r="54" spans="1:9" ht="14.25">
      <c r="A54" s="3462"/>
      <c r="B54" s="3482"/>
      <c r="C54" s="3483"/>
      <c r="D54" s="3482" t="s">
        <v>3549</v>
      </c>
      <c r="E54" s="3482"/>
      <c r="F54" s="3484">
        <f>SUM(F4:F53)</f>
        <v>26116.32</v>
      </c>
      <c r="G54" s="3485">
        <f>ROUND(H54/F54,2)</f>
        <v>7.49</v>
      </c>
      <c r="H54" s="3486">
        <f>SUM(H4:H53)</f>
        <v>195490.47599999997</v>
      </c>
      <c r="I54" s="3487"/>
    </row>
    <row r="55" spans="1:9" ht="14.25">
      <c r="A55" s="3462"/>
      <c r="B55" s="3482"/>
      <c r="C55" s="3483"/>
      <c r="D55" s="3482"/>
      <c r="E55" s="3482" t="s">
        <v>3562</v>
      </c>
      <c r="F55" s="3482">
        <f>SUM(F4:F53)</f>
        <v>26116.32</v>
      </c>
      <c r="G55" s="3485"/>
      <c r="H55" s="3488"/>
      <c r="I55" s="3489"/>
    </row>
    <row r="56" spans="1:9">
      <c r="E56" s="3498" t="s">
        <v>3563</v>
      </c>
      <c r="F56">
        <f>'数据-汇总表'!E3</f>
        <v>35184.699999999997</v>
      </c>
    </row>
    <row r="57" spans="1:9">
      <c r="E57" s="3498" t="s">
        <v>3564</v>
      </c>
      <c r="F57" s="3499">
        <f>F55/F56</f>
        <v>0.74226354068671896</v>
      </c>
    </row>
  </sheetData>
  <mergeCells count="1">
    <mergeCell ref="A1:I2"/>
  </mergeCells>
  <phoneticPr fontId="134" type="noConversion"/>
  <pageMargins left="0.7" right="0.7" top="0.75" bottom="0.75" header="0.3" footer="0.3"/>
  <pageSetup paperSize="9"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31" t="str">
        <f>IF(项目基本情况!B9="房地产市场价值","估价结果一览表","结果表-2")</f>
        <v>结果表-2</v>
      </c>
      <c r="B1" s="3531"/>
      <c r="C1" s="3531"/>
      <c r="D1" s="3531"/>
      <c r="E1" s="3531"/>
      <c r="F1" s="3531"/>
      <c r="G1" s="3531"/>
      <c r="H1" s="3531"/>
      <c r="I1" s="3531"/>
    </row>
    <row r="2" spans="1:9" ht="30" customHeight="1" thickTop="1">
      <c r="A2" s="3532" t="s">
        <v>928</v>
      </c>
      <c r="B2" s="3532" t="s">
        <v>929</v>
      </c>
      <c r="C2" s="3532" t="s">
        <v>930</v>
      </c>
      <c r="D2" s="3532" t="str">
        <f>结果表!D116</f>
        <v>出让国有建设用地使用权价值</v>
      </c>
      <c r="E2" s="3532"/>
      <c r="F2" s="3532" t="str">
        <f>结果表!F116</f>
        <v>建筑物价值</v>
      </c>
      <c r="G2" s="3532"/>
      <c r="H2" s="3532" t="str">
        <f>IF(项目基本情况!B9="房地产市场价值","房地产市场价值","房地产价值")</f>
        <v>房地产价值</v>
      </c>
      <c r="I2" s="3532"/>
    </row>
    <row r="3" spans="1:9" ht="15">
      <c r="A3" s="3527"/>
      <c r="B3" s="3527"/>
      <c r="C3" s="3527"/>
      <c r="D3" s="854" t="s">
        <v>925</v>
      </c>
      <c r="E3" s="854" t="s">
        <v>931</v>
      </c>
      <c r="F3" s="854" t="s">
        <v>925</v>
      </c>
      <c r="G3" s="854" t="s">
        <v>926</v>
      </c>
      <c r="H3" s="854" t="s">
        <v>925</v>
      </c>
      <c r="I3" s="854" t="s">
        <v>926</v>
      </c>
    </row>
    <row r="4" spans="1:9" ht="30">
      <c r="A4" s="1505" t="str">
        <f>项目基本情况!S2</f>
        <v>北京市朝阳区朝外大街乙12号房地产</v>
      </c>
      <c r="B4" s="854">
        <f>项目基本情况!C17</f>
        <v>35184.699999999997</v>
      </c>
      <c r="C4" s="854">
        <f>项目基本情况!C18</f>
        <v>0</v>
      </c>
      <c r="D4" s="854">
        <f ca="1">结果表!D118</f>
        <v>126377</v>
      </c>
      <c r="E4" s="854">
        <f ca="1">结果表!E118</f>
        <v>35918</v>
      </c>
      <c r="F4" s="854">
        <f ca="1">结果表!F118</f>
        <v>19386</v>
      </c>
      <c r="G4" s="854">
        <f ca="1">结果表!G118</f>
        <v>5510</v>
      </c>
      <c r="H4" s="854">
        <f ca="1">结果表!H118</f>
        <v>145763</v>
      </c>
      <c r="I4" s="854">
        <f ca="1">结果表!I118</f>
        <v>41428</v>
      </c>
    </row>
    <row r="5" spans="1:9" ht="30" customHeight="1">
      <c r="A5" s="3527" t="s">
        <v>927</v>
      </c>
      <c r="B5" s="3527"/>
      <c r="C5" s="3527"/>
      <c r="D5" s="3527" t="str">
        <f ca="1">结果表!D119</f>
        <v>壹拾贰亿陆仟叁佰柒拾柒万元整</v>
      </c>
      <c r="E5" s="3527"/>
      <c r="F5" s="3527" t="str">
        <f ca="1">结果表!F119</f>
        <v>壹亿玖仟叁佰捌拾陆万元整</v>
      </c>
      <c r="G5" s="3527"/>
      <c r="H5" s="3527" t="str">
        <f ca="1">结果表!H119</f>
        <v>壹拾肆亿伍仟柒佰陆拾叁万元整</v>
      </c>
      <c r="I5" s="3527"/>
    </row>
    <row r="6" spans="1:9" ht="15.75">
      <c r="A6" s="3526" t="str">
        <f>结果表!A120</f>
        <v>估价师知悉的法定优先受偿款</v>
      </c>
      <c r="B6" s="3526"/>
      <c r="C6" s="3526"/>
      <c r="D6" s="3526">
        <f>结果表!D120</f>
        <v>0</v>
      </c>
      <c r="E6" s="3526"/>
      <c r="F6" s="3526"/>
      <c r="G6" s="3526"/>
      <c r="H6" s="3526"/>
      <c r="I6" s="3526"/>
    </row>
    <row r="7" spans="1:9" ht="15">
      <c r="A7" s="3527" t="s">
        <v>927</v>
      </c>
      <c r="B7" s="3527"/>
      <c r="C7" s="3527"/>
      <c r="D7" s="3528" t="str">
        <f>结果表!D121</f>
        <v>零元整</v>
      </c>
      <c r="E7" s="3529"/>
      <c r="F7" s="3529"/>
      <c r="G7" s="3529"/>
      <c r="H7" s="3529"/>
      <c r="I7" s="3530"/>
    </row>
    <row r="8" spans="1:9" ht="15.75">
      <c r="A8" s="3526" t="str">
        <f>结果表!A122</f>
        <v>房地产抵押价值</v>
      </c>
      <c r="B8" s="3526"/>
      <c r="C8" s="3526"/>
      <c r="D8" s="3526">
        <f ca="1">结果表!D122</f>
        <v>145763</v>
      </c>
      <c r="E8" s="3526"/>
      <c r="F8" s="3526"/>
      <c r="G8" s="3526"/>
      <c r="H8" s="3526"/>
      <c r="I8" s="3526"/>
    </row>
    <row r="9" spans="1:9" ht="15">
      <c r="A9" s="3527" t="s">
        <v>927</v>
      </c>
      <c r="B9" s="3527"/>
      <c r="C9" s="3527"/>
      <c r="D9" s="3527" t="str">
        <f ca="1">结果表!D123</f>
        <v>壹拾肆亿伍仟柒佰陆拾叁万元整</v>
      </c>
      <c r="E9" s="3527"/>
      <c r="F9" s="3527"/>
      <c r="G9" s="3527"/>
      <c r="H9" s="3527"/>
      <c r="I9" s="3527"/>
    </row>
    <row r="10" spans="1:9" ht="15.75">
      <c r="A10" s="3526" t="str">
        <f>结果表!A124</f>
        <v/>
      </c>
      <c r="B10" s="3526"/>
      <c r="C10" s="3526"/>
      <c r="D10" s="3526" t="str">
        <f>结果表!D124</f>
        <v>——</v>
      </c>
      <c r="E10" s="3526"/>
      <c r="F10" s="3526"/>
      <c r="G10" s="3526"/>
      <c r="H10" s="3526"/>
      <c r="I10" s="3526"/>
    </row>
    <row r="11" spans="1:9" ht="15">
      <c r="A11" s="3527" t="s">
        <v>927</v>
      </c>
      <c r="B11" s="3527"/>
      <c r="C11" s="3527"/>
      <c r="D11" s="3527" t="e">
        <f>结果表!D125</f>
        <v>#VALUE!</v>
      </c>
      <c r="E11" s="3527"/>
      <c r="F11" s="3527"/>
      <c r="G11" s="3527"/>
      <c r="H11" s="3527"/>
      <c r="I11" s="3527"/>
    </row>
    <row r="12" spans="1:9" ht="15.75">
      <c r="A12" s="3526" t="str">
        <f>结果表!A126</f>
        <v>抵押净值</v>
      </c>
      <c r="B12" s="3526"/>
      <c r="C12" s="3526"/>
      <c r="D12" s="3526">
        <f ca="1">结果表!D126</f>
        <v>125867</v>
      </c>
      <c r="E12" s="3526"/>
      <c r="F12" s="3526"/>
      <c r="G12" s="3526"/>
      <c r="H12" s="3526"/>
      <c r="I12" s="3526"/>
    </row>
    <row r="13" spans="1:9" ht="15.75" thickBot="1">
      <c r="A13" s="3524" t="s">
        <v>927</v>
      </c>
      <c r="B13" s="3524"/>
      <c r="C13" s="3524"/>
      <c r="D13" s="3524" t="str">
        <f ca="1">结果表!D127</f>
        <v>壹拾贰亿伍仟捌佰陆拾柒万元整</v>
      </c>
      <c r="E13" s="3524"/>
      <c r="F13" s="3524"/>
      <c r="G13" s="3524"/>
      <c r="H13" s="3524"/>
      <c r="I13" s="3524"/>
    </row>
    <row r="14" spans="1:9" ht="15" thickTop="1">
      <c r="A14" s="3525" t="s">
        <v>932</v>
      </c>
      <c r="B14" s="3525"/>
      <c r="C14" s="3525"/>
      <c r="D14" s="3525"/>
      <c r="E14" s="3525"/>
      <c r="F14" s="3525"/>
      <c r="G14" s="3525"/>
      <c r="H14" s="3525"/>
      <c r="I14" s="352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39" t="s">
        <v>949</v>
      </c>
      <c r="B1" s="3539"/>
      <c r="C1" s="3539"/>
      <c r="D1" s="3539"/>
    </row>
    <row r="2" spans="1:4" ht="18">
      <c r="A2" s="3540" t="s">
        <v>933</v>
      </c>
      <c r="B2" s="3540"/>
      <c r="C2" s="3540"/>
      <c r="D2" s="354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40" t="s">
        <v>939</v>
      </c>
      <c r="B6" s="3540"/>
      <c r="C6" s="3540"/>
      <c r="D6" s="354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41" t="s">
        <v>942</v>
      </c>
      <c r="B11" s="3533"/>
      <c r="C11" s="3533"/>
      <c r="D11" s="3533"/>
    </row>
    <row r="12" spans="1:4" ht="15.75">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8"/>
      <c r="C12" s="3538"/>
      <c r="D12" s="3538"/>
    </row>
    <row r="13" spans="1:4" ht="30" customHeight="1">
      <c r="A13" s="3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8"/>
      <c r="C13" s="3538"/>
      <c r="D13" s="3538"/>
    </row>
    <row r="14" spans="1:4" ht="15.75" customHeight="1">
      <c r="A14" s="3533" t="str">
        <f>IF(项目基本情况!B8="抵押","4.本次评估估价师所知悉的法定优先受偿款情况说明如下：","——")</f>
        <v>4.本次评估估价师所知悉的法定优先受偿款情况说明如下：</v>
      </c>
      <c r="B14" s="3538"/>
      <c r="C14" s="3538"/>
      <c r="D14" s="3538"/>
    </row>
    <row r="15" spans="1:4" ht="42" customHeight="1">
      <c r="A15" s="3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3"/>
      <c r="C15" s="3533"/>
      <c r="D15" s="3533"/>
    </row>
    <row r="16" spans="1:4" ht="30" customHeight="1">
      <c r="A16" s="3535" t="s">
        <v>943</v>
      </c>
      <c r="B16" s="3535"/>
      <c r="C16" s="3535"/>
      <c r="D16" s="3535"/>
    </row>
    <row r="17" spans="1:4" ht="144" customHeight="1">
      <c r="A17" s="3535" t="s">
        <v>944</v>
      </c>
      <c r="B17" s="3535"/>
      <c r="C17" s="3535"/>
      <c r="D17" s="3535"/>
    </row>
    <row r="18" spans="1:4" ht="15.75" customHeight="1">
      <c r="A18" s="3533" t="str">
        <f>IF(项目基本情况!B8="抵押",结果表!K120,"——")</f>
        <v>故，本次评估不存在估价师知悉的法定优先受偿款</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34">
        <v>42551</v>
      </c>
      <c r="D31" s="35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47" t="s">
        <v>956</v>
      </c>
      <c r="B15" s="3542" t="s">
        <v>109</v>
      </c>
      <c r="C15" s="3543"/>
    </row>
    <row r="16" spans="1:7" ht="13.5">
      <c r="A16" s="3548"/>
      <c r="B16" s="3542" t="s">
        <v>42</v>
      </c>
      <c r="C16" s="3543"/>
    </row>
    <row r="17" spans="1:3" ht="13.5">
      <c r="A17" s="3548"/>
      <c r="B17" s="3545" t="s">
        <v>957</v>
      </c>
      <c r="C17" s="1532" t="s">
        <v>956</v>
      </c>
    </row>
    <row r="18" spans="1:3" ht="13.5">
      <c r="A18" s="3548"/>
      <c r="B18" s="3545"/>
      <c r="C18" s="1532" t="s">
        <v>958</v>
      </c>
    </row>
    <row r="19" spans="1:3" ht="13.5">
      <c r="A19" s="3548"/>
      <c r="B19" s="3545"/>
      <c r="C19" s="1532" t="s">
        <v>959</v>
      </c>
    </row>
    <row r="20" spans="1:3" ht="13.5">
      <c r="A20" s="3549"/>
      <c r="B20" s="3544" t="s">
        <v>960</v>
      </c>
      <c r="C20" s="3543"/>
    </row>
    <row r="21" spans="1:3" ht="13.5">
      <c r="A21" s="1533" t="s">
        <v>961</v>
      </c>
      <c r="B21" s="1534"/>
      <c r="C21" s="1535"/>
    </row>
    <row r="22" spans="1:3" ht="13.5">
      <c r="A22" s="3546" t="s">
        <v>962</v>
      </c>
      <c r="B22" s="3544" t="s">
        <v>963</v>
      </c>
      <c r="C22" s="3543"/>
    </row>
    <row r="23" spans="1:3" ht="13.5">
      <c r="A23" s="3546"/>
      <c r="B23" s="3544" t="s">
        <v>964</v>
      </c>
      <c r="C23" s="3543"/>
    </row>
    <row r="24" spans="1:3" ht="13.5">
      <c r="A24" s="3546"/>
      <c r="B24" s="3544" t="s">
        <v>965</v>
      </c>
      <c r="C24" s="3543"/>
    </row>
    <row r="25" spans="1:3" ht="13.5">
      <c r="A25" s="3546"/>
      <c r="B25" s="3545" t="s">
        <v>966</v>
      </c>
      <c r="C25" s="1532" t="s">
        <v>967</v>
      </c>
    </row>
    <row r="26" spans="1:3" ht="13.5">
      <c r="A26" s="3546"/>
      <c r="B26" s="3545"/>
      <c r="C26" s="1532" t="s">
        <v>968</v>
      </c>
    </row>
    <row r="27" spans="1:3" ht="13.5">
      <c r="A27" s="3546"/>
      <c r="B27" s="3545"/>
      <c r="C27" s="1532" t="s">
        <v>969</v>
      </c>
    </row>
    <row r="28" spans="1:3" ht="13.5">
      <c r="A28" s="3546"/>
      <c r="B28" s="3545"/>
      <c r="C28" s="1532" t="s">
        <v>970</v>
      </c>
    </row>
    <row r="29" spans="1:3" ht="13.5">
      <c r="A29" s="3546"/>
      <c r="B29" s="3545"/>
      <c r="C29" s="1532" t="s">
        <v>971</v>
      </c>
    </row>
    <row r="30" spans="1:3" ht="13.5">
      <c r="A30" s="3546"/>
      <c r="B30" s="3545"/>
      <c r="C30" s="1532" t="s">
        <v>972</v>
      </c>
    </row>
    <row r="31" spans="1:3" ht="13.5">
      <c r="A31" s="3546"/>
      <c r="B31" s="3545"/>
      <c r="C31" s="1532" t="s">
        <v>973</v>
      </c>
    </row>
    <row r="32" spans="1:3" ht="13.5">
      <c r="A32" s="3546"/>
      <c r="B32" s="3545"/>
      <c r="C32" s="1532" t="s">
        <v>974</v>
      </c>
    </row>
    <row r="33" spans="1:3" ht="13.5">
      <c r="A33" s="3546"/>
      <c r="B33" s="354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45350</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f ca="1">IF(C6&lt;B2,"已过期",1120050019)</f>
        <v>1120050019</v>
      </c>
      <c r="C6" s="2344">
        <v>45410</v>
      </c>
      <c r="D6" s="2345" t="str">
        <f t="shared" ca="1" si="0"/>
        <v>王鹏（注册号：1120050019）</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f ca="1">IF(C9&lt;B2,"已过期",1120060040)</f>
        <v>1120060040</v>
      </c>
      <c r="C9" s="2349">
        <v>45592</v>
      </c>
      <c r="D9" s="2345" t="str">
        <f t="shared" ca="1" si="0"/>
        <v>陈颖（注册号：1120060040）</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f ca="1">IF(C13&lt;B2,"已过期",1120020033)</f>
        <v>1120020033</v>
      </c>
      <c r="C13" s="2344">
        <v>45375</v>
      </c>
      <c r="D13" s="2345" t="str">
        <f t="shared" ca="1" si="0"/>
        <v>刘敬东（注册号：1120020033）</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50" t="s">
        <v>2159</v>
      </c>
      <c r="B17" s="3550"/>
      <c r="C17" s="3550"/>
      <c r="D17" s="3550"/>
      <c r="E17" s="3550"/>
      <c r="F17" s="3550"/>
      <c r="G17" s="3550"/>
      <c r="H17" s="3550"/>
    </row>
    <row r="18" spans="1:8" ht="24" customHeight="1">
      <c r="A18" s="3551" t="s">
        <v>2160</v>
      </c>
      <c r="B18" s="3551"/>
      <c r="C18" s="3551"/>
      <c r="D18" s="2342"/>
      <c r="E18" s="3552" t="s">
        <v>2161</v>
      </c>
      <c r="F18" s="3551"/>
      <c r="G18" s="3551"/>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地价位置</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2024-02-28T02:31:16Z</dcterms:modified>
</cp:coreProperties>
</file>