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抵押物清单"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sheetId="15" state="hidden"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3" i="3" l="1"/>
  <c r="G46" i="39"/>
  <c r="G11" i="39"/>
  <c r="G7" i="39"/>
  <c r="F19" i="6" l="1"/>
  <c r="C19" i="6"/>
  <c r="I13" i="3"/>
  <c r="D3" i="4"/>
  <c r="G566"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B15" i="72" s="1"/>
  <c r="A15" i="62"/>
  <c r="A14" i="62"/>
  <c r="A13" i="62"/>
  <c r="A19" i="62"/>
  <c r="A12" i="62"/>
  <c r="B58" i="72" s="1"/>
  <c r="A120" i="9"/>
  <c r="A6" i="52" s="1"/>
  <c r="B57" i="72" s="1"/>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67" i="72"/>
  <c r="B66" i="72"/>
  <c r="B10" i="72"/>
  <c r="C53" i="10"/>
  <c r="B51" i="10"/>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C21" i="69" s="1"/>
  <c r="F20" i="69"/>
  <c r="E10" i="69"/>
  <c r="E9" i="69"/>
  <c r="F7" i="69"/>
  <c r="C7" i="69" s="1"/>
  <c r="AC21" i="37"/>
  <c r="W21" i="37"/>
  <c r="AC21" i="34"/>
  <c r="W21" i="34"/>
  <c r="AC21" i="33"/>
  <c r="W21" i="33"/>
  <c r="AB21" i="21"/>
  <c r="G83"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s="1"/>
  <c r="H58" i="39"/>
  <c r="I58" i="39"/>
  <c r="C58" i="39"/>
  <c r="H57" i="39"/>
  <c r="I57" i="39"/>
  <c r="C57" i="39" s="1"/>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c r="A4" i="62"/>
  <c r="B70" i="72"/>
  <c r="F33" i="9"/>
  <c r="B37" i="48"/>
  <c r="B2" i="72" s="1"/>
  <c r="B13" i="53"/>
  <c r="B29" i="72" s="1"/>
  <c r="R35" i="4"/>
  <c r="Q35" i="4"/>
  <c r="P35" i="4"/>
  <c r="O35" i="4"/>
  <c r="N35" i="4"/>
  <c r="M35" i="4"/>
  <c r="L35" i="4"/>
  <c r="K34" i="4"/>
  <c r="T34" i="4"/>
  <c r="G13" i="1"/>
  <c r="I15" i="4"/>
  <c r="H15" i="4"/>
  <c r="G15" i="4"/>
  <c r="E15" i="4"/>
  <c r="D15" i="4"/>
  <c r="F7" i="1"/>
  <c r="G7" i="1" s="1"/>
  <c r="L21" i="4"/>
  <c r="F19" i="4"/>
  <c r="F2" i="52"/>
  <c r="B50" i="72"/>
  <c r="D2" i="52"/>
  <c r="B46" i="72"/>
  <c r="B8" i="53"/>
  <c r="B23" i="72"/>
  <c r="L4" i="9"/>
  <c r="B17"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s="1"/>
  <c r="D66" i="21"/>
  <c r="E66" i="21" s="1"/>
  <c r="F66" i="21" s="1"/>
  <c r="D111" i="21"/>
  <c r="E111" i="21"/>
  <c r="F111" i="21"/>
  <c r="C111" i="21"/>
  <c r="D79" i="21"/>
  <c r="E79" i="21" s="1"/>
  <c r="D85" i="21"/>
  <c r="E81" i="21"/>
  <c r="F81" i="21"/>
  <c r="H19"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c r="F38" i="21"/>
  <c r="S38" i="21" s="1"/>
  <c r="F36" i="21"/>
  <c r="S36" i="21" s="1"/>
  <c r="F39" i="21"/>
  <c r="AA39" i="21"/>
  <c r="J40" i="21"/>
  <c r="W40" i="21" s="1"/>
  <c r="H35" i="21"/>
  <c r="AB35" i="21" s="1"/>
  <c r="J8" i="21"/>
  <c r="AC8" i="21" s="1"/>
  <c r="H8" i="21"/>
  <c r="U8" i="21" s="1"/>
  <c r="H39" i="21"/>
  <c r="U39" i="21" s="1"/>
  <c r="J34" i="21"/>
  <c r="W34" i="21" s="1"/>
  <c r="H36" i="21"/>
  <c r="U36" i="21" s="1"/>
  <c r="F35" i="21"/>
  <c r="AA35" i="21" s="1"/>
  <c r="H26" i="21"/>
  <c r="AB26" i="21" s="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H27" i="39"/>
  <c r="U27" i="39" s="1"/>
  <c r="J19" i="39"/>
  <c r="AC19" i="39" s="1"/>
  <c r="J27" i="39"/>
  <c r="W27" i="39" s="1"/>
  <c r="F27" i="39"/>
  <c r="S40" i="21"/>
  <c r="U34" i="21"/>
  <c r="S34" i="21"/>
  <c r="C25" i="39"/>
  <c r="C27" i="39"/>
  <c r="C2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H41" i="39"/>
  <c r="AB34" i="39"/>
  <c r="AA41" i="39"/>
  <c r="W9" i="39"/>
  <c r="W8" i="39"/>
  <c r="J19" i="40"/>
  <c r="AC19" i="40"/>
  <c r="J50" i="40"/>
  <c r="H103" i="9"/>
  <c r="D8" i="53"/>
  <c r="B16" i="53"/>
  <c r="B33" i="72" s="1"/>
  <c r="C7" i="37"/>
  <c r="C7" i="34"/>
  <c r="C7" i="36"/>
  <c r="W35" i="40"/>
  <c r="A118" i="9"/>
  <c r="A4" i="52"/>
  <c r="B41" i="72" s="1"/>
  <c r="A12" i="52"/>
  <c r="B56" i="72"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S14" i="35"/>
  <c r="U43" i="21"/>
  <c r="AC35" i="21"/>
  <c r="G8"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W19" i="39"/>
  <c r="U19"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B39" i="21"/>
  <c r="AA43" i="21"/>
  <c r="S39" i="21"/>
  <c r="AA38" i="21"/>
  <c r="AC40" i="21"/>
  <c r="E85" i="21"/>
  <c r="F23" i="21" s="1"/>
  <c r="AA14" i="21"/>
  <c r="AB8" i="21"/>
  <c r="M3" i="43"/>
  <c r="N10" i="43"/>
  <c r="M1" i="43"/>
  <c r="M8" i="43"/>
  <c r="N8" i="43"/>
  <c r="N9" i="43"/>
  <c r="D120" i="9"/>
  <c r="C18" i="9"/>
  <c r="D18" i="9"/>
  <c r="F34" i="67"/>
  <c r="F62" i="67"/>
  <c r="M20" i="67"/>
  <c r="F34" i="15"/>
  <c r="F62" i="15"/>
  <c r="G13" i="3"/>
  <c r="G5" i="3"/>
  <c r="B3" i="3" s="1"/>
  <c r="E69"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c r="S8" i="1"/>
  <c r="AQ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U13" i="39"/>
  <c r="AB13" i="39"/>
  <c r="AA13" i="39"/>
  <c r="S13" i="39"/>
  <c r="S14" i="39"/>
  <c r="AA14" i="39"/>
  <c r="U43" i="39"/>
  <c r="AB43" i="39"/>
  <c r="AA27" i="39"/>
  <c r="S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H33" i="21"/>
  <c r="AB33" i="21" s="1"/>
  <c r="AA26" i="21"/>
  <c r="AB14" i="21"/>
  <c r="AB46" i="21"/>
  <c r="U40" i="21"/>
  <c r="AB31" i="21"/>
  <c r="U31" i="21"/>
  <c r="U13" i="21"/>
  <c r="AB13" i="21"/>
  <c r="W8" i="21"/>
  <c r="AC19" i="21"/>
  <c r="W39" i="21"/>
  <c r="AC14" i="21"/>
  <c r="W30" i="21"/>
  <c r="S46" i="21"/>
  <c r="H45" i="21"/>
  <c r="U45" i="21"/>
  <c r="F29" i="21"/>
  <c r="S29" i="21"/>
  <c r="F13" i="21"/>
  <c r="AA13" i="21"/>
  <c r="AC38" i="21"/>
  <c r="H32" i="21"/>
  <c r="U32" i="21" s="1"/>
  <c r="H9" i="21"/>
  <c r="U9" i="21" s="1"/>
  <c r="J9" i="21"/>
  <c r="W9" i="21" s="1"/>
  <c r="J32" i="21"/>
  <c r="AC32" i="21" s="1"/>
  <c r="F32" i="21"/>
  <c r="AA31" i="21"/>
  <c r="W29" i="21"/>
  <c r="S9" i="21"/>
  <c r="AA9" i="21"/>
  <c r="K141" i="21"/>
  <c r="K144" i="21"/>
  <c r="K143" i="21"/>
  <c r="AB25" i="21"/>
  <c r="AB44" i="21"/>
  <c r="AA30" i="21"/>
  <c r="W13" i="21"/>
  <c r="AC45" i="21"/>
  <c r="K145" i="21"/>
  <c r="W25" i="21"/>
  <c r="AA29" i="21"/>
  <c r="W31" i="21"/>
  <c r="AC27" i="21"/>
  <c r="AC26" i="21"/>
  <c r="AB29" i="21"/>
  <c r="S28" i="21"/>
  <c r="AC34"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AY6" i="3" s="1"/>
  <c r="M6" i="1"/>
  <c r="O6" i="1" s="1"/>
  <c r="P6" i="1" s="1"/>
  <c r="F52" i="9"/>
  <c r="E63" i="39"/>
  <c r="T11" i="1"/>
  <c r="D9" i="69"/>
  <c r="C9" i="69" s="1"/>
  <c r="D19" i="12"/>
  <c r="C19" i="12" s="1"/>
  <c r="AQ9" i="1"/>
  <c r="AR11" i="1"/>
  <c r="E59" i="40"/>
  <c r="T9" i="1"/>
  <c r="T13" i="1"/>
  <c r="E237" i="3"/>
  <c r="E261" i="3"/>
  <c r="E304" i="3"/>
  <c r="E528" i="3"/>
  <c r="E565" i="3"/>
  <c r="E183" i="3"/>
  <c r="E213" i="3"/>
  <c r="E361" i="3"/>
  <c r="E17" i="3"/>
  <c r="E503" i="3"/>
  <c r="E302" i="3"/>
  <c r="D9" i="68"/>
  <c r="C9" i="68" s="1"/>
  <c r="S7" i="1"/>
  <c r="AQ7" i="1" s="1"/>
  <c r="E7" i="70"/>
  <c r="C24" i="12"/>
  <c r="AA39" i="40"/>
  <c r="S39" i="40"/>
  <c r="S12" i="33"/>
  <c r="AA12" i="33"/>
  <c r="D5" i="4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AC23" i="21" s="1"/>
  <c r="F85" i="21"/>
  <c r="G85" i="21" s="1"/>
  <c r="H23" i="21"/>
  <c r="AB23" i="21" s="1"/>
  <c r="S13" i="21"/>
  <c r="D6" i="52"/>
  <c r="D121" i="9"/>
  <c r="D7" i="52"/>
  <c r="E329" i="3"/>
  <c r="E347" i="3"/>
  <c r="E539" i="3"/>
  <c r="E583" i="3"/>
  <c r="E545" i="3"/>
  <c r="AA6" i="3"/>
  <c r="E567" i="3"/>
  <c r="X6" i="3"/>
  <c r="E510" i="3"/>
  <c r="E399" i="3"/>
  <c r="E461" i="3"/>
  <c r="E336" i="3"/>
  <c r="E352" i="3"/>
  <c r="E280" i="3"/>
  <c r="E227" i="3"/>
  <c r="E246" i="3"/>
  <c r="E205" i="3"/>
  <c r="E124" i="3"/>
  <c r="E165" i="3"/>
  <c r="E293" i="3"/>
  <c r="E128" i="3"/>
  <c r="K14" i="1"/>
  <c r="M14" i="1" s="1"/>
  <c r="BL5" i="3"/>
  <c r="J59" i="9"/>
  <c r="J61" i="9"/>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E63" i="40" s="1"/>
  <c r="B5" i="62"/>
  <c r="B73" i="72"/>
  <c r="L27" i="6"/>
  <c r="AP7" i="1"/>
  <c r="M7" i="1"/>
  <c r="O7" i="1" s="1"/>
  <c r="Q16" i="1"/>
  <c r="F27" i="69" s="1"/>
  <c r="H16" i="1"/>
  <c r="AB45" i="21"/>
  <c r="AC33" i="21"/>
  <c r="W33" i="21"/>
  <c r="S33" i="21"/>
  <c r="AA32" i="21"/>
  <c r="S32" i="21"/>
  <c r="AC9" i="21"/>
  <c r="AB32" i="21"/>
  <c r="AR7" i="1"/>
  <c r="E6" i="70"/>
  <c r="D3" i="34"/>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D3" i="37"/>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F1" i="15"/>
  <c r="Q52" i="15"/>
  <c r="D65" i="40"/>
  <c r="F1" i="67"/>
  <c r="Q52" i="67"/>
  <c r="AC11" i="37"/>
  <c r="W11" i="37"/>
  <c r="W11" i="34"/>
  <c r="AC11" i="34"/>
  <c r="M19" i="9"/>
  <c r="C118" i="9" s="1"/>
  <c r="C14" i="74" s="1"/>
  <c r="B2" i="74" s="1"/>
  <c r="D19" i="6"/>
  <c r="D25" i="6"/>
  <c r="D26" i="6"/>
  <c r="D15" i="6"/>
  <c r="C18" i="4"/>
  <c r="D22" i="6"/>
  <c r="D8" i="6"/>
  <c r="D21" i="6"/>
  <c r="D23" i="6"/>
  <c r="D24" i="6"/>
  <c r="D14" i="6"/>
  <c r="D20" i="6"/>
  <c r="R7" i="1"/>
  <c r="D5" i="6"/>
  <c r="D9" i="6"/>
  <c r="D11" i="6"/>
  <c r="D10" i="6"/>
  <c r="D13" i="6"/>
  <c r="L19" i="9"/>
  <c r="D28" i="6"/>
  <c r="D30" i="6" s="1"/>
  <c r="D29" i="6"/>
  <c r="E61" i="40"/>
  <c r="F34" i="11"/>
  <c r="C36" i="11" s="1"/>
  <c r="F11" i="12"/>
  <c r="F34" i="68"/>
  <c r="C36" i="68" s="1"/>
  <c r="F63" i="40"/>
  <c r="E65" i="40"/>
  <c r="R8" i="1"/>
  <c r="C4" i="52"/>
  <c r="B45" i="72" s="1"/>
  <c r="G63" i="40"/>
  <c r="F65" i="40"/>
  <c r="H63" i="40"/>
  <c r="G65" i="40"/>
  <c r="I63" i="40"/>
  <c r="H65" i="40"/>
  <c r="J63" i="40"/>
  <c r="I65" i="40"/>
  <c r="K63" i="40"/>
  <c r="L63" i="40" s="1"/>
  <c r="J65" i="40"/>
  <c r="K65" i="40"/>
  <c r="E2" i="70"/>
  <c r="C34" i="69"/>
  <c r="C38" i="69" s="1"/>
  <c r="AE7" i="1"/>
  <c r="AE8" i="1"/>
  <c r="AE6" i="1"/>
  <c r="AG6" i="1"/>
  <c r="J7" i="33"/>
  <c r="W7" i="33"/>
  <c r="F7" i="33"/>
  <c r="S7" i="33"/>
  <c r="H7" i="33"/>
  <c r="AB7" i="33" s="1"/>
  <c r="T48" i="33" s="1"/>
  <c r="G48" i="33" s="1"/>
  <c r="AA7" i="33"/>
  <c r="R48" i="33" s="1"/>
  <c r="U7" i="33"/>
  <c r="AC7" i="33"/>
  <c r="V48" i="33"/>
  <c r="I48" i="33" s="1"/>
  <c r="H112" i="9"/>
  <c r="D21" i="53" s="1"/>
  <c r="B39" i="72" s="1"/>
  <c r="H111" i="9"/>
  <c r="D126" i="9" s="1"/>
  <c r="D59" i="9"/>
  <c r="M55" i="9"/>
  <c r="AD3" i="71"/>
  <c r="B4" i="62"/>
  <c r="B71" i="72"/>
  <c r="E9" i="76"/>
  <c r="F6" i="73"/>
  <c r="F38" i="15"/>
  <c r="D2" i="37"/>
  <c r="E10" i="76"/>
  <c r="F35" i="67"/>
  <c r="F42" i="15"/>
  <c r="AO12" i="1"/>
  <c r="M26" i="15"/>
  <c r="F6" i="67"/>
  <c r="M27" i="67"/>
  <c r="M24" i="15"/>
  <c r="F7" i="67"/>
  <c r="M28" i="67"/>
  <c r="M21" i="67"/>
  <c r="F16" i="67"/>
  <c r="D4" i="73"/>
  <c r="F5" i="73"/>
  <c r="E7" i="76"/>
  <c r="M8" i="15"/>
  <c r="F35" i="15"/>
  <c r="F16" i="15"/>
  <c r="D2" i="36"/>
  <c r="B11" i="76"/>
  <c r="M29" i="67"/>
  <c r="F37" i="67"/>
  <c r="AO13" i="1"/>
  <c r="D2" i="34"/>
  <c r="F20" i="31"/>
  <c r="M24" i="67"/>
  <c r="F42" i="67"/>
  <c r="M6" i="67"/>
  <c r="F3" i="73"/>
  <c r="D2" i="35"/>
  <c r="L47" i="15"/>
  <c r="F36" i="15"/>
  <c r="M9" i="15"/>
  <c r="AO11" i="1"/>
  <c r="F36" i="67"/>
  <c r="AO8" i="1"/>
  <c r="M29" i="15"/>
  <c r="D3" i="73"/>
  <c r="F41" i="67"/>
  <c r="J15" i="15"/>
  <c r="D7" i="73"/>
  <c r="AO7" i="1"/>
  <c r="B9" i="76"/>
  <c r="F4" i="73"/>
  <c r="F40" i="15"/>
  <c r="E8" i="76"/>
  <c r="F40" i="67"/>
  <c r="D2" i="33"/>
  <c r="M22" i="15"/>
  <c r="F43" i="15"/>
  <c r="J15" i="67"/>
  <c r="C76" i="67"/>
  <c r="F7" i="73"/>
  <c r="E12" i="76"/>
  <c r="E2" i="69"/>
  <c r="M23" i="67"/>
  <c r="F13" i="67"/>
  <c r="D2" i="21"/>
  <c r="B12" i="76"/>
  <c r="F8" i="67"/>
  <c r="M6" i="15"/>
  <c r="D5" i="73"/>
  <c r="F43" i="67"/>
  <c r="F13" i="15"/>
  <c r="AO10" i="1"/>
  <c r="M9" i="67"/>
  <c r="B10" i="76"/>
  <c r="M21" i="15"/>
  <c r="F38" i="67"/>
  <c r="E2" i="68"/>
  <c r="L48" i="15"/>
  <c r="E13" i="76"/>
  <c r="F7" i="15"/>
  <c r="M22" i="67"/>
  <c r="B7" i="76"/>
  <c r="M23" i="15"/>
  <c r="D34" i="9"/>
  <c r="F8" i="15"/>
  <c r="M28" i="15"/>
  <c r="L47" i="67"/>
  <c r="F41" i="15"/>
  <c r="B13" i="76"/>
  <c r="F9" i="67"/>
  <c r="D6" i="73"/>
  <c r="F37" i="15"/>
  <c r="AO6" i="1"/>
  <c r="F26" i="15"/>
  <c r="F26" i="67"/>
  <c r="B8" i="76"/>
  <c r="M8" i="67"/>
  <c r="L48" i="67"/>
  <c r="D35" i="9"/>
  <c r="M27" i="15"/>
  <c r="F9" i="15"/>
  <c r="C76" i="15"/>
  <c r="F6" i="15"/>
  <c r="AO9" i="1"/>
  <c r="E11" i="76"/>
  <c r="M26" i="67"/>
  <c r="W23" i="21" l="1"/>
  <c r="J42" i="21"/>
  <c r="F42" i="21"/>
  <c r="G123" i="21"/>
  <c r="H123" i="21" s="1"/>
  <c r="I123" i="21" s="1"/>
  <c r="J123" i="21" s="1"/>
  <c r="K123" i="21" s="1"/>
  <c r="L123" i="21" s="1"/>
  <c r="M123" i="21" s="1"/>
  <c r="H42" i="21"/>
  <c r="U42" i="21" s="1"/>
  <c r="H113" i="21"/>
  <c r="H37" i="21"/>
  <c r="F37" i="21"/>
  <c r="AA37" i="21" s="1"/>
  <c r="J37" i="21"/>
  <c r="W37" i="21" s="1"/>
  <c r="S35" i="21"/>
  <c r="U35" i="21"/>
  <c r="S27" i="21"/>
  <c r="J10" i="21"/>
  <c r="G66" i="21"/>
  <c r="H66" i="21" s="1"/>
  <c r="I66" i="21" s="1"/>
  <c r="H10" i="21"/>
  <c r="AB10" i="21" s="1"/>
  <c r="F10" i="21"/>
  <c r="F11" i="21"/>
  <c r="J11" i="21"/>
  <c r="G69" i="21"/>
  <c r="H69" i="21" s="1"/>
  <c r="I69" i="21" s="1"/>
  <c r="J69" i="21" s="1"/>
  <c r="K69" i="21" s="1"/>
  <c r="L69" i="21" s="1"/>
  <c r="M69" i="21" s="1"/>
  <c r="H11" i="21"/>
  <c r="U27" i="21"/>
  <c r="S23" i="21"/>
  <c r="AA23" i="21"/>
  <c r="AB19" i="21"/>
  <c r="U19" i="21"/>
  <c r="G81" i="21"/>
  <c r="F19" i="21"/>
  <c r="F79" i="21"/>
  <c r="G79" i="21" s="1"/>
  <c r="F17" i="21"/>
  <c r="H17" i="21"/>
  <c r="AB17" i="21" s="1"/>
  <c r="J17" i="21"/>
  <c r="H15" i="21"/>
  <c r="U15" i="21" s="1"/>
  <c r="F15" i="21"/>
  <c r="J15" i="21"/>
  <c r="F77" i="21"/>
  <c r="G77" i="21" s="1"/>
  <c r="S37" i="21"/>
  <c r="AC37" i="21"/>
  <c r="AB42" i="21"/>
  <c r="AA36" i="21"/>
  <c r="W36" i="21"/>
  <c r="W32" i="21"/>
  <c r="U23" i="21"/>
  <c r="S21" i="21"/>
  <c r="U17" i="21"/>
  <c r="S8" i="21"/>
  <c r="AB9" i="21"/>
  <c r="AB23" i="39"/>
  <c r="AA39" i="39"/>
  <c r="AC29" i="39"/>
  <c r="W23" i="39"/>
  <c r="AC27" i="39"/>
  <c r="F107" i="39"/>
  <c r="G107" i="39" s="1"/>
  <c r="H107" i="39" s="1"/>
  <c r="I107" i="39" s="1"/>
  <c r="J107" i="39" s="1"/>
  <c r="K107" i="39" s="1"/>
  <c r="L107" i="39" s="1"/>
  <c r="M107" i="39" s="1"/>
  <c r="H32" i="39"/>
  <c r="AB32" i="39" s="1"/>
  <c r="F32" i="39"/>
  <c r="S32" i="39" s="1"/>
  <c r="J32" i="39"/>
  <c r="F105" i="39"/>
  <c r="G105" i="39" s="1"/>
  <c r="H105" i="39" s="1"/>
  <c r="I105" i="39" s="1"/>
  <c r="J105" i="39" s="1"/>
  <c r="K105" i="39" s="1"/>
  <c r="L105" i="39" s="1"/>
  <c r="M105" i="39" s="1"/>
  <c r="H31" i="39"/>
  <c r="F31" i="39"/>
  <c r="J31" i="39"/>
  <c r="U29" i="39"/>
  <c r="F99" i="39"/>
  <c r="G99" i="39" s="1"/>
  <c r="F25" i="39"/>
  <c r="F95" i="39"/>
  <c r="F21" i="39"/>
  <c r="S21" i="39" s="1"/>
  <c r="H21" i="39"/>
  <c r="F91" i="39"/>
  <c r="G91" i="39" s="1"/>
  <c r="F17" i="39"/>
  <c r="F89" i="39"/>
  <c r="F15" i="39" s="1"/>
  <c r="AA15" i="39" s="1"/>
  <c r="F81" i="39"/>
  <c r="H11" i="39"/>
  <c r="S42" i="39"/>
  <c r="U40" i="39"/>
  <c r="W14" i="39"/>
  <c r="S29" i="39"/>
  <c r="C94" i="9"/>
  <c r="C92" i="9"/>
  <c r="F28" i="15"/>
  <c r="C28" i="15" s="1"/>
  <c r="D68" i="9"/>
  <c r="M18" i="67"/>
  <c r="C13" i="12"/>
  <c r="C29" i="12"/>
  <c r="D28" i="12" s="1"/>
  <c r="F54" i="9"/>
  <c r="M18" i="15"/>
  <c r="F32" i="15"/>
  <c r="F60" i="15" s="1"/>
  <c r="F30" i="69"/>
  <c r="F32" i="67"/>
  <c r="F60" i="67" s="1"/>
  <c r="F31" i="12"/>
  <c r="F28" i="67"/>
  <c r="C28" i="67" s="1"/>
  <c r="F30" i="11"/>
  <c r="F30" i="68"/>
  <c r="C40" i="68"/>
  <c r="C40" i="69"/>
  <c r="C47" i="69" s="1"/>
  <c r="D45" i="69" s="1"/>
  <c r="C36" i="69"/>
  <c r="F27" i="11"/>
  <c r="T7" i="1"/>
  <c r="D27" i="6"/>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F27" i="6"/>
  <c r="E27" i="6" s="1"/>
  <c r="E56" i="39"/>
  <c r="E51" i="40"/>
  <c r="E16" i="6"/>
  <c r="E12" i="6"/>
  <c r="F22" i="43"/>
  <c r="K101" i="43"/>
  <c r="F101" i="43"/>
  <c r="N101" i="43"/>
  <c r="E22" i="43"/>
  <c r="C101" i="43"/>
  <c r="N104" i="46"/>
  <c r="L101" i="43"/>
  <c r="D101" i="43"/>
  <c r="I101" i="43"/>
  <c r="G22" i="43"/>
  <c r="AH11" i="43"/>
  <c r="AH13" i="43" s="1"/>
  <c r="AD11" i="43"/>
  <c r="AD13" i="43" s="1"/>
  <c r="J22" i="43"/>
  <c r="B113" i="43"/>
  <c r="G101" i="43"/>
  <c r="J101" i="43"/>
  <c r="H22" i="43"/>
  <c r="H101" i="43"/>
  <c r="M101" i="43"/>
  <c r="E101" i="43"/>
  <c r="AJ11" i="43"/>
  <c r="AJ13" i="43" s="1"/>
  <c r="AF11" i="43"/>
  <c r="AF13" i="43" s="1"/>
  <c r="AB11" i="43"/>
  <c r="AB13" i="43" s="1"/>
  <c r="Z11" i="43"/>
  <c r="Z13" i="43" s="1"/>
  <c r="Z7" i="43"/>
  <c r="AI11" i="43"/>
  <c r="AI13" i="43" s="1"/>
  <c r="AG11" i="43"/>
  <c r="AG13" i="43" s="1"/>
  <c r="AE11" i="43"/>
  <c r="AE13" i="43" s="1"/>
  <c r="AC11" i="43"/>
  <c r="AC13" i="43" s="1"/>
  <c r="AA11" i="43"/>
  <c r="AA13" i="43" s="1"/>
  <c r="Y11" i="43"/>
  <c r="Y13" i="43" s="1"/>
  <c r="D31" i="6"/>
  <c r="D3" i="21"/>
  <c r="D19" i="11"/>
  <c r="C19" i="11" s="1"/>
  <c r="D37" i="11"/>
  <c r="C37" i="11" s="1"/>
  <c r="D14" i="12"/>
  <c r="D17" i="12" s="1"/>
  <c r="C17" i="12" s="1"/>
  <c r="M18" i="9"/>
  <c r="B118" i="9" s="1"/>
  <c r="B14" i="74" s="1"/>
  <c r="B1" i="74" s="1"/>
  <c r="D3" i="33"/>
  <c r="E6" i="6"/>
  <c r="C17" i="4"/>
  <c r="L18" i="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K15" i="1"/>
  <c r="K16" i="1" s="1"/>
  <c r="E30" i="6"/>
  <c r="F31" i="6"/>
  <c r="I6" i="6" s="1"/>
  <c r="O9" i="1"/>
  <c r="P9" i="1" s="1"/>
  <c r="O14" i="1"/>
  <c r="P14" i="1"/>
  <c r="M16" i="1"/>
  <c r="O8" i="1"/>
  <c r="P7" i="1"/>
  <c r="F27" i="68"/>
  <c r="C29" i="68" s="1"/>
  <c r="D27" i="68" s="1"/>
  <c r="G11" i="1"/>
  <c r="G9" i="1"/>
  <c r="G16" i="1"/>
  <c r="F10" i="40" s="1"/>
  <c r="K120" i="9"/>
  <c r="A18" i="62" s="1"/>
  <c r="B64" i="72" s="1"/>
  <c r="D19" i="53"/>
  <c r="I14" i="74"/>
  <c r="B8" i="74" s="1"/>
  <c r="D127" i="9"/>
  <c r="D13" i="52" s="1"/>
  <c r="D12" i="52"/>
  <c r="I52" i="33"/>
  <c r="J52" i="33" s="1"/>
  <c r="G52" i="33"/>
  <c r="H52" i="33" s="1"/>
  <c r="G53" i="33"/>
  <c r="H53" i="33" s="1"/>
  <c r="E48" i="33"/>
  <c r="I53" i="33" s="1"/>
  <c r="J53" i="33" s="1"/>
  <c r="R49" i="33"/>
  <c r="M63" i="40"/>
  <c r="L65" i="40"/>
  <c r="F48" i="35"/>
  <c r="C70" i="39"/>
  <c r="D68" i="39"/>
  <c r="H10" i="39"/>
  <c r="G59" i="34"/>
  <c r="G52" i="37"/>
  <c r="E46" i="36"/>
  <c r="D58" i="21"/>
  <c r="C20" i="43"/>
  <c r="F7" i="71"/>
  <c r="F6" i="71" s="1"/>
  <c r="F5" i="71" s="1"/>
  <c r="Y6" i="71"/>
  <c r="Z6" i="71" s="1"/>
  <c r="B7" i="49"/>
  <c r="E7" i="49"/>
  <c r="B15" i="49"/>
  <c r="AB3" i="71"/>
  <c r="X3" i="71"/>
  <c r="C7" i="71"/>
  <c r="E7" i="71"/>
  <c r="E6" i="71" s="1"/>
  <c r="E5" i="71" s="1"/>
  <c r="E10" i="49"/>
  <c r="B6" i="49"/>
  <c r="E14" i="49"/>
  <c r="AF3" i="71"/>
  <c r="P24" i="43" s="1"/>
  <c r="B66" i="40" s="1"/>
  <c r="P21" i="43"/>
  <c r="P22" i="43"/>
  <c r="C29" i="69"/>
  <c r="D27" i="69" s="1"/>
  <c r="B13" i="49"/>
  <c r="B4" i="49"/>
  <c r="B9" i="49"/>
  <c r="E22" i="49"/>
  <c r="E16" i="49"/>
  <c r="E11" i="49"/>
  <c r="B10" i="49"/>
  <c r="E6" i="49"/>
  <c r="E8" i="49"/>
  <c r="E5" i="49"/>
  <c r="B8" i="49"/>
  <c r="B5" i="49"/>
  <c r="E21" i="49"/>
  <c r="E4" i="49"/>
  <c r="B11" i="49"/>
  <c r="B14" i="49"/>
  <c r="B16" i="49"/>
  <c r="E13" i="49"/>
  <c r="E15" i="49"/>
  <c r="E9" i="49"/>
  <c r="B22" i="49"/>
  <c r="C35" i="69"/>
  <c r="C34" i="68"/>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C16" i="67"/>
  <c r="F31" i="15"/>
  <c r="M17" i="15"/>
  <c r="C16" i="15"/>
  <c r="F59" i="67"/>
  <c r="C17" i="67"/>
  <c r="F59" i="15"/>
  <c r="F31" i="67"/>
  <c r="G1" i="73"/>
  <c r="C17" i="15"/>
  <c r="M17" i="67"/>
  <c r="C14" i="67"/>
  <c r="U10" i="21" l="1"/>
  <c r="AA42" i="21"/>
  <c r="S42" i="21"/>
  <c r="AC42" i="21"/>
  <c r="W42" i="21"/>
  <c r="U37" i="21"/>
  <c r="AB37" i="21"/>
  <c r="AB15" i="21"/>
  <c r="S10" i="21"/>
  <c r="AA10" i="21"/>
  <c r="AC10" i="21"/>
  <c r="W10" i="21"/>
  <c r="U11" i="21"/>
  <c r="AB11" i="21"/>
  <c r="W11" i="21"/>
  <c r="AC11" i="21"/>
  <c r="S11" i="21"/>
  <c r="AA11" i="21"/>
  <c r="AA19" i="21"/>
  <c r="S19" i="21"/>
  <c r="AC17" i="21"/>
  <c r="W17" i="21"/>
  <c r="AA17" i="21"/>
  <c r="S17" i="21"/>
  <c r="S15" i="21"/>
  <c r="AA15" i="21"/>
  <c r="W15" i="21"/>
  <c r="AC15" i="21"/>
  <c r="AA32" i="39"/>
  <c r="J17" i="39"/>
  <c r="H17" i="39"/>
  <c r="G95" i="39"/>
  <c r="J21" i="39"/>
  <c r="H25" i="39"/>
  <c r="U25" i="39" s="1"/>
  <c r="J25" i="39"/>
  <c r="W25" i="39" s="1"/>
  <c r="U32" i="39"/>
  <c r="AA21" i="39"/>
  <c r="AC32" i="39"/>
  <c r="W32" i="39"/>
  <c r="W31" i="39"/>
  <c r="AC31" i="39"/>
  <c r="U31" i="39"/>
  <c r="AB31" i="39"/>
  <c r="AA31" i="39"/>
  <c r="S31" i="39"/>
  <c r="AA25" i="39"/>
  <c r="S25" i="39"/>
  <c r="U21" i="39"/>
  <c r="AB21" i="39"/>
  <c r="W17" i="39"/>
  <c r="AC17" i="39"/>
  <c r="AB17" i="39"/>
  <c r="U17" i="39"/>
  <c r="AA17" i="39"/>
  <c r="S17" i="39"/>
  <c r="S15" i="39"/>
  <c r="J15" i="39"/>
  <c r="G89" i="39"/>
  <c r="H15" i="39"/>
  <c r="AB11" i="39"/>
  <c r="U11" i="39"/>
  <c r="G81" i="39"/>
  <c r="F11" i="39"/>
  <c r="C30" i="68"/>
  <c r="C48" i="68"/>
  <c r="C30" i="11"/>
  <c r="C48" i="11"/>
  <c r="C48" i="69"/>
  <c r="C30" i="69"/>
  <c r="C14" i="12"/>
  <c r="C18" i="15"/>
  <c r="C15" i="15"/>
  <c r="C29" i="11"/>
  <c r="D27" i="11" s="1"/>
  <c r="C47" i="11"/>
  <c r="D45" i="11" s="1"/>
  <c r="K20" i="6"/>
  <c r="M20" i="6" s="1"/>
  <c r="I20" i="6" s="1"/>
  <c r="K24" i="6"/>
  <c r="M24" i="6" s="1"/>
  <c r="I24" i="6" s="1"/>
  <c r="K26" i="6"/>
  <c r="M26" i="6" s="1"/>
  <c r="I26" i="6" s="1"/>
  <c r="K19" i="6"/>
  <c r="S6" i="1" s="1"/>
  <c r="K21" i="6"/>
  <c r="M21" i="6" s="1"/>
  <c r="I21" i="6" s="1"/>
  <c r="K22" i="6"/>
  <c r="M22" i="6" s="1"/>
  <c r="I22" i="6" s="1"/>
  <c r="K25" i="6"/>
  <c r="M25" i="6" s="1"/>
  <c r="I25" i="6" s="1"/>
  <c r="K23" i="6"/>
  <c r="M23" i="6" s="1"/>
  <c r="I23" i="6" s="1"/>
  <c r="E31" i="6"/>
  <c r="I5" i="6" s="1"/>
  <c r="E57" i="40"/>
  <c r="E62" i="39"/>
  <c r="E66" i="39" s="1"/>
  <c r="D12" i="6"/>
  <c r="D16" i="6" s="1"/>
  <c r="D22" i="43"/>
  <c r="AC6" i="3"/>
  <c r="E6" i="3" s="1"/>
  <c r="M109" i="43"/>
  <c r="M102" i="43"/>
  <c r="M106" i="43"/>
  <c r="M103" i="43"/>
  <c r="M104" i="43"/>
  <c r="M107" i="43"/>
  <c r="M105" i="43"/>
  <c r="G105" i="43"/>
  <c r="G102" i="43"/>
  <c r="G107" i="43"/>
  <c r="G104" i="43"/>
  <c r="G106" i="43"/>
  <c r="G103" i="43"/>
  <c r="G109" i="43"/>
  <c r="I109" i="43"/>
  <c r="I104" i="43"/>
  <c r="I107" i="43"/>
  <c r="I105" i="43"/>
  <c r="I102" i="43"/>
  <c r="I106" i="43"/>
  <c r="I103" i="43"/>
  <c r="L109" i="43"/>
  <c r="L106" i="43"/>
  <c r="L107" i="43"/>
  <c r="L103" i="43"/>
  <c r="L102" i="43"/>
  <c r="L105" i="43"/>
  <c r="L104" i="43"/>
  <c r="C104" i="43"/>
  <c r="C107" i="43"/>
  <c r="C103" i="43"/>
  <c r="C106" i="43"/>
  <c r="C105" i="43"/>
  <c r="C102" i="43"/>
  <c r="C109" i="43"/>
  <c r="N105" i="43"/>
  <c r="N104" i="43"/>
  <c r="N109" i="43"/>
  <c r="N102" i="43"/>
  <c r="N103" i="43"/>
  <c r="N106" i="43"/>
  <c r="N107" i="43"/>
  <c r="K102" i="43"/>
  <c r="K105" i="43"/>
  <c r="K109" i="43"/>
  <c r="K103" i="43"/>
  <c r="K107" i="43"/>
  <c r="K104" i="43"/>
  <c r="K106" i="43"/>
  <c r="C47" i="68"/>
  <c r="D45" i="68" s="1"/>
  <c r="E102" i="43"/>
  <c r="E106" i="43"/>
  <c r="E103" i="43"/>
  <c r="E104" i="43"/>
  <c r="E107" i="43"/>
  <c r="E105" i="43"/>
  <c r="E109" i="43"/>
  <c r="H102" i="43"/>
  <c r="H103" i="43"/>
  <c r="H104" i="43"/>
  <c r="H109" i="43"/>
  <c r="H107" i="43"/>
  <c r="H106" i="43"/>
  <c r="H105" i="43"/>
  <c r="J104" i="43"/>
  <c r="J105" i="43"/>
  <c r="J107" i="43"/>
  <c r="J102" i="43"/>
  <c r="J109" i="43"/>
  <c r="J103" i="43"/>
  <c r="J106" i="43"/>
  <c r="B115" i="43"/>
  <c r="D117" i="43"/>
  <c r="E117" i="43" s="1"/>
  <c r="F117" i="43" s="1"/>
  <c r="G117" i="43" s="1"/>
  <c r="H117" i="43" s="1"/>
  <c r="D118" i="43"/>
  <c r="E118" i="43" s="1"/>
  <c r="F118" i="43" s="1"/>
  <c r="B116" i="43"/>
  <c r="C116" i="43" s="1"/>
  <c r="I117" i="43"/>
  <c r="J117" i="43" s="1"/>
  <c r="K117" i="43" s="1"/>
  <c r="L117" i="43" s="1"/>
  <c r="M117" i="43" s="1"/>
  <c r="B117" i="43"/>
  <c r="C117" i="43" s="1"/>
  <c r="D115" i="43"/>
  <c r="E115" i="43" s="1"/>
  <c r="F115" i="43" s="1"/>
  <c r="G115" i="43" s="1"/>
  <c r="H115" i="43" s="1"/>
  <c r="I115" i="43"/>
  <c r="J115" i="43" s="1"/>
  <c r="K115" i="43" s="1"/>
  <c r="L115" i="43" s="1"/>
  <c r="M115" i="43" s="1"/>
  <c r="I118" i="43"/>
  <c r="J118" i="43" s="1"/>
  <c r="K118" i="43" s="1"/>
  <c r="L118" i="43" s="1"/>
  <c r="M118" i="43" s="1"/>
  <c r="D116" i="43"/>
  <c r="E116" i="43" s="1"/>
  <c r="F116" i="43" s="1"/>
  <c r="G116" i="43" s="1"/>
  <c r="H116" i="43" s="1"/>
  <c r="G118" i="43"/>
  <c r="H118" i="43" s="1"/>
  <c r="B118" i="43"/>
  <c r="C118" i="43" s="1"/>
  <c r="I116" i="43"/>
  <c r="J116" i="43" s="1"/>
  <c r="K116" i="43" s="1"/>
  <c r="L116" i="43" s="1"/>
  <c r="M116" i="43" s="1"/>
  <c r="D109" i="43"/>
  <c r="D105" i="43"/>
  <c r="D106" i="43"/>
  <c r="D102" i="43"/>
  <c r="D103" i="43"/>
  <c r="D104" i="43"/>
  <c r="D107" i="43"/>
  <c r="F102" i="43"/>
  <c r="F105" i="43"/>
  <c r="F109" i="43"/>
  <c r="F104" i="43"/>
  <c r="F107" i="43"/>
  <c r="F106" i="43"/>
  <c r="F103" i="43"/>
  <c r="B4" i="52"/>
  <c r="B43" i="72" s="1"/>
  <c r="A10" i="51"/>
  <c r="B9" i="72" s="1"/>
  <c r="C20" i="11"/>
  <c r="C28" i="11" s="1"/>
  <c r="C27" i="11" s="1"/>
  <c r="O16" i="1"/>
  <c r="D10" i="68"/>
  <c r="D20" i="12"/>
  <c r="C20" i="12" s="1"/>
  <c r="C18" i="12" s="1"/>
  <c r="D10" i="69"/>
  <c r="D10" i="11"/>
  <c r="C10" i="11" s="1"/>
  <c r="D6" i="6"/>
  <c r="A7" i="51"/>
  <c r="B7" i="72" s="1"/>
  <c r="P8" i="1"/>
  <c r="P16" i="1" s="1"/>
  <c r="C11" i="12" s="1"/>
  <c r="L16" i="1"/>
  <c r="N16" i="1"/>
  <c r="C34" i="11"/>
  <c r="F10" i="39"/>
  <c r="S10" i="39" s="1"/>
  <c r="J10" i="40"/>
  <c r="AC10" i="40" s="1"/>
  <c r="J10" i="39"/>
  <c r="AC10" i="39" s="1"/>
  <c r="H10" i="40"/>
  <c r="AB10" i="40" s="1"/>
  <c r="W10" i="39"/>
  <c r="AA10" i="40"/>
  <c r="S10" i="40"/>
  <c r="B38" i="72"/>
  <c r="D20" i="53"/>
  <c r="B40" i="72" s="1"/>
  <c r="C8" i="74"/>
  <c r="D8" i="74"/>
  <c r="F46" i="36"/>
  <c r="H59" i="34"/>
  <c r="G48" i="35"/>
  <c r="C49" i="33"/>
  <c r="B2" i="33" s="1"/>
  <c r="B3" i="33" s="1"/>
  <c r="C48" i="33"/>
  <c r="E58" i="21"/>
  <c r="F58" i="21" s="1"/>
  <c r="G58" i="21" s="1"/>
  <c r="H58" i="21" s="1"/>
  <c r="I58" i="21" s="1"/>
  <c r="J58" i="21" s="1"/>
  <c r="K58" i="21" s="1"/>
  <c r="L58" i="21" s="1"/>
  <c r="M58" i="21" s="1"/>
  <c r="N58" i="21" s="1"/>
  <c r="O58" i="21" s="1"/>
  <c r="H7" i="21"/>
  <c r="J7" i="21"/>
  <c r="H52" i="37"/>
  <c r="U10" i="39"/>
  <c r="AB10" i="39"/>
  <c r="AA10" i="39"/>
  <c r="D70" i="39"/>
  <c r="E68" i="39"/>
  <c r="N63" i="40"/>
  <c r="M65" i="40"/>
  <c r="E53" i="33"/>
  <c r="F53" i="33" s="1"/>
  <c r="E52" i="33"/>
  <c r="F52" i="33" s="1"/>
  <c r="P23" i="43"/>
  <c r="B71" i="39" s="1"/>
  <c r="C6" i="71"/>
  <c r="C5" i="71" s="1"/>
  <c r="D5" i="71" s="1"/>
  <c r="D7" i="71"/>
  <c r="P25" i="43"/>
  <c r="C49" i="67"/>
  <c r="C49" i="15"/>
  <c r="C38" i="68"/>
  <c r="C35" i="68"/>
  <c r="B40" i="1"/>
  <c r="C18" i="67"/>
  <c r="C15" i="67"/>
  <c r="M11" i="15"/>
  <c r="J10" i="15" s="1"/>
  <c r="J5" i="15" s="1"/>
  <c r="F11" i="67"/>
  <c r="F11" i="15"/>
  <c r="M11" i="67"/>
  <c r="J10" i="67" s="1"/>
  <c r="J5" i="67" s="1"/>
  <c r="Q73" i="67"/>
  <c r="Q60" i="67"/>
  <c r="B2" i="70"/>
  <c r="B3" i="70" s="1"/>
  <c r="P28" i="43"/>
  <c r="M28" i="43"/>
  <c r="N28" i="43"/>
  <c r="O28" i="43"/>
  <c r="Q60" i="15"/>
  <c r="Q73" i="15"/>
  <c r="Q74" i="15"/>
  <c r="Q61" i="15"/>
  <c r="Q61" i="67"/>
  <c r="Q74" i="67"/>
  <c r="AB25" i="39" l="1"/>
  <c r="W21" i="39"/>
  <c r="AC21" i="39"/>
  <c r="AC25" i="39"/>
  <c r="U15" i="39"/>
  <c r="AB15" i="39"/>
  <c r="W15" i="39"/>
  <c r="AC15" i="39"/>
  <c r="AA11" i="39"/>
  <c r="S11" i="39"/>
  <c r="H81" i="39"/>
  <c r="I81" i="39" s="1"/>
  <c r="J81" i="39" s="1"/>
  <c r="K81" i="39" s="1"/>
  <c r="L81" i="39" s="1"/>
  <c r="M81" i="39" s="1"/>
  <c r="J11" i="39"/>
  <c r="C19" i="15"/>
  <c r="C20" i="15" s="1"/>
  <c r="C26" i="15" s="1"/>
  <c r="AQ6" i="1"/>
  <c r="AR6" i="1"/>
  <c r="S16" i="1"/>
  <c r="T6" i="1"/>
  <c r="T16" i="1" s="1"/>
  <c r="S23" i="6"/>
  <c r="H23" i="6"/>
  <c r="R23" i="6" s="1"/>
  <c r="H22" i="6"/>
  <c r="R22" i="6" s="1"/>
  <c r="S22" i="6"/>
  <c r="M19" i="6"/>
  <c r="K27" i="6"/>
  <c r="S24" i="6"/>
  <c r="H24" i="6"/>
  <c r="R24" i="6" s="1"/>
  <c r="S25" i="6"/>
  <c r="H25" i="6"/>
  <c r="R25" i="6" s="1"/>
  <c r="S21" i="6"/>
  <c r="H21" i="6"/>
  <c r="R21" i="6" s="1"/>
  <c r="S26" i="6"/>
  <c r="H26" i="6"/>
  <c r="R26" i="6" s="1"/>
  <c r="S20" i="6"/>
  <c r="H20" i="6"/>
  <c r="R20" i="6" s="1"/>
  <c r="C115" i="43"/>
  <c r="D113" i="43" s="1"/>
  <c r="S5" i="43"/>
  <c r="S3" i="43"/>
  <c r="S6" i="43"/>
  <c r="S7" i="43"/>
  <c r="S2" i="43"/>
  <c r="C23" i="43"/>
  <c r="C21" i="43" s="1"/>
  <c r="S4" i="43"/>
  <c r="C10" i="69"/>
  <c r="C8" i="69" s="1"/>
  <c r="C5" i="69" s="1"/>
  <c r="D19" i="69"/>
  <c r="C10" i="68"/>
  <c r="D19" i="68"/>
  <c r="W10" i="40"/>
  <c r="F50" i="69"/>
  <c r="F50" i="11"/>
  <c r="F50" i="68"/>
  <c r="C35" i="11"/>
  <c r="C38" i="11"/>
  <c r="C15" i="12"/>
  <c r="C12" i="12"/>
  <c r="U10" i="40"/>
  <c r="O63" i="40"/>
  <c r="O65" i="40" s="1"/>
  <c r="N65" i="40"/>
  <c r="J7" i="40" s="1"/>
  <c r="F68" i="39"/>
  <c r="E70" i="39"/>
  <c r="I52" i="37"/>
  <c r="AC7" i="21"/>
  <c r="V48" i="21" s="1"/>
  <c r="I48" i="21" s="1"/>
  <c r="W7" i="21"/>
  <c r="H48" i="35"/>
  <c r="F7" i="21"/>
  <c r="AB7" i="21"/>
  <c r="T48" i="21" s="1"/>
  <c r="G48" i="21" s="1"/>
  <c r="U7" i="21"/>
  <c r="I59" i="34"/>
  <c r="G46" i="36"/>
  <c r="H46" i="36" s="1"/>
  <c r="I46" i="36" s="1"/>
  <c r="J46" i="36" s="1"/>
  <c r="K46" i="36" s="1"/>
  <c r="L46" i="36" s="1"/>
  <c r="M46" i="36" s="1"/>
  <c r="N46" i="36" s="1"/>
  <c r="O46" i="36" s="1"/>
  <c r="J7" i="36"/>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W11" i="39" l="1"/>
  <c r="AC11" i="39"/>
  <c r="C33" i="11"/>
  <c r="C39" i="11" s="1"/>
  <c r="I19" i="6"/>
  <c r="M27" i="6"/>
  <c r="C19" i="68"/>
  <c r="D37" i="68"/>
  <c r="C37" i="68" s="1"/>
  <c r="C33" i="68" s="1"/>
  <c r="C39" i="68" s="1"/>
  <c r="C43" i="68" s="1"/>
  <c r="C19" i="69"/>
  <c r="C24" i="69" s="1"/>
  <c r="D37" i="69"/>
  <c r="C37" i="69" s="1"/>
  <c r="C33" i="69" s="1"/>
  <c r="C39" i="69" s="1"/>
  <c r="C46" i="69" s="1"/>
  <c r="C45" i="69" s="1"/>
  <c r="C20" i="69"/>
  <c r="C28" i="69" s="1"/>
  <c r="C27" i="69" s="1"/>
  <c r="C16" i="12"/>
  <c r="C21" i="12" s="1"/>
  <c r="C22" i="12" s="1"/>
  <c r="AC7" i="36"/>
  <c r="V36" i="36" s="1"/>
  <c r="I36" i="36" s="1"/>
  <c r="W7" i="36"/>
  <c r="G52" i="21"/>
  <c r="H52" i="21" s="1"/>
  <c r="G53" i="21"/>
  <c r="H53" i="21" s="1"/>
  <c r="F7" i="36"/>
  <c r="J59" i="34"/>
  <c r="AA7" i="21"/>
  <c r="R48" i="21" s="1"/>
  <c r="S7" i="21"/>
  <c r="H7" i="40"/>
  <c r="I52" i="21"/>
  <c r="J52" i="21" s="1"/>
  <c r="J52" i="37"/>
  <c r="G68" i="39"/>
  <c r="F70" i="39"/>
  <c r="I48" i="35"/>
  <c r="J48" i="35" s="1"/>
  <c r="K48" i="35" s="1"/>
  <c r="L48" i="35" s="1"/>
  <c r="M48" i="35" s="1"/>
  <c r="N48" i="35" s="1"/>
  <c r="O48" i="35" s="1"/>
  <c r="H7" i="35"/>
  <c r="W7" i="40"/>
  <c r="AC7" i="40"/>
  <c r="V42" i="40" s="1"/>
  <c r="I42" i="40" s="1"/>
  <c r="H7" i="36"/>
  <c r="F7"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3" i="69"/>
  <c r="C26" i="69"/>
  <c r="D22" i="69" s="1"/>
  <c r="C23" i="15"/>
  <c r="C29" i="15" s="1"/>
  <c r="C38" i="67"/>
  <c r="C32" i="67"/>
  <c r="C42" i="69" l="1"/>
  <c r="C25" i="69"/>
  <c r="C22" i="69" s="1"/>
  <c r="C31" i="69" s="1"/>
  <c r="C24" i="68"/>
  <c r="C46" i="11"/>
  <c r="C45" i="11" s="1"/>
  <c r="C43" i="11"/>
  <c r="C41" i="11" s="1"/>
  <c r="C43" i="69"/>
  <c r="C42" i="68"/>
  <c r="C41" i="68" s="1"/>
  <c r="C46" i="68"/>
  <c r="C45" i="68" s="1"/>
  <c r="H19" i="6"/>
  <c r="S19" i="6"/>
  <c r="S27" i="6" s="1"/>
  <c r="I27" i="6"/>
  <c r="D124" i="9"/>
  <c r="H110" i="9"/>
  <c r="D18" i="53" s="1"/>
  <c r="B35" i="72" s="1"/>
  <c r="D16" i="53"/>
  <c r="S7" i="40"/>
  <c r="AA7" i="40"/>
  <c r="R42" i="40" s="1"/>
  <c r="I46" i="40"/>
  <c r="J46" i="40" s="1"/>
  <c r="U7" i="35"/>
  <c r="AB7" i="35"/>
  <c r="T38" i="35" s="1"/>
  <c r="G38" i="35" s="1"/>
  <c r="H68" i="39"/>
  <c r="G70" i="39"/>
  <c r="K52" i="37"/>
  <c r="L52" i="37" s="1"/>
  <c r="M52" i="37" s="1"/>
  <c r="N52" i="37" s="1"/>
  <c r="O52" i="37" s="1"/>
  <c r="F7" i="37"/>
  <c r="H7" i="37"/>
  <c r="S7" i="36"/>
  <c r="AA7" i="36"/>
  <c r="R36" i="36" s="1"/>
  <c r="I40" i="36"/>
  <c r="J40" i="36" s="1"/>
  <c r="U7" i="36"/>
  <c r="AB7" i="36"/>
  <c r="T36" i="36" s="1"/>
  <c r="G36" i="36" s="1"/>
  <c r="F7" i="35"/>
  <c r="J7" i="37"/>
  <c r="U7" i="40"/>
  <c r="AB7" i="40"/>
  <c r="T42" i="40" s="1"/>
  <c r="G42" i="40" s="1"/>
  <c r="E48" i="21"/>
  <c r="R49" i="21"/>
  <c r="K59" i="34"/>
  <c r="J7" i="35"/>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C41" i="69" l="1"/>
  <c r="C49" i="69" s="1"/>
  <c r="C51" i="69" s="1"/>
  <c r="C52" i="69" s="1"/>
  <c r="B2" i="69" s="1"/>
  <c r="B3" i="69" s="1"/>
  <c r="C49" i="11"/>
  <c r="C51" i="11" s="1"/>
  <c r="C52" i="11" s="1"/>
  <c r="C49" i="68"/>
  <c r="C51" i="68" s="1"/>
  <c r="H27" i="6"/>
  <c r="R19" i="6"/>
  <c r="B34" i="72"/>
  <c r="D17" i="53"/>
  <c r="B36" i="72" s="1"/>
  <c r="D10" i="52"/>
  <c r="D125" i="9"/>
  <c r="D11" i="52" s="1"/>
  <c r="H14" i="74"/>
  <c r="B7" i="74" s="1"/>
  <c r="L59" i="34"/>
  <c r="E52" i="21"/>
  <c r="F52" i="21" s="1"/>
  <c r="E53" i="21"/>
  <c r="F53" i="21" s="1"/>
  <c r="I53" i="21"/>
  <c r="J53" i="21" s="1"/>
  <c r="AA7" i="35"/>
  <c r="R38" i="35" s="1"/>
  <c r="S7" i="35"/>
  <c r="AA7" i="37"/>
  <c r="R42" i="37" s="1"/>
  <c r="S7" i="37"/>
  <c r="G42" i="35"/>
  <c r="H42" i="35" s="1"/>
  <c r="E42" i="40"/>
  <c r="R43" i="40"/>
  <c r="W7" i="35"/>
  <c r="AC7" i="35"/>
  <c r="V38" i="35" s="1"/>
  <c r="I38" i="35" s="1"/>
  <c r="C48" i="21"/>
  <c r="C49" i="21"/>
  <c r="B2" i="21" s="1"/>
  <c r="G46" i="40"/>
  <c r="H46" i="40" s="1"/>
  <c r="G47" i="40"/>
  <c r="H47" i="40" s="1"/>
  <c r="W7" i="37"/>
  <c r="AC7" i="37"/>
  <c r="V42" i="37" s="1"/>
  <c r="I42" i="37" s="1"/>
  <c r="G40" i="36"/>
  <c r="H40" i="36" s="1"/>
  <c r="G41" i="36"/>
  <c r="H41" i="36" s="1"/>
  <c r="E36" i="36"/>
  <c r="R37" i="36"/>
  <c r="AB7" i="37"/>
  <c r="T42" i="37" s="1"/>
  <c r="G42" i="37" s="1"/>
  <c r="U7" i="37"/>
  <c r="I68" i="39"/>
  <c r="H70" i="39"/>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B3" i="21" l="1"/>
  <c r="C6" i="12" s="1"/>
  <c r="C8" i="12"/>
  <c r="C4" i="12" s="1"/>
  <c r="B2" i="11"/>
  <c r="B3" i="11" s="1"/>
  <c r="C56" i="11"/>
  <c r="C57" i="11" s="1"/>
  <c r="R27" i="6"/>
  <c r="R6" i="1"/>
  <c r="R16" i="1" s="1"/>
  <c r="D7" i="74"/>
  <c r="C7" i="74"/>
  <c r="J68" i="39"/>
  <c r="I70" i="39"/>
  <c r="G46" i="37"/>
  <c r="H46" i="37" s="1"/>
  <c r="G47" i="37"/>
  <c r="H47" i="37" s="1"/>
  <c r="E40" i="36"/>
  <c r="F40" i="36" s="1"/>
  <c r="E41" i="36"/>
  <c r="F41" i="36" s="1"/>
  <c r="I41" i="36"/>
  <c r="J41" i="36" s="1"/>
  <c r="E47" i="40"/>
  <c r="F47" i="40" s="1"/>
  <c r="E46" i="40"/>
  <c r="F46" i="40" s="1"/>
  <c r="I47" i="40"/>
  <c r="J47" i="40" s="1"/>
  <c r="E42" i="37"/>
  <c r="R43" i="37"/>
  <c r="E38" i="35"/>
  <c r="R39" i="35"/>
  <c r="C36" i="36"/>
  <c r="C37" i="36"/>
  <c r="B2" i="36" s="1"/>
  <c r="B3" i="36" s="1"/>
  <c r="I47" i="37"/>
  <c r="J47" i="37" s="1"/>
  <c r="I46" i="37"/>
  <c r="J46" i="37" s="1"/>
  <c r="I42" i="35"/>
  <c r="J42" i="35" s="1"/>
  <c r="I43" i="35"/>
  <c r="J43" i="35" s="1"/>
  <c r="C43" i="40"/>
  <c r="C42" i="40"/>
  <c r="G43" i="35"/>
  <c r="H43" i="35" s="1"/>
  <c r="M59" i="34"/>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15"/>
  <c r="L51" i="67"/>
  <c r="C23" i="12" l="1"/>
  <c r="C31" i="12"/>
  <c r="N59" i="34"/>
  <c r="C38" i="35"/>
  <c r="C39" i="35"/>
  <c r="B2" i="35" s="1"/>
  <c r="B3" i="35" s="1"/>
  <c r="C42" i="37"/>
  <c r="C43" i="37"/>
  <c r="B2" i="37" s="1"/>
  <c r="B3" i="37"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E43" i="35"/>
  <c r="F43" i="35" s="1"/>
  <c r="E42" i="35"/>
  <c r="F42" i="35" s="1"/>
  <c r="E47" i="37"/>
  <c r="F47" i="37" s="1"/>
  <c r="E46" i="37"/>
  <c r="F46" i="37" s="1"/>
  <c r="K68" i="39"/>
  <c r="J70" i="39"/>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C30" i="12" l="1"/>
  <c r="C28" i="12" s="1"/>
  <c r="C27" i="12"/>
  <c r="C25" i="12" s="1"/>
  <c r="L68" i="39"/>
  <c r="K70" i="39"/>
  <c r="O59" i="34"/>
  <c r="F7" i="34" s="1"/>
  <c r="J7" i="34"/>
  <c r="H7" i="34"/>
  <c r="Q57" i="15"/>
  <c r="Q62" i="15" s="1"/>
  <c r="Q66" i="15"/>
  <c r="Q75" i="15" s="1"/>
  <c r="Q66" i="67"/>
  <c r="Q75" i="67" s="1"/>
  <c r="Q57" i="67"/>
  <c r="Q62" i="67" s="1"/>
  <c r="B2" i="67"/>
  <c r="B3" i="67"/>
  <c r="C32" i="12" l="1"/>
  <c r="B2" i="12" s="1"/>
  <c r="W7" i="34"/>
  <c r="AC7" i="34"/>
  <c r="V49" i="34" s="1"/>
  <c r="I49" i="34" s="1"/>
  <c r="U7" i="34"/>
  <c r="AB7" i="34"/>
  <c r="T49" i="34" s="1"/>
  <c r="G49" i="34" s="1"/>
  <c r="S7" i="34"/>
  <c r="AA7" i="34"/>
  <c r="R49" i="34" s="1"/>
  <c r="M68" i="39"/>
  <c r="L70" i="39"/>
  <c r="D19" i="9"/>
  <c r="D102" i="9" l="1"/>
  <c r="D21" i="9"/>
  <c r="B3" i="12"/>
  <c r="I53" i="34"/>
  <c r="J53" i="34" s="1"/>
  <c r="R50" i="34"/>
  <c r="E49" i="34"/>
  <c r="G53" i="34"/>
  <c r="H53" i="34" s="1"/>
  <c r="G54" i="34"/>
  <c r="H54" i="34" s="1"/>
  <c r="N68" i="39"/>
  <c r="M70" i="39"/>
  <c r="D20" i="9"/>
  <c r="D103" i="9" l="1"/>
  <c r="E54" i="34"/>
  <c r="F54" i="34" s="1"/>
  <c r="E53" i="34"/>
  <c r="F53" i="34" s="1"/>
  <c r="I54" i="34"/>
  <c r="J54" i="34" s="1"/>
  <c r="O68" i="39"/>
  <c r="O70" i="39" s="1"/>
  <c r="N70" i="39"/>
  <c r="C50" i="34"/>
  <c r="B2" i="34" s="1"/>
  <c r="B3" i="34" s="1"/>
  <c r="C49" i="34"/>
  <c r="F7" i="39" l="1"/>
  <c r="H7" i="39"/>
  <c r="J7" i="39"/>
  <c r="AC7" i="39" l="1"/>
  <c r="V47" i="39" s="1"/>
  <c r="I47" i="39" s="1"/>
  <c r="W7" i="39"/>
  <c r="AB7" i="39"/>
  <c r="T47" i="39" s="1"/>
  <c r="G47" i="39" s="1"/>
  <c r="U7" i="39"/>
  <c r="S7" i="39"/>
  <c r="AA7" i="39"/>
  <c r="R47" i="39" s="1"/>
  <c r="G51" i="39" l="1"/>
  <c r="H51" i="39" s="1"/>
  <c r="G52" i="39"/>
  <c r="H52" i="39" s="1"/>
  <c r="I51" i="39"/>
  <c r="J51" i="39" s="1"/>
  <c r="E47" i="39"/>
  <c r="I52" i="39" s="1"/>
  <c r="J52" i="39" s="1"/>
  <c r="R48" i="39"/>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s="1"/>
  <c r="C5" i="68" s="1"/>
  <c r="C23" i="68" l="1"/>
  <c r="C20" i="68"/>
  <c r="C28" i="68" l="1"/>
  <c r="C27" i="68" s="1"/>
  <c r="C25" i="68"/>
  <c r="C22" i="68" s="1"/>
  <c r="C31" i="68" l="1"/>
  <c r="C52" i="68" s="1"/>
  <c r="B2" i="68" s="1"/>
  <c r="C19" i="9"/>
  <c r="D22" i="9" l="1"/>
  <c r="C21" i="9"/>
  <c r="C102" i="9"/>
  <c r="G19" i="9"/>
  <c r="B3" i="68"/>
  <c r="C57" i="68"/>
  <c r="C56" i="68" s="1"/>
  <c r="C20" i="9"/>
  <c r="G20" i="9" l="1"/>
  <c r="C103" i="9"/>
  <c r="C32" i="9"/>
  <c r="G21" i="9"/>
  <c r="C35" i="9" l="1"/>
  <c r="F118" i="9" s="1"/>
  <c r="H118" i="9"/>
  <c r="C34" i="9"/>
  <c r="D118" i="9" s="1"/>
  <c r="I118" i="9" l="1"/>
  <c r="H101" i="9"/>
  <c r="H4" i="52"/>
  <c r="H119" i="9"/>
  <c r="H5" i="52" s="1"/>
  <c r="D14" i="74"/>
  <c r="C104" i="9"/>
  <c r="D119" i="9"/>
  <c r="D5" i="52" s="1"/>
  <c r="B49" i="72" s="1"/>
  <c r="D4" i="52"/>
  <c r="B47" i="72" s="1"/>
  <c r="F4" i="52"/>
  <c r="B51" i="72" s="1"/>
  <c r="G118" i="9"/>
  <c r="G4" i="52" s="1"/>
  <c r="B52" i="72" s="1"/>
  <c r="F119" i="9"/>
  <c r="F5" i="52" s="1"/>
  <c r="B53" i="72" s="1"/>
  <c r="H109" i="9" l="1"/>
  <c r="H107" i="9"/>
  <c r="D5" i="53"/>
  <c r="D45" i="9"/>
  <c r="M48" i="9"/>
  <c r="E14" i="74"/>
  <c r="F14" i="74"/>
  <c r="B5" i="74"/>
  <c r="C105" i="9"/>
  <c r="H102" i="9"/>
  <c r="D7" i="53" s="1"/>
  <c r="B21" i="72" s="1"/>
  <c r="I4" i="52"/>
  <c r="E118" i="9"/>
  <c r="E4" i="52" s="1"/>
  <c r="B48" i="72" s="1"/>
  <c r="D55" i="9" l="1"/>
  <c r="M53" i="9" s="1"/>
  <c r="C93" i="9"/>
  <c r="C86" i="9" s="1"/>
  <c r="C78" i="9"/>
  <c r="C73" i="9" s="1"/>
  <c r="D53" i="9"/>
  <c r="C64" i="9"/>
  <c r="C63" i="9" s="1"/>
  <c r="C67" i="9" s="1"/>
  <c r="C68" i="9" s="1"/>
  <c r="D54" i="9" s="1"/>
  <c r="D52" i="9"/>
  <c r="C85" i="9"/>
  <c r="C72" i="9"/>
  <c r="C5" i="74"/>
  <c r="D5" i="74"/>
  <c r="M49" i="9"/>
  <c r="D13" i="53"/>
  <c r="H108" i="9"/>
  <c r="D15" i="53" s="1"/>
  <c r="B31" i="72" s="1"/>
  <c r="D122" i="9"/>
  <c r="D6" i="53"/>
  <c r="B22" i="72" s="1"/>
  <c r="B20" i="72"/>
  <c r="C95" i="9" l="1"/>
  <c r="C79" i="9"/>
  <c r="G14" i="74"/>
  <c r="B6" i="74" s="1"/>
  <c r="D8" i="52"/>
  <c r="D123" i="9"/>
  <c r="D9" i="52" s="1"/>
  <c r="B30" i="72"/>
  <c r="D14" i="53"/>
  <c r="B32" i="72" s="1"/>
  <c r="C80" i="9"/>
  <c r="E80" i="9" s="1"/>
  <c r="E81" i="9" s="1"/>
  <c r="L65" i="9"/>
  <c r="M65" i="9" s="1"/>
  <c r="L64" i="9"/>
  <c r="M64" i="9" s="1"/>
  <c r="L67" i="9"/>
  <c r="M67" i="9" s="1"/>
  <c r="L68" i="9"/>
  <c r="M68" i="9" s="1"/>
  <c r="L66" i="9"/>
  <c r="M66" i="9" s="1"/>
  <c r="L63" i="9"/>
  <c r="M63" i="9" s="1"/>
  <c r="C96" i="9"/>
  <c r="E96" i="9" s="1"/>
  <c r="E97" i="9" s="1"/>
  <c r="M69" i="9" l="1"/>
  <c r="N69" i="9" s="1"/>
  <c r="C97" i="9"/>
  <c r="D58" i="9" s="1"/>
  <c r="D56" i="9" s="1"/>
  <c r="M54" i="9" s="1"/>
  <c r="N57" i="9" s="1"/>
  <c r="N59" i="9" s="1"/>
  <c r="N61" i="9" s="1"/>
  <c r="C81" i="9"/>
  <c r="C6" i="74"/>
  <c r="D6" i="74"/>
  <c r="N58" i="9" l="1"/>
  <c r="N60"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<sst xmlns="http://schemas.openxmlformats.org/spreadsheetml/2006/main" count="11104" uniqueCount="3824">
  <si>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</si>
  <si>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</si>
  <si>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</si>
  <si>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</si>
  <si>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</si>
  <si>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</si>
  <si>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</si>
  <si>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</si>
  <si>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</si>
  <si>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</si>
  <si>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</si>
  <si>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</si>
  <si>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</si>
  <si>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</si>
  <si>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</si>
  <si>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</si>
  <si>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</si>
  <si>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</si>
  <si>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</si>
  <si>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</si>
  <si>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</si>
  <si>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</si>
  <si>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</si>
  <si>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</si>
  <si>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</si>
  <si>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</si>
  <si>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</si>
  <si>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</si>
  <si>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</si>
  <si>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</si>
  <si>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</si>
  <si>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</si>
  <si>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</si>
  <si>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</si>
  <si>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</si>
  <si>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</si>
  <si>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</si>
  <si>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</si>
  <si>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</si>
  <si>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</si>
  <si>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</si>
  <si>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</si>
  <si>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</si>
  <si>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</si>
  <si>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</si>
  <si>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</si>
  <si>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</si>
  <si>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</si>
  <si>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</si>
  <si>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</si>
  <si>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</si>
  <si>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</si>
  <si>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</si>
  <si>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</si>
  <si>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</si>
  <si>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</si>
  <si>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</si>
  <si>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</si>
  <si>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</si>
  <si>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</si>
  <si>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</si>
  <si>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</si>
  <si>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</si>
  <si>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</si>
  <si>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</si>
  <si>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</si>
  <si>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</si>
  <si>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</si>
  <si>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</si>
  <si>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</si>
  <si>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</si>
  <si>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</si>
  <si>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</si>
  <si>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</si>
  <si>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</si>
  <si>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</si>
  <si>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</si>
  <si>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</si>
  <si>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</si>
  <si>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</si>
  <si>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</si>
  <si>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</si>
  <si>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</si>
  <si>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</si>
  <si>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</si>
  <si>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</si>
  <si>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</si>
  <si>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</si>
  <si>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</si>
  <si>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</si>
  <si>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</si>
  <si>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</si>
  <si>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</si>
  <si>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</si>
  <si>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</si>
  <si>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</si>
  <si>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</si>
  <si>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</si>
  <si>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</si>
  <si>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</si>
  <si>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</si>
  <si>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</si>
  <si>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</si>
  <si>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</si>
  <si>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</si>
  <si>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</si>
  <si>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</si>
  <si>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</si>
  <si>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</si>
  <si>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</si>
  <si>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</si>
  <si>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</si>
  <si>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</si>
  <si>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</si>
  <si>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</si>
  <si>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</si>
  <si>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</si>
  <si>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</si>
  <si>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</si>
  <si>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</si>
  <si>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</si>
  <si>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</si>
  <si>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</si>
  <si>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</si>
  <si>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</si>
  <si>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</si>
  <si>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</si>
  <si>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</si>
  <si>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</si>
  <si>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</si>
  <si>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</si>
  <si>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</si>
  <si>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</si>
  <si>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</si>
  <si>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</si>
  <si>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</si>
  <si>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</si>
  <si>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</si>
  <si>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</si>
  <si>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</si>
  <si>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</si>
  <si>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</si>
  <si>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</si>
  <si>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</si>
  <si>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</si>
  <si>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</si>
  <si>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</si>
  <si>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</si>
  <si>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</si>
  <si>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</si>
  <si>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</si>
  <si>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</si>
  <si>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</si>
  <si>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</si>
  <si>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</si>
  <si>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</si>
  <si>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</si>
  <si>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</si>
  <si>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</si>
  <si>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</si>
  <si>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</si>
  <si>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</si>
  <si>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</si>
  <si>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</si>
  <si>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</si>
  <si>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</si>
  <si>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</si>
  <si>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</si>
  <si>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</si>
  <si>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</si>
  <si>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</si>
  <si>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</si>
  <si>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</si>
  <si>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</si>
  <si>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</si>
  <si>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</si>
  <si>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</si>
  <si>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</si>
  <si>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</si>
  <si>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</si>
  <si>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</si>
  <si>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</si>
  <si>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</si>
  <si>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</si>
  <si>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</si>
  <si>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</si>
  <si>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</si>
  <si>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</si>
  <si>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</si>
  <si>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</si>
  <si>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</si>
  <si>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</si>
  <si>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</si>
  <si>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</si>
  <si>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</si>
  <si>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</si>
  <si>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</si>
  <si>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</si>
  <si>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</si>
  <si>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</si>
  <si>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</si>
  <si>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</si>
  <si>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</si>
  <si>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</si>
  <si>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</si>
  <si>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</si>
  <si>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</si>
  <si>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</si>
  <si>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</si>
  <si>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</si>
  <si>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</si>
  <si>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</si>
  <si>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</si>
  <si>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</si>
  <si>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</si>
  <si>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</si>
  <si>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</si>
  <si>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</si>
  <si>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</si>
  <si>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</si>
  <si>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</si>
  <si>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</si>
  <si>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</si>
  <si>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</si>
  <si>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</si>
  <si>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</si>
  <si>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</si>
  <si>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</si>
  <si>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</si>
  <si>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</si>
  <si>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</si>
  <si>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</si>
  <si>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</si>
  <si>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</si>
  <si>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</si>
  <si>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</si>
  <si>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</si>
  <si>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</si>
  <si>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</si>
  <si>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</si>
  <si>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</si>
  <si>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</si>
  <si>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</si>
  <si>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</si>
  <si>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</si>
  <si>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</si>
  <si>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</si>
  <si>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</si>
  <si>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</si>
  <si>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</si>
  <si>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</si>
  <si>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</si>
  <si>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</si>
  <si>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</si>
  <si>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</si>
  <si>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</si>
  <si>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</si>
  <si>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</si>
  <si>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</si>
  <si>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</si>
  <si>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</si>
  <si>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</si>
  <si>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</si>
  <si>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</si>
  <si>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</si>
  <si>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</si>
  <si>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</si>
  <si>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</si>
  <si>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</si>
  <si>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</si>
  <si>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</si>
  <si>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</si>
  <si>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</si>
  <si>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</si>
  <si>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</si>
  <si>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</si>
  <si>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</si>
  <si>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</si>
  <si>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</si>
  <si>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</si>
  <si>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</si>
  <si>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</si>
  <si>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</si>
  <si>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</si>
  <si>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</si>
  <si>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</si>
  <si>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</si>
  <si>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</si>
  <si>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</si>
  <si>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</si>
  <si>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</si>
  <si>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</si>
  <si>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</si>
  <si>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</si>
  <si>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</si>
  <si>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</si>
  <si>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</si>
  <si>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</si>
  <si>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</si>
  <si>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</si>
  <si>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</si>
  <si>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</si>
  <si>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</si>
  <si>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</si>
  <si>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</si>
  <si>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</si>
  <si>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</si>
  <si>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</si>
  <si>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</si>
  <si>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</si>
  <si>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</si>
  <si>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</si>
  <si>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</si>
  <si>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</si>
  <si>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</si>
  <si>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</si>
  <si>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</si>
  <si>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</si>
  <si>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</si>
  <si>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</si>
  <si>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</si>
  <si>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</si>
  <si>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</si>
  <si>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</si>
  <si>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</si>
  <si>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</si>
  <si>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</si>
  <si>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</si>
  <si>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</si>
  <si>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</si>
  <si>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</si>
  <si>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</si>
  <si>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</si>
  <si>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</si>
  <si>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</si>
  <si>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</si>
  <si>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</si>
  <si>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</si>
  <si>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</si>
  <si>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</si>
  <si>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</si>
  <si>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</si>
  <si>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</si>
  <si>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</si>
  <si>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</si>
  <si>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</si>
  <si>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</si>
  <si>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</si>
  <si>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</si>
  <si>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</si>
  <si>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</si>
  <si>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</si>
  <si>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</si>
  <si>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</si>
  <si>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</si>
  <si>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</si>
  <si>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</si>
  <si>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</si>
  <si>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</si>
  <si>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</si>
  <si>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</si>
  <si>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</si>
  <si>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</si>
  <si>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</si>
  <si>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</si>
  <si>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</si>
  <si>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</si>
  <si>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</si>
  <si>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</si>
  <si>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</si>
  <si>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</si>
  <si>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</si>
  <si>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</si>
  <si>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</si>
  <si>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</si>
  <si>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</si>
  <si>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</si>
  <si>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</si>
  <si>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</si>
  <si>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</si>
  <si>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</si>
  <si>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</si>
  <si>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</si>
  <si>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</si>
  <si>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</si>
  <si>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</si>
  <si>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</si>
  <si>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</si>
  <si>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</si>
  <si>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</si>
  <si>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</si>
  <si>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</si>
  <si>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</si>
  <si>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</si>
  <si>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</si>
  <si>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</si>
  <si>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</si>
  <si>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</si>
  <si>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</si>
  <si>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</si>
  <si>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</si>
  <si>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</si>
  <si>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</si>
  <si>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</si>
  <si>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</si>
  <si>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</si>
  <si>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</si>
  <si>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</si>
  <si>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</si>
  <si>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</si>
  <si>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</si>
  <si>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</si>
  <si>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</si>
  <si>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</si>
  <si>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</si>
  <si>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</si>
  <si>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</si>
  <si>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</si>
  <si>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</si>
  <si>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</si>
  <si>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</si>
  <si>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</si>
  <si>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</si>
  <si>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</si>
  <si>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</si>
  <si>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</si>
  <si>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</si>
  <si>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</si>
  <si>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</si>
  <si>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</si>
  <si>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</si>
  <si>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</si>
  <si>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</si>
  <si>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</si>
  <si>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</si>
  <si>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</si>
  <si>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</si>
  <si>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</si>
  <si>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</si>
  <si>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</si>
  <si>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</si>
  <si>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</si>
  <si>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</si>
  <si>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</si>
  <si>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</si>
  <si>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</si>
  <si>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</si>
  <si>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</si>
  <si>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</si>
  <si>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</si>
  <si>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</si>
  <si>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</si>
  <si>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</si>
  <si>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</si>
  <si>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</si>
  <si>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</si>
  <si>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</si>
  <si>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</si>
  <si>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</si>
  <si>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</si>
  <si>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</si>
  <si>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</si>
  <si>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</si>
  <si>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</si>
  <si>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</si>
  <si>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</si>
  <si>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</si>
  <si>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</si>
  <si>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</si>
  <si>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</si>
  <si>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</si>
  <si>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</si>
  <si>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</si>
  <si>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</si>
  <si>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</si>
  <si>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</si>
  <si>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</si>
  <si>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</si>
  <si>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</si>
  <si>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</si>
  <si>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</si>
  <si>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</si>
  <si>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</si>
  <si>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</si>
  <si>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</si>
  <si>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</si>
  <si>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</si>
  <si>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</si>
  <si>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</si>
  <si>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</si>
  <si>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</si>
  <si>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</si>
  <si>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</si>
  <si>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</si>
  <si>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</si>
  <si>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</si>
  <si>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</si>
  <si>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</si>
  <si>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</si>
  <si>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</si>
  <si>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</si>
  <si>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</si>
  <si>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</si>
  <si>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</si>
  <si>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</si>
  <si>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</si>
  <si>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</si>
  <si>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</si>
  <si>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</si>
  <si>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</si>
  <si>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</si>
  <si>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</si>
  <si>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</si>
  <si>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</si>
  <si>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</si>
  <si>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</si>
  <si>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</si>
  <si>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</si>
  <si>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</si>
  <si>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</si>
  <si>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</si>
  <si>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</si>
  <si>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</si>
  <si>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</si>
  <si>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</si>
  <si>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</si>
  <si>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</si>
  <si>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</si>
  <si>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</si>
  <si>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</si>
  <si>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</si>
  <si>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</si>
  <si>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</si>
  <si>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</si>
  <si>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</si>
  <si>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</si>
  <si>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</si>
  <si>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</si>
  <si>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</si>
  <si>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</si>
  <si>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</si>
  <si>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</si>
  <si>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</si>
  <si>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</si>
  <si>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</si>
  <si>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</si>
  <si>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</si>
  <si>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</si>
  <si>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</si>
  <si>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</si>
  <si>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</si>
  <si>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</si>
  <si>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</si>
  <si>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</si>
  <si>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</si>
  <si>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</si>
  <si>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</si>
  <si>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</si>
  <si>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</si>
  <si>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</si>
  <si>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</si>
  <si>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</si>
  <si>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</si>
  <si>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</si>
  <si>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</si>
  <si>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</si>
  <si>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</si>
  <si>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</si>
  <si>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</si>
  <si>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</si>
  <si>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</si>
  <si>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</si>
  <si>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</si>
  <si>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</si>
  <si>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</si>
  <si>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</si>
  <si>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</si>
  <si>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</si>
  <si>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</si>
  <si>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</si>
  <si>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</si>
  <si>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</si>
  <si>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</si>
  <si>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</si>
  <si>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</si>
  <si>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</si>
  <si>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</si>
  <si>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</si>
  <si>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</si>
  <si>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</si>
  <si>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</si>
  <si>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</si>
  <si>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</si>
  <si>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</si>
  <si>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</si>
  <si>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</si>
  <si>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</si>
  <si>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</si>
  <si>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</si>
  <si>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</si>
  <si>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</si>
  <si>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</si>
  <si>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</si>
  <si>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</si>
  <si>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</si>
  <si>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</si>
  <si>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</si>
  <si>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</si>
  <si>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</si>
  <si>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</si>
  <si>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</si>
  <si>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</si>
  <si>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</si>
  <si>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</si>
  <si>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</si>
  <si>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</si>
  <si>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</si>
  <si>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</si>
  <si>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</si>
  <si>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</si>
  <si>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</si>
  <si>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</si>
  <si>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</si>
  <si>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</si>
  <si>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</si>
  <si>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</si>
  <si>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</si>
  <si>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</si>
  <si>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</si>
  <si>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</si>
  <si>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</si>
  <si>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</si>
  <si>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</si>
  <si>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</si>
  <si>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</si>
  <si>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</si>
  <si>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</si>
  <si>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</si>
  <si>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</si>
  <si>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</si>
  <si>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</si>
  <si>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</si>
  <si>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</si>
  <si>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</si>
  <si>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</si>
  <si>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</si>
  <si>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</si>
  <si>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</si>
  <si>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</si>
  <si>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</si>
  <si>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</si>
  <si>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</si>
  <si>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</si>
  <si>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</si>
  <si>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</si>
  <si>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</si>
  <si>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</si>
  <si>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</si>
  <si>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</si>
  <si>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</si>
  <si>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</si>
  <si>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</si>
  <si>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</si>
  <si>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</si>
  <si>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</si>
  <si>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</si>
  <si>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</si>
  <si>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</si>
  <si>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</si>
  <si>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</si>
  <si>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</si>
  <si>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</si>
  <si>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</si>
  <si>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</si>
  <si>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</si>
  <si>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</si>
  <si>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</si>
  <si>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</si>
  <si>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</si>
  <si>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</si>
  <si>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</si>
  <si>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</si>
  <si>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</si>
  <si>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</si>
  <si>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</si>
  <si>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</si>
  <si>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</si>
  <si>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</si>
  <si>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</si>
  <si>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</si>
  <si>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</si>
  <si>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</si>
  <si>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</si>
  <si>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</si>
  <si>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</si>
  <si>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</si>
  <si>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</si>
  <si>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</si>
  <si>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</si>
  <si>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</si>
  <si>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</si>
  <si>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</si>
  <si>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</si>
  <si>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</si>
  <si>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</si>
  <si>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</si>
  <si>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</si>
  <si>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</si>
  <si>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</si>
  <si>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</si>
  <si>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</si>
  <si>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</si>
  <si>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</si>
  <si>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</si>
  <si>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</si>
  <si>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</si>
  <si>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</si>
  <si>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</si>
  <si>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</si>
  <si>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</si>
  <si>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</si>
  <si>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</si>
  <si>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</si>
  <si>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</si>
  <si>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</si>
  <si>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</si>
  <si>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</si>
  <si>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</si>
  <si>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</si>
  <si>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</si>
  <si>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</si>
  <si>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</si>
  <si>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</si>
  <si>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</si>
  <si>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</si>
  <si>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</si>
  <si>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</si>
  <si>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</si>
  <si>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</si>
  <si>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</si>
  <si>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</si>
  <si>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</si>
  <si>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</si>
  <si>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</si>
  <si>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</si>
  <si>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</si>
  <si>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</si>
  <si>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</si>
  <si>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</si>
  <si>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</si>
  <si>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</si>
  <si>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</si>
  <si>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</si>
  <si>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</si>
  <si>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</si>
  <si>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</si>
  <si>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</si>
  <si>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</si>
  <si>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</si>
  <si>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</si>
  <si>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</si>
  <si>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</si>
  <si>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</si>
  <si>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</si>
  <si>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</si>
  <si>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</si>
  <si>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</si>
  <si>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</si>
  <si>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</si>
  <si>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</si>
  <si>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</si>
  <si>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</si>
  <si>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</si>
  <si>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</si>
  <si>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</si>
  <si>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</si>
  <si>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</si>
  <si>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</si>
  <si>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</si>
  <si>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</si>
  <si>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</si>
  <si>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</si>
  <si>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</si>
  <si>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</si>
  <si>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</si>
  <si>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</si>
  <si>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</si>
  <si>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</si>
  <si>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</si>
  <si>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</si>
  <si>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</si>
  <si>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</si>
  <si>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</si>
  <si>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</si>
  <si>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</si>
  <si>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</si>
  <si>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</si>
  <si>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</si>
  <si>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</si>
  <si>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</si>
  <si>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</si>
  <si>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</si>
  <si>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</si>
  <si>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</si>
  <si>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</si>
  <si>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</si>
  <si>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</si>
  <si>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</si>
  <si>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</si>
  <si>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</si>
  <si>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</si>
  <si>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</si>
  <si>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</si>
  <si>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</si>
  <si>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</si>
  <si>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</si>
  <si>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</si>
  <si>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</si>
  <si>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</si>
  <si>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</si>
  <si>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</si>
  <si>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</si>
  <si>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</si>
  <si>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</si>
  <si>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</si>
  <si>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</si>
  <si>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</si>
  <si>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</si>
  <si>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</si>
  <si>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</si>
  <si>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</si>
  <si>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</si>
  <si>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</si>
  <si>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</si>
  <si>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</si>
  <si>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</si>
  <si>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</si>
  <si>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</si>
  <si>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</si>
  <si>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</si>
  <si>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</si>
  <si>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</si>
  <si>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</si>
  <si>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</si>
  <si>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</si>
  <si>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</si>
  <si>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</si>
  <si>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</si>
  <si>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</si>
  <si>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</si>
  <si>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</si>
  <si>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</si>
  <si>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</si>
  <si>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</si>
  <si>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</si>
  <si>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</si>
  <si>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</si>
  <si>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</si>
  <si>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</si>
  <si>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</si>
  <si>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</si>
  <si>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</si>
  <si>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</si>
  <si>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</si>
  <si>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</si>
  <si>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</si>
  <si>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</si>
  <si>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</si>
  <si>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</si>
  <si>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</si>
  <si>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</si>
  <si>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</si>
  <si>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</si>
  <si>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</si>
  <si>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</si>
  <si>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</si>
  <si>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</si>
  <si>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</si>
  <si>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</si>
  <si>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</si>
  <si>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</si>
  <si>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</si>
  <si>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</si>
  <si>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</si>
  <si>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</si>
  <si>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</si>
  <si>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</si>
  <si>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</si>
  <si>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</si>
  <si>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</si>
  <si>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</si>
  <si>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</si>
  <si>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</si>
  <si>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</si>
  <si>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</si>
  <si>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</si>
  <si>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</si>
  <si>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</si>
  <si>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</si>
  <si>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</si>
  <si>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</si>
  <si>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</si>
  <si>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</si>
  <si>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</si>
  <si>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</si>
  <si>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</si>
  <si>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</si>
  <si>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</si>
  <si>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</si>
  <si>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</si>
  <si>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</si>
  <si>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</si>
  <si>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</si>
  <si>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</si>
  <si>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</si>
  <si>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</si>
  <si>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</si>
  <si>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</si>
  <si>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</si>
  <si>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</si>
  <si>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</si>
  <si>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</si>
  <si>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</si>
  <si>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</si>
  <si>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</si>
  <si>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</si>
  <si>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</si>
  <si>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</si>
  <si>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</si>
  <si>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</si>
  <si>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</si>
  <si>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</si>
  <si>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</si>
  <si>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</si>
  <si>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</si>
  <si>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</si>
  <si>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</si>
  <si>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</si>
  <si>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</si>
  <si>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</si>
  <si>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</si>
  <si>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</si>
  <si>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</si>
  <si>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</si>
  <si>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</si>
  <si>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</si>
  <si>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</si>
  <si>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</si>
  <si>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</si>
  <si>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</si>
  <si>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</si>
  <si>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</si>
  <si>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</si>
  <si>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</si>
  <si>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</si>
  <si>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</si>
  <si>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</si>
  <si>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</si>
  <si>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</si>
  <si>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</si>
  <si>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</si>
  <si>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</si>
  <si>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</si>
  <si>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</si>
  <si>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</si>
  <si>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</si>
  <si>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</si>
  <si>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</si>
  <si>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</si>
  <si>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</si>
  <si>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</si>
  <si>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</si>
  <si>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</si>
  <si>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</si>
  <si>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</si>
  <si>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</si>
  <si>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</si>
  <si>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</si>
  <si>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</si>
  <si>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</si>
  <si>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</si>
  <si>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</si>
  <si>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</si>
  <si>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</si>
  <si>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</si>
  <si>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</si>
  <si>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</si>
  <si>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</si>
  <si>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</si>
  <si>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</si>
  <si>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</si>
  <si>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</si>
  <si>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</si>
  <si>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</si>
  <si>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</si>
  <si>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</si>
  <si>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</si>
  <si>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</si>
  <si>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</si>
  <si>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</si>
  <si>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</si>
  <si>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</si>
  <si>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</si>
  <si>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</si>
  <si>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</si>
  <si>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</si>
  <si>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</si>
  <si>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</si>
  <si>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</si>
  <si>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</si>
  <si>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</si>
  <si>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</si>
  <si>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</si>
  <si>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</si>
  <si>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</si>
  <si>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</si>
  <si>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</si>
  <si>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</si>
  <si>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</si>
  <si>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</si>
  <si>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</si>
  <si>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</si>
  <si>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</si>
  <si>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</si>
  <si>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</si>
  <si>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</si>
  <si>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</si>
  <si>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</si>
  <si>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</si>
  <si>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</si>
  <si>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</si>
  <si>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</si>
  <si>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</si>
  <si>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</si>
  <si>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</si>
  <si>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</si>
  <si>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</si>
  <si>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</si>
  <si>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</si>
  <si>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</si>
  <si>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</si>
  <si>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</si>
  <si>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</si>
  <si>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</si>
  <si>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</si>
  <si>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</si>
  <si>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</si>
  <si>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</si>
  <si>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</si>
  <si>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</si>
  <si>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</si>
  <si>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</si>
  <si>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</si>
  <si>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</si>
  <si>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</si>
  <si>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</si>
  <si>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</si>
  <si>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</si>
  <si>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</si>
  <si>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</si>
  <si>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</si>
  <si>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</si>
  <si>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</si>
  <si>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</si>
  <si>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</si>
  <si>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</si>
  <si>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</si>
  <si>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</si>
  <si>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</si>
  <si>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</si>
  <si>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</si>
  <si>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</si>
  <si>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</si>
  <si>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</si>
  <si>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</si>
  <si>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</si>
  <si>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</si>
  <si>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</si>
  <si>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</si>
  <si>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</si>
  <si>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</si>
  <si>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</si>
  <si>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</si>
  <si>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</si>
  <si>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</si>
  <si>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</si>
  <si>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</si>
  <si>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</si>
  <si>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</si>
  <si>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</si>
  <si>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</si>
  <si>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</si>
  <si>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</si>
  <si>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</si>
  <si>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</si>
  <si>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</si>
  <si>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</si>
  <si>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</si>
  <si>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</si>
  <si>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</si>
  <si>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</si>
  <si>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</si>
  <si>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</si>
  <si>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</si>
  <si>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</si>
  <si>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</si>
  <si>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</si>
  <si>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</si>
  <si>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</si>
  <si>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</si>
  <si>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</si>
  <si>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</si>
  <si>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</si>
  <si>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</si>
  <si>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</si>
  <si>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</si>
  <si>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</si>
  <si>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</si>
  <si>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</si>
  <si>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</si>
  <si>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</si>
  <si>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</si>
  <si>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</si>
  <si>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</si>
  <si>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</si>
  <si>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</si>
  <si>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</si>
  <si>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</si>
  <si>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</si>
  <si>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</si>
  <si>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</si>
  <si>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</si>
  <si>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</si>
  <si>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</si>
  <si>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</si>
  <si>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</si>
  <si>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</si>
  <si>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</si>
  <si>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</si>
  <si>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</si>
  <si>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</si>
  <si>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</si>
  <si>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</si>
  <si>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</si>
  <si>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</si>
  <si>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</si>
  <si>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</si>
  <si>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</si>
  <si>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</si>
  <si>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</si>
  <si>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</si>
  <si>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</si>
  <si>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</si>
  <si>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</si>
  <si>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</si>
  <si>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</si>
  <si>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</si>
  <si>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</si>
  <si>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</si>
  <si>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</si>
  <si>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</si>
  <si>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</si>
  <si>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</si>
  <si>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</si>
  <si>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</si>
  <si>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</si>
  <si>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</si>
  <si>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</si>
  <si>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</si>
  <si>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</si>
  <si>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</si>
  <si>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</si>
  <si>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</si>
  <si>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</si>
  <si>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</si>
  <si>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</si>
  <si>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</si>
  <si>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</si>
  <si>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</si>
  <si>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</si>
  <si>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</si>
  <si>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</si>
  <si>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</si>
  <si>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</si>
  <si>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</si>
  <si>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</si>
  <si>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</si>
  <si>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</si>
  <si>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</si>
  <si>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</si>
  <si>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</si>
  <si>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</si>
  <si>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</si>
  <si>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</si>
  <si>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</si>
  <si>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</si>
  <si>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</si>
  <si>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</si>
  <si>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</si>
  <si>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</si>
  <si>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</si>
  <si>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</si>
  <si>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</si>
  <si>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</si>
  <si>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</si>
  <si>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</si>
  <si>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</si>
  <si>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</si>
  <si>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</si>
  <si>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</si>
  <si>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</si>
  <si>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</si>
  <si>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</si>
  <si>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</si>
  <si>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</si>
  <si>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</si>
  <si>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</si>
  <si>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</si>
  <si>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</si>
  <si>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</si>
  <si>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</si>
  <si>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</si>
  <si>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</si>
  <si>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</si>
  <si>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</si>
  <si>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</si>
  <si>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</si>
  <si>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</si>
  <si>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</si>
  <si>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</si>
  <si>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</si>
  <si>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</si>
  <si>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</si>
  <si>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</si>
  <si>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</si>
  <si>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</si>
  <si>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</si>
  <si>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</si>
  <si>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</si>
  <si>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</si>
  <si>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</si>
  <si>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</si>
  <si>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</si>
  <si>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</si>
  <si>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</si>
  <si>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</si>
  <si>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</si>
  <si>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</si>
  <si>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</si>
  <si>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</si>
  <si>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</si>
  <si>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</si>
  <si>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</si>
  <si>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</si>
  <si>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</si>
  <si>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</si>
  <si>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</si>
  <si>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</si>
  <si>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</si>
  <si>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</si>
  <si>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</si>
  <si>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</si>
  <si>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</si>
  <si>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</si>
  <si>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</si>
  <si>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</si>
  <si>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</si>
  <si>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</si>
  <si>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</si>
  <si>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</si>
  <si>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</si>
  <si>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</si>
  <si>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</si>
  <si>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</si>
  <si>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</si>
  <si>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</si>
  <si>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</si>
  <si>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</si>
  <si>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</si>
  <si>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</si>
  <si>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</si>
  <si>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</si>
  <si>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</si>
  <si>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</si>
  <si>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</si>
  <si>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</si>
  <si>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</si>
  <si>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</si>
  <si>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</si>
  <si>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</si>
  <si>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</si>
  <si>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</si>
  <si>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</si>
  <si>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</si>
  <si>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</si>
  <si>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</si>
  <si>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</si>
  <si>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</si>
  <si>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</si>
  <si>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</si>
  <si>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</si>
  <si>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</si>
  <si>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</si>
  <si>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</si>
  <si>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</si>
  <si>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</si>
  <si>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</si>
  <si>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</si>
  <si>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</si>
  <si>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</si>
  <si>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</si>
  <si>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</si>
  <si>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</si>
  <si>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</si>
  <si>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</si>
  <si>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</si>
  <si>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</si>
  <si>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</si>
  <si>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</si>
  <si>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</si>
  <si>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</si>
  <si>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</si>
  <si>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</si>
  <si>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</si>
  <si>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</si>
  <si>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</si>
  <si>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</si>
  <si>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</si>
  <si>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</si>
  <si>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</si>
  <si>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</si>
  <si>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</si>
  <si>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</si>
  <si>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</si>
  <si>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</si>
  <si>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</si>
  <si>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</si>
  <si>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</si>
  <si>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</si>
  <si>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</si>
  <si>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</si>
  <si>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</si>
  <si>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</si>
  <si>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</si>
  <si>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</si>
  <si>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</si>
  <si>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</si>
  <si>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</si>
  <si>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</si>
  <si>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</si>
  <si>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</si>
  <si>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</si>
  <si>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</si>
  <si>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</si>
  <si>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</si>
  <si>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</si>
  <si>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</si>
  <si>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</si>
  <si>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</si>
  <si>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</si>
  <si>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</si>
  <si>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</si>
  <si>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</si>
  <si>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</si>
  <si>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</si>
  <si>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</si>
  <si>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</si>
  <si>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</si>
  <si>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</si>
  <si>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</si>
  <si>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</si>
  <si>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</si>
  <si>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</si>
  <si>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</si>
  <si>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</si>
  <si>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</si>
  <si>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</si>
  <si>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</si>
  <si>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</si>
  <si>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</si>
  <si>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</si>
  <si>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</si>
  <si>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</si>
  <si>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</si>
  <si>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</si>
  <si>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</si>
  <si>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</si>
  <si>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</si>
  <si>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</si>
  <si>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</si>
  <si>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</si>
  <si>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</si>
  <si>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</si>
  <si>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</si>
  <si>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</si>
  <si>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</si>
  <si>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</si>
  <si>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</si>
  <si>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</si>
  <si>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</si>
  <si>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</si>
  <si>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</si>
  <si>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</si>
  <si>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</si>
  <si>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</si>
  <si>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</si>
  <si>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</si>
  <si>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</si>
  <si>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</si>
  <si>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</si>
  <si>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</si>
  <si>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</si>
  <si>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</si>
  <si>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</si>
  <si>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</si>
  <si>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</si>
  <si>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</si>
  <si>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</si>
  <si>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</si>
  <si>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</si>
  <si>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</si>
  <si>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</si>
  <si>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</si>
  <si>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</si>
  <si>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</si>
  <si>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</si>
  <si>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</si>
  <si>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</si>
  <si>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</si>
  <si>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</si>
  <si>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</si>
  <si>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</si>
  <si>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</si>
  <si>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</si>
  <si>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</si>
  <si>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</si>
  <si>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</si>
  <si>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</si>
  <si>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</si>
  <si>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</si>
  <si>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</si>
  <si>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</si>
  <si>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</si>
  <si>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</si>
  <si>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</si>
  <si>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</si>
  <si>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</si>
  <si>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</si>
  <si>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</si>
  <si>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</si>
  <si>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</si>
  <si>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</si>
  <si>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</si>
  <si>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</si>
  <si>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</si>
  <si>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</si>
  <si>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</si>
  <si>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</si>
  <si>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</si>
  <si>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</si>
  <si>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</si>
  <si>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</si>
  <si>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</si>
  <si>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</si>
  <si>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</si>
  <si>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</si>
  <si>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</si>
  <si>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</si>
  <si>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</si>
  <si>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</si>
  <si>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</si>
  <si>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</si>
  <si>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</si>
  <si>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</si>
  <si>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</si>
  <si>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</si>
  <si>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</si>
  <si>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</si>
  <si>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</si>
  <si>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</si>
  <si>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</si>
  <si>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</si>
  <si>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</si>
  <si>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</si>
  <si>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</si>
  <si>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</si>
  <si>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</si>
  <si>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</si>
  <si>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</si>
  <si>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</si>
  <si>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</si>
  <si>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</si>
  <si>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</si>
  <si>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</si>
  <si>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</si>
  <si>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</si>
  <si>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</si>
  <si>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</si>
  <si>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</si>
  <si>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</si>
  <si>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</si>
  <si>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</si>
  <si>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</si>
  <si>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</si>
  <si>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</si>
  <si>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</si>
  <si>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</si>
  <si>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</si>
  <si>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</si>
  <si>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</si>
  <si>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</si>
  <si>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</si>
  <si>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</si>
  <si>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</si>
  <si>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</si>
  <si>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</si>
  <si>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</si>
  <si>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</si>
  <si>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</si>
  <si>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</si>
  <si>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</si>
  <si>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</si>
  <si>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</si>
  <si>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</si>
  <si>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</si>
  <si>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</si>
  <si>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</si>
  <si>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</si>
  <si>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</si>
  <si>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</si>
  <si>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</si>
  <si>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</si>
  <si>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</si>
  <si>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</si>
  <si>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</si>
  <si>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</si>
  <si>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</si>
  <si>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</si>
  <si>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</si>
  <si>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</si>
  <si>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</si>
  <si>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</si>
  <si>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</si>
  <si>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</si>
  <si>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</si>
  <si>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</si>
  <si>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</si>
  <si>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</si>
  <si>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</si>
  <si>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</si>
  <si>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</si>
  <si>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</si>
  <si>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</si>
  <si>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</si>
  <si>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</si>
  <si>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</si>
  <si>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</si>
  <si>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</si>
  <si>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</si>
  <si>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</si>
  <si>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</si>
  <si>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</si>
  <si>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</si>
  <si>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</si>
  <si>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</si>
  <si>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</si>
  <si>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</si>
  <si>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</si>
  <si>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</si>
  <si>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</si>
  <si>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</si>
  <si>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</si>
  <si>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</si>
  <si>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</si>
  <si>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</si>
  <si>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</si>
  <si>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</si>
  <si>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</si>
  <si>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</si>
  <si>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</si>
  <si>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</si>
  <si>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</si>
  <si>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</si>
  <si>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</si>
  <si>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</si>
  <si>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</si>
  <si>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</si>
  <si>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</si>
  <si>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</si>
  <si>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</si>
  <si>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</si>
  <si>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</si>
  <si>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</si>
  <si>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</si>
  <si>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</si>
  <si>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</si>
  <si>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</si>
  <si>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</si>
  <si>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</si>
  <si>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</si>
  <si>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</si>
  <si>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</si>
  <si>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</si>
  <si>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</si>
  <si>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</si>
  <si>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</si>
  <si>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</si>
  <si>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</si>
  <si>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</si>
  <si>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</si>
  <si>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</si>
  <si>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</si>
  <si>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</si>
  <si>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</si>
  <si>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</si>
  <si>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</si>
  <si>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</si>
  <si>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</si>
  <si>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</si>
  <si>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</si>
  <si>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</si>
  <si>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</si>
  <si>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</si>
  <si>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</si>
  <si>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</si>
  <si>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</si>
  <si>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</si>
  <si>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</si>
  <si>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</si>
  <si>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</si>
  <si>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</si>
  <si>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</si>
  <si>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</si>
  <si>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</si>
  <si>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</si>
  <si>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</si>
  <si>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</si>
  <si>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</si>
  <si>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</si>
  <si>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</si>
  <si>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</si>
  <si>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</si>
  <si>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</si>
  <si>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</si>
  <si>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</si>
  <si>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</si>
  <si>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</si>
  <si>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</si>
  <si>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</si>
  <si>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</si>
  <si>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</si>
  <si>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</si>
  <si>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</si>
  <si>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</si>
  <si>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</si>
  <si>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</si>
  <si>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</si>
  <si>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</si>
  <si>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</si>
  <si>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</si>
  <si>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</si>
  <si>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</si>
  <si>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</si>
  <si>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</si>
  <si>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</si>
  <si>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</si>
  <si>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</si>
  <si>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</si>
  <si>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</si>
  <si>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</si>
  <si>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</si>
  <si>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</si>
  <si>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</si>
  <si>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</si>
  <si>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</si>
  <si>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</si>
  <si>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</si>
  <si>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</si>
  <si>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</si>
  <si>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</si>
  <si>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</si>
  <si>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</si>
  <si>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</si>
  <si>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</si>
  <si>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</si>
  <si>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</si>
  <si>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</si>
  <si>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</si>
  <si>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</si>
  <si>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</si>
  <si>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</si>
  <si>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</si>
  <si>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</si>
  <si>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</si>
  <si>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</si>
  <si>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</si>
  <si>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</si>
  <si>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</si>
  <si>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</si>
  <si>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</si>
  <si>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</si>
  <si>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</si>
  <si>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</si>
  <si>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</si>
  <si>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</si>
  <si>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</si>
  <si>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</si>
  <si>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</si>
  <si>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</si>
  <si>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</si>
  <si>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</si>
  <si>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</si>
  <si>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</si>
  <si>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</si>
  <si>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</si>
  <si>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</si>
  <si>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</si>
  <si>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</si>
  <si>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</si>
  <si>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</si>
  <si>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</si>
  <si>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</si>
  <si>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</si>
  <si>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</si>
  <si>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</si>
  <si>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</si>
  <si>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</si>
  <si>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</si>
  <si>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</si>
  <si>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</si>
  <si>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</si>
  <si>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</si>
  <si>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</si>
  <si>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</si>
  <si>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</si>
  <si>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</si>
  <si>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</si>
  <si>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</si>
  <si>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</si>
  <si>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</si>
  <si>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</si>
  <si>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</si>
  <si>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</si>
  <si>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</si>
  <si>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</si>
  <si>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</si>
  <si>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</si>
  <si>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</si>
  <si>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</si>
  <si>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</si>
  <si>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</si>
  <si>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</si>
  <si>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</si>
  <si>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</si>
  <si>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</si>
  <si>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</si>
  <si>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</si>
  <si>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</si>
  <si>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</si>
  <si>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</si>
  <si>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</si>
  <si>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</si>
  <si>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</si>
  <si>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</si>
  <si>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</si>
  <si>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</si>
  <si>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</si>
  <si>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</si>
  <si>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</si>
  <si>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</si>
  <si>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</si>
  <si>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</si>
  <si>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</si>
  <si>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</si>
  <si>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</si>
  <si>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</si>
  <si>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</si>
  <si>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</si>
  <si>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</si>
  <si>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</si>
  <si>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</si>
  <si>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</si>
  <si>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</si>
  <si>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</si>
  <si>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</si>
  <si>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</si>
  <si>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</si>
  <si>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</si>
  <si>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</si>
  <si>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</si>
  <si>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</si>
  <si>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</si>
  <si>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</si>
  <si>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</si>
  <si>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</si>
  <si>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</si>
  <si>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</si>
  <si>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</si>
  <si>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</si>
  <si>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</si>
  <si>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</si>
  <si>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</si>
  <si>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</si>
  <si>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</si>
  <si>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</si>
  <si>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</si>
  <si>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</si>
  <si>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</si>
  <si>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</si>
  <si>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</si>
  <si>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</si>
  <si>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</si>
  <si>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</si>
  <si>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</si>
  <si>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</si>
  <si>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</si>
  <si>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</si>
  <si>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</si>
  <si>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</si>
  <si>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</si>
  <si>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</si>
  <si>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</si>
  <si>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</si>
  <si>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</si>
  <si>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</si>
  <si>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</si>
  <si>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</si>
  <si>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</si>
  <si>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</si>
  <si>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</si>
  <si>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</si>
  <si>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</si>
  <si>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</si>
  <si>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</si>
  <si>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</si>
  <si>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</si>
  <si>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</si>
  <si>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</si>
  <si>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</si>
  <si>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</si>
  <si>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</si>
  <si>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</si>
  <si>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</si>
  <si>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</si>
  <si>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</si>
  <si>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</si>
  <si>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</si>
  <si>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</si>
  <si>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</si>
  <si>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</si>
  <si>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</si>
  <si>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</si>
  <si>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</si>
  <si>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</si>
  <si>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</si>
  <si>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</si>
  <si>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</si>
  <si>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</si>
  <si>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</si>
  <si>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</si>
  <si>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</si>
  <si>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</si>
  <si>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</si>
  <si>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</si>
  <si>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</si>
  <si>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</si>
  <si>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</si>
  <si>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</si>
  <si>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</si>
  <si>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</si>
  <si>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</si>
  <si>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</si>
  <si>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</si>
  <si>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</si>
  <si>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</si>
  <si>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</si>
  <si>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</si>
  <si>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</si>
  <si>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</si>
  <si>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</si>
  <si>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</si>
  <si>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</si>
  <si>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</si>
  <si>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</si>
  <si>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</si>
  <si>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</si>
  <si>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</si>
  <si>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</si>
  <si>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</si>
  <si>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</si>
  <si>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</si>
  <si>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</si>
  <si>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</si>
  <si>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</si>
  <si>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</si>
  <si>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</si>
  <si>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</si>
  <si>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</si>
  <si>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</si>
  <si>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</si>
  <si>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</si>
  <si>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</si>
  <si>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</si>
  <si>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</si>
  <si>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</si>
  <si>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</si>
  <si>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</si>
  <si>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</si>
  <si>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</si>
  <si>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</si>
  <si>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</si>
  <si>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</si>
  <si>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</si>
  <si>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</si>
  <si>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</si>
  <si>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</si>
  <si>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</si>
  <si>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</si>
  <si>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</si>
  <si>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</si>
  <si>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</si>
  <si>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</si>
  <si>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</si>
  <si>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</si>
  <si>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</si>
  <si>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</si>
  <si>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</si>
  <si>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</si>
  <si>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</si>
  <si>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</si>
  <si>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</si>
  <si>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</si>
  <si>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</si>
  <si>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</si>
  <si>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</si>
  <si>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</si>
  <si>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</si>
  <si>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</si>
  <si>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</si>
  <si>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</si>
  <si>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</si>
  <si>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</si>
  <si>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</si>
  <si>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</si>
  <si>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</si>
  <si>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</si>
  <si>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</si>
  <si>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</si>
  <si>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</si>
  <si>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</si>
  <si>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</si>
  <si>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</si>
  <si>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</si>
  <si>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</si>
  <si>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</si>
  <si>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</si>
  <si>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</si>
  <si>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</si>
  <si>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</si>
  <si>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</si>
  <si>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</si>
  <si>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</si>
  <si>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</si>
  <si>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</si>
  <si>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</si>
  <si>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</si>
  <si>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</si>
  <si>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</si>
  <si>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</si>
  <si>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</si>
  <si>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</si>
  <si>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</si>
  <si>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</si>
  <si>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</si>
  <si>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</si>
  <si>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</si>
  <si>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</si>
  <si>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</si>
  <si>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</si>
  <si>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</si>
  <si>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</si>
  <si>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</si>
  <si>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</si>
  <si>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</si>
  <si>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</si>
  <si>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</si>
  <si>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</si>
  <si>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</si>
  <si>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</si>
  <si>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</si>
  <si>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</si>
  <si>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</si>
  <si>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</si>
  <si>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</si>
  <si>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</si>
  <si>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</si>
  <si>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</si>
  <si>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</si>
  <si>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</si>
  <si>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</si>
  <si>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</si>
  <si>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</si>
  <si>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</si>
  <si>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</si>
  <si>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</si>
  <si>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</si>
  <si>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</si>
  <si>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</si>
  <si>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</si>
  <si>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</si>
  <si>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</si>
  <si>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</si>
  <si>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</si>
  <si>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</si>
  <si>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</si>
  <si>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</si>
  <si>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</si>
  <si>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</si>
  <si>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</si>
  <si>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</si>
  <si>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</si>
  <si>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</si>
  <si>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</si>
  <si>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</si>
  <si>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</si>
  <si>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</si>
  <si>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</si>
  <si>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</si>
  <si>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</si>
  <si>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</si>
  <si>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</si>
  <si>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</si>
  <si>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</si>
  <si>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</si>
  <si>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</si>
  <si>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</si>
  <si>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</si>
  <si>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</si>
  <si>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</si>
  <si>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</si>
  <si>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</si>
  <si>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</si>
  <si>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</si>
  <si>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</si>
  <si>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</si>
  <si>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</si>
  <si>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</si>
  <si>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</si>
  <si>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</si>
  <si>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</si>
  <si>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</si>
  <si>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</si>
  <si>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</si>
  <si>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</si>
  <si>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</si>
  <si>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</si>
  <si>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</si>
  <si>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</si>
  <si>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</si>
  <si>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</si>
  <si>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</si>
  <si>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</si>
  <si>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</si>
  <si>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</si>
  <si>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</si>
  <si>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</si>
  <si>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</si>
  <si>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</si>
  <si>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</si>
  <si>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</si>
  <si>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</si>
  <si>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</si>
  <si>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</si>
  <si>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</si>
  <si>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</si>
  <si>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</si>
  <si>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</si>
  <si>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</si>
  <si>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</si>
  <si>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</si>
  <si>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</si>
  <si>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</si>
  <si>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</si>
  <si>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</si>
  <si>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</si>
  <si>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</si>
  <si>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</si>
  <si>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</si>
  <si>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</si>
  <si>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</si>
  <si>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</si>
  <si>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</si>
  <si>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</si>
  <si>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</si>
  <si>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</si>
  <si>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</si>
  <si>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</si>
  <si>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</si>
  <si>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</si>
  <si>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</si>
  <si>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</si>
  <si>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</si>
  <si>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</si>
  <si>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</si>
  <si>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</si>
  <si>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</si>
  <si>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</si>
  <si>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</si>
  <si>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</si>
  <si>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</si>
  <si>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</si>
  <si>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</si>
  <si>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</si>
  <si>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</si>
  <si>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</si>
  <si>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</si>
  <si>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</si>
  <si>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</si>
  <si>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</si>
  <si>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</si>
  <si>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</si>
  <si>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</si>
  <si>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</si>
  <si>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</si>
  <si>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</si>
  <si>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</si>
  <si>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</si>
  <si>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</si>
  <si>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</si>
  <si>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</si>
  <si>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</si>
  <si>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</si>
  <si>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</si>
  <si>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</si>
  <si>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</si>
  <si>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</si>
  <si>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</si>
  <si>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</si>
  <si>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</si>
  <si>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</si>
  <si>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</si>
  <si>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</si>
  <si>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</si>
  <si>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</si>
  <si>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</si>
  <si>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</si>
  <si>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</si>
  <si>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</si>
  <si>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</si>
  <si>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</si>
  <si>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</si>
  <si>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</si>
  <si>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</si>
  <si>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</si>
  <si>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</si>
  <si>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</si>
  <si>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</si>
  <si>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</si>
  <si>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</si>
  <si>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</si>
  <si>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</si>
  <si>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</si>
  <si>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</si>
  <si>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</si>
  <si>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</si>
  <si>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</si>
  <si>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</si>
  <si>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</si>
  <si>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</si>
  <si>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</si>
  <si>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</si>
  <si>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</si>
  <si>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</si>
  <si>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</si>
  <si>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</si>
  <si>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</si>
  <si>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</si>
  <si>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</si>
  <si>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</si>
  <si>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</si>
  <si>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</si>
  <si>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</si>
  <si>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</si>
  <si>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</si>
  <si>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</si>
  <si>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</si>
  <si>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</si>
  <si>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</si>
  <si>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</si>
  <si>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</si>
  <si>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</si>
  <si>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</si>
  <si>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</si>
  <si>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</si>
  <si>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</si>
  <si>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</si>
  <si>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</si>
  <si>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</si>
  <si>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</si>
  <si>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</si>
  <si>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</si>
  <si>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</si>
  <si>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</si>
  <si>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</si>
  <si>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</si>
  <si>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</si>
  <si>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</si>
  <si>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</si>
  <si>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</si>
  <si>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</si>
  <si>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</si>
  <si>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</si>
  <si>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</si>
  <si>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</si>
  <si>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</si>
  <si>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</si>
  <si>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</si>
  <si>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</si>
  <si>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</si>
  <si>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</si>
  <si>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</si>
  <si>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</si>
  <si>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</si>
  <si>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</si>
  <si>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</si>
  <si>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</si>
  <si>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</si>
  <si>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</si>
  <si>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</si>
  <si>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</si>
  <si>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</si>
  <si>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</si>
  <si>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</si>
  <si>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</si>
  <si>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</si>
  <si>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</si>
  <si>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</si>
  <si>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</si>
  <si>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</si>
  <si>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</si>
  <si>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</si>
  <si>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</si>
  <si>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</si>
  <si>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</si>
  <si>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</si>
  <si>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</si>
  <si>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</si>
  <si>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</si>
  <si>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</si>
  <si>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</si>
  <si>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</si>
  <si>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</si>
  <si>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</si>
  <si>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</si>
  <si>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</si>
  <si>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</si>
  <si>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</si>
  <si>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</si>
  <si>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</si>
  <si>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</si>
  <si>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</si>
  <si>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</si>
  <si>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</si>
  <si>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</si>
  <si>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</si>
  <si>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</si>
  <si>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</si>
  <si>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</si>
  <si>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</si>
  <si>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</si>
  <si>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</si>
  <si>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</si>
  <si>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</si>
  <si>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</si>
  <si>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</si>
  <si>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</si>
  <si>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</si>
  <si>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</si>
  <si>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</si>
  <si>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</si>
  <si>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</si>
  <si>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</si>
  <si>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</si>
  <si>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</si>
  <si>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</si>
  <si>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</si>
  <si>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</si>
  <si>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</si>
  <si>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</si>
  <si>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</si>
  <si>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</si>
  <si>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</si>
  <si>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</si>
  <si>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</si>
  <si>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</si>
  <si>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</si>
  <si>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</si>
  <si>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</si>
  <si>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</si>
  <si>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</si>
  <si>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</si>
  <si>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</si>
  <si>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</si>
  <si>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</si>
  <si>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</si>
  <si>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</si>
  <si>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</si>
  <si>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</si>
  <si>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</si>
  <si>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</si>
  <si>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</si>
  <si>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</si>
  <si>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</si>
  <si>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</si>
  <si>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</si>
  <si>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</si>
  <si>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</si>
  <si>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</si>
  <si>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</si>
  <si>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</si>
  <si>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</si>
  <si>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</si>
  <si>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</si>
  <si>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</si>
  <si>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</si>
  <si>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</si>
  <si>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</si>
  <si>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</si>
  <si>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</si>
  <si>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</si>
  <si>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</si>
  <si>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</si>
  <si>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</si>
  <si>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</si>
  <si>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</si>
  <si>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</si>
  <si>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</si>
  <si>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</si>
  <si>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</si>
  <si>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</si>
  <si>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</si>
  <si>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</si>
  <si>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</si>
  <si>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</si>
  <si>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</si>
  <si>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</si>
  <si>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</si>
  <si>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</si>
  <si>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</si>
  <si>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</si>
  <si>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</si>
  <si>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</si>
  <si>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</si>
  <si>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</si>
  <si>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</si>
  <si>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</si>
  <si>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</si>
  <si>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</si>
  <si>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</si>
  <si>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</si>
  <si>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</si>
  <si>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</si>
  <si>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</si>
  <si>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</si>
  <si>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</si>
  <si>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</si>
  <si>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</si>
  <si>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</si>
  <si>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</si>
  <si>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</si>
  <si>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</si>
  <si>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</si>
  <si>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</si>
  <si>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</si>
  <si>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</si>
  <si>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</si>
  <si>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</si>
  <si>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</si>
  <si>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</si>
  <si>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</si>
  <si>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</si>
  <si>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</si>
  <si>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</si>
  <si>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</si>
  <si>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</si>
  <si>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</si>
  <si>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</si>
  <si>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</si>
  <si>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</si>
  <si>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</si>
  <si>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</si>
  <si>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</si>
  <si>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</si>
  <si>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</si>
  <si>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</si>
  <si>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</si>
  <si>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</si>
  <si>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</si>
  <si>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</si>
  <si>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</si>
  <si>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</si>
  <si>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</si>
  <si>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</si>
  <si>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</si>
  <si>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</si>
  <si>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</si>
  <si>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</si>
  <si>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</si>
  <si>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</si>
  <si>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</si>
  <si>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</si>
  <si>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</si>
  <si>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</si>
  <si>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</si>
  <si>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</si>
  <si>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</si>
  <si>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</si>
  <si>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</si>
  <si>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</si>
  <si>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</si>
  <si>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</si>
  <si>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</si>
  <si>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</si>
  <si>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</si>
  <si>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</si>
  <si>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</si>
  <si>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</si>
  <si>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</si>
  <si>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</si>
  <si>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</si>
  <si>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</si>
  <si>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</si>
  <si>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</si>
  <si>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</si>
  <si>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</si>
  <si>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</si>
  <si>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</si>
  <si>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</si>
  <si>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</si>
  <si>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</si>
  <si>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</si>
  <si>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</si>
  <si>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</si>
  <si>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</si>
  <si>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</si>
  <si>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</si>
  <si>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</si>
  <si>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</si>
  <si>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</si>
  <si>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</si>
  <si>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</si>
  <si>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</si>
  <si>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</si>
  <si>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</si>
  <si>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</si>
  <si>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</si>
  <si>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</si>
  <si>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</si>
  <si>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</si>
  <si>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</si>
  <si>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</si>
  <si>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</si>
  <si>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</si>
  <si>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</si>
  <si>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</si>
  <si>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</si>
  <si>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</si>
  <si>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</si>
  <si>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</si>
  <si>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</si>
  <si>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</si>
  <si>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</si>
  <si>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</si>
  <si>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</si>
  <si>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</si>
  <si>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</si>
  <si>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</si>
  <si>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</si>
  <si>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</si>
  <si>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</si>
  <si>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</si>
  <si>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</si>
  <si>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</si>
  <si>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</si>
  <si>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</si>
  <si>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</si>
  <si>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</si>
  <si>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</si>
  <si>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</si>
  <si>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</si>
  <si>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</si>
  <si>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</si>
  <si>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</si>
  <si>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</si>
  <si>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</si>
  <si>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</si>
  <si>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</si>
  <si>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</si>
  <si>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</si>
  <si>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</si>
  <si>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</si>
  <si>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</si>
  <si>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</si>
  <si>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</si>
  <si>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</si>
  <si>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</si>
  <si>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</si>
  <si>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</si>
  <si>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</si>
  <si>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</si>
  <si>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</si>
  <si>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</si>
  <si>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</si>
  <si>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</si>
  <si>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</si>
  <si>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</si>
  <si>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</si>
  <si>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</si>
  <si>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</si>
  <si>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</si>
  <si>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</si>
  <si>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</si>
  <si>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</si>
  <si>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</si>
  <si>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</si>
  <si>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</si>
  <si>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</si>
  <si>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</si>
  <si>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</si>
  <si>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</si>
  <si>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</si>
  <si>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</si>
  <si>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</si>
  <si>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</si>
  <si>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</si>
  <si>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</si>
  <si>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</si>
  <si>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</si>
  <si>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</si>
  <si>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</si>
  <si>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</si>
  <si>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</si>
  <si>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</si>
  <si>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</si>
  <si>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</si>
  <si>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</si>
  <si>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</si>
  <si>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</si>
  <si>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</si>
  <si>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</si>
  <si>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</si>
  <si>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</si>
  <si>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</si>
  <si>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</si>
  <si>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</si>
  <si>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</si>
  <si>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</si>
  <si>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</si>
  <si>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</si>
  <si>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</si>
  <si>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</si>
  <si>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</si>
  <si>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</si>
  <si>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</si>
  <si>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</si>
  <si>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</si>
  <si>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</si>
  <si>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</si>
  <si>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</si>
  <si>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</si>
  <si>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</si>
  <si>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</si>
  <si>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</si>
  <si>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</si>
  <si>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</si>
  <si>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</si>
  <si>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</si>
  <si>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</si>
  <si>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</si>
  <si>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</si>
  <si>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</si>
  <si>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</si>
  <si>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</si>
  <si>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</si>
  <si>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</si>
  <si>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</si>
  <si>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</si>
  <si>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</si>
  <si>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</si>
  <si>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</si>
  <si>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</si>
  <si>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</si>
  <si>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</si>
  <si>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</si>
  <si>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</si>
  <si>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</si>
  <si>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</si>
  <si>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</si>
  <si>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</si>
  <si>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</si>
  <si>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</si>
  <si>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</si>
  <si>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</si>
  <si>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</si>
  <si>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</si>
  <si>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</si>
  <si>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</si>
  <si>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</si>
  <si>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</si>
  <si>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</si>
  <si>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</si>
  <si>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</si>
  <si>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</si>
  <si>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</si>
  <si>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</si>
  <si>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</si>
  <si>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</si>
  <si>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</si>
  <si>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</si>
  <si>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</si>
  <si>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</si>
  <si>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</si>
  <si>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</si>
  <si>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</si>
  <si>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</si>
  <si>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</si>
  <si>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</si>
  <si>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</si>
  <si>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</si>
  <si>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</si>
  <si>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</si>
  <si>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</si>
  <si>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</si>
  <si>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</si>
  <si>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</si>
  <si>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</si>
  <si>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</si>
  <si>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</si>
  <si>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</si>
  <si>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</si>
  <si>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</si>
  <si>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</si>
  <si>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</si>
  <si>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</si>
  <si>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</si>
  <si>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</si>
  <si>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</si>
  <si>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</si>
  <si>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</si>
  <si>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</si>
  <si>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</si>
  <si>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</si>
  <si>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</si>
  <si>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</si>
  <si>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</si>
  <si>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</si>
  <si>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</si>
  <si>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</si>
  <si>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</si>
  <si>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</si>
  <si>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</si>
  <si>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</si>
  <si>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</si>
  <si>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</si>
  <si>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</si>
  <si>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</si>
  <si>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</si>
  <si>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</si>
  <si>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</si>
  <si>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</si>
  <si>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</si>
  <si>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</si>
  <si>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</si>
  <si>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</si>
  <si>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</si>
  <si>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</si>
  <si>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</si>
  <si>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</si>
  <si>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</si>
  <si>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</si>
  <si>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</si>
  <si>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</si>
  <si>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</si>
  <si>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</si>
  <si>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</si>
  <si>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</si>
  <si>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</si>
  <si>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</si>
  <si>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</si>
  <si>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</si>
  <si>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</si>
  <si>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</si>
  <si>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</si>
  <si>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</si>
  <si>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</si>
  <si>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</si>
  <si>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</si>
  <si>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</si>
  <si>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</si>
  <si>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</si>
  <si>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</si>
  <si>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</si>
  <si>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</si>
  <si>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</si>
  <si>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</si>
  <si>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</si>
  <si>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</si>
  <si>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</si>
  <si>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</si>
  <si>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</si>
  <si>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</si>
  <si>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</si>
  <si>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</si>
  <si>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</si>
  <si>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</si>
  <si>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</si>
  <si>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</si>
  <si>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</si>
  <si>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</si>
  <si>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</si>
  <si>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</si>
  <si>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</si>
  <si>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</si>
  <si>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</si>
  <si>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</si>
  <si>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</si>
  <si>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</si>
  <si>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</si>
  <si>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</si>
  <si>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</si>
  <si>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</si>
  <si>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</si>
  <si>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</si>
  <si>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</si>
  <si>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</si>
  <si>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</si>
  <si>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</si>
  <si>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</si>
  <si>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</si>
  <si>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</si>
  <si>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</si>
  <si>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</si>
  <si>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</si>
  <si>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</si>
  <si>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</si>
  <si>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</si>
  <si>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</si>
  <si>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</si>
  <si>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</si>
  <si>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</si>
  <si>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</si>
  <si>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</si>
  <si>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</si>
  <si>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</si>
  <si>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</si>
  <si>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</si>
  <si>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</si>
  <si>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</si>
  <si>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</si>
  <si>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</si>
  <si>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</si>
  <si>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</si>
  <si>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</si>
  <si>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</si>
  <si>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</si>
  <si>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</si>
  <si>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</si>
  <si>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</si>
  <si>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</si>
  <si>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</si>
  <si>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</si>
  <si>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</si>
  <si>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</si>
  <si>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</si>
  <si>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</si>
  <si>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</si>
  <si>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</si>
  <si>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</si>
  <si>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</si>
  <si>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</si>
  <si>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</si>
  <si>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</si>
  <si>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</si>
  <si>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</si>
  <si>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</si>
  <si>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</si>
  <si>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</si>
  <si>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</si>
  <si>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</si>
  <si>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</si>
  <si>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</si>
  <si>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</si>
  <si>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</si>
  <si>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</si>
  <si>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</si>
  <si>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</si>
  <si>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</si>
  <si>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</si>
  <si>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</si>
  <si>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</si>
  <si>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</si>
  <si>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</si>
  <si>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</si>
  <si>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</si>
  <si>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</si>
  <si>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</si>
  <si>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</si>
  <si>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</si>
  <si>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</si>
  <si>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</si>
  <si>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</si>
  <si>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</si>
  <si>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</si>
  <si>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</si>
  <si>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</si>
  <si>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</si>
  <si>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</si>
  <si>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</si>
  <si>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</si>
  <si>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</si>
  <si>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</si>
  <si>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</si>
  <si>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</si>
  <si>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</si>
  <si>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</si>
  <si>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</si>
  <si>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</si>
  <si>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</si>
  <si>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</si>
  <si>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</si>
  <si>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</si>
  <si>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</si>
  <si>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</si>
  <si>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</si>
  <si>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</si>
  <si>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</si>
  <si>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</si>
  <si>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</si>
  <si>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</si>
  <si>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</si>
  <si>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</si>
  <si>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</si>
  <si>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</si>
  <si>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</si>
  <si>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</si>
  <si>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</si>
  <si>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</si>
  <si>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</si>
  <si>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</si>
  <si>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</si>
  <si>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</si>
  <si>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</si>
  <si>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</si>
  <si>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</si>
  <si>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</si>
  <si>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</si>
  <si>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</si>
  <si>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</si>
  <si>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</si>
  <si>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</si>
  <si>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</si>
  <si>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</si>
  <si>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</si>
  <si>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</si>
  <si>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</si>
  <si>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</si>
  <si>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</si>
  <si>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</si>
  <si>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</si>
  <si>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</si>
  <si>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</si>
  <si>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</si>
  <si>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</si>
  <si>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</si>
  <si>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</si>
  <si>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</si>
  <si>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</si>
  <si>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</si>
  <si>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</si>
  <si>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</si>
  <si>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</si>
  <si>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</si>
  <si>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</si>
  <si>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</si>
  <si>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</si>
  <si>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</si>
  <si>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</si>
  <si>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</si>
  <si>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</si>
  <si>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</si>
  <si>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</si>
  <si>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</si>
  <si>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</si>
  <si>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</si>
  <si>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</si>
  <si>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</si>
  <si>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</si>
  <si>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</si>
  <si>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</si>
  <si>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</si>
  <si>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</si>
  <si>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</si>
  <si>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</si>
  <si>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</si>
  <si>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</si>
  <si>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</si>
  <si>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</si>
  <si>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</si>
  <si>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</si>
  <si>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</si>
  <si>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</si>
  <si>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</si>
  <si>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</si>
  <si>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</si>
  <si>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</si>
  <si>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</si>
  <si>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</si>
  <si>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</si>
  <si>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</si>
  <si>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</si>
  <si>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</si>
  <si>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</si>
  <si>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</si>
  <si>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</si>
  <si>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</si>
  <si>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</si>
  <si>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</si>
  <si>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</si>
  <si>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</si>
  <si>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</si>
  <si>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</si>
  <si>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</si>
  <si>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</si>
  <si>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</si>
  <si>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</si>
  <si>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</si>
  <si>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</si>
  <si>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</si>
  <si>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</si>
  <si>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</si>
  <si>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</si>
  <si>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</si>
  <si>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</si>
  <si>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</si>
  <si>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</si>
  <si>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</si>
  <si>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</si>
  <si>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</si>
  <si>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</si>
  <si>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</si>
  <si>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</si>
  <si>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</si>
  <si>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</si>
  <si>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</si>
  <si>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</si>
  <si>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</si>
  <si>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</si>
  <si>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</si>
  <si>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</si>
  <si>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</si>
  <si>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</si>
  <si>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</si>
  <si>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</si>
  <si>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</si>
  <si>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</si>
  <si>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</si>
  <si>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</si>
  <si>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</si>
  <si>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</si>
  <si>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</si>
  <si>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</si>
  <si>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</si>
  <si>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</si>
  <si>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</si>
  <si>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</si>
  <si>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</si>
  <si>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</si>
  <si>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</si>
  <si>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</si>
  <si>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</si>
  <si>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</si>
  <si>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</si>
  <si>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</si>
  <si>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</si>
  <si>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</si>
  <si>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</si>
  <si>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</si>
  <si>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</si>
  <si>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</si>
  <si>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</si>
  <si>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</si>
  <si>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</si>
  <si>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</si>
  <si>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</si>
  <si>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</si>
  <si>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</si>
  <si>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</si>
  <si>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</si>
  <si>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</si>
  <si>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</si>
  <si>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</si>
  <si>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</si>
  <si>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</si>
  <si>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</si>
  <si>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</si>
  <si>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</si>
  <si>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</si>
  <si>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</si>
  <si>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</si>
  <si>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</si>
  <si>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</si>
  <si>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</si>
  <si>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</si>
  <si>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</si>
  <si>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</si>
  <si>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</si>
  <si>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</si>
  <si>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</si>
  <si>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</si>
  <si>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</si>
  <si>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</si>
  <si>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</si>
  <si>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</si>
  <si>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</si>
  <si>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</si>
  <si>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</si>
  <si>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</si>
  <si>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</si>
  <si>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</si>
  <si>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</si>
  <si>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</si>
  <si>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</si>
  <si>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</si>
  <si>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</si>
  <si>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</si>
  <si>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</si>
  <si>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</si>
  <si>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</si>
  <si>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</si>
  <si>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</si>
  <si>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</si>
  <si>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</si>
  <si>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</si>
  <si>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</si>
  <si>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</si>
  <si>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</si>
  <si>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</si>
  <si>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</si>
  <si>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</si>
  <si>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</si>
  <si>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</si>
  <si>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</si>
  <si>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</si>
  <si>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</si>
  <si>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</si>
  <si>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武汉恒大城2号楼未售明细</t>
    <phoneticPr fontId="143" type="noConversion"/>
  </si>
  <si>
    <t>序号</t>
  </si>
  <si>
    <t>项目名称</t>
  </si>
  <si>
    <t>楼栋名称</t>
  </si>
  <si>
    <t>单元</t>
  </si>
  <si>
    <t>房号</t>
  </si>
  <si>
    <t>房间全称</t>
  </si>
  <si>
    <t>建筑面积</t>
  </si>
  <si>
    <t>装修标准</t>
  </si>
  <si>
    <t>产品类型</t>
  </si>
  <si>
    <t>建筑性质</t>
  </si>
  <si>
    <t>武汉恒大城-二期</t>
  </si>
  <si>
    <t>2号楼</t>
  </si>
  <si>
    <t>武汉恒大城-二期-2号楼-401</t>
  </si>
  <si>
    <t>中档公寓</t>
  </si>
  <si>
    <t>公寓</t>
  </si>
  <si>
    <t>平层公寓</t>
  </si>
  <si>
    <t>武汉恒大城-二期-2号楼-402</t>
  </si>
  <si>
    <t>武汉恒大城-二期-2号楼-403</t>
  </si>
  <si>
    <t>武汉恒大城-二期-2号楼-404</t>
  </si>
  <si>
    <t>武汉恒大城-二期-2号楼-405</t>
  </si>
  <si>
    <t>武汉恒大城-二期-2号楼-406</t>
  </si>
  <si>
    <t>武汉恒大城-二期-2号楼-407</t>
  </si>
  <si>
    <t>武汉恒大城-二期-2号楼-408</t>
  </si>
  <si>
    <t>武汉恒大城-二期-2号楼-409</t>
  </si>
  <si>
    <t>武汉恒大城-二期-2号楼-410</t>
  </si>
  <si>
    <t>武汉恒大城-二期-2号楼-411</t>
  </si>
  <si>
    <t>武汉恒大城-二期-2号楼-412</t>
  </si>
  <si>
    <t>武汉恒大城-二期-2号楼-413</t>
  </si>
  <si>
    <t>武汉恒大城-二期-2号楼-414</t>
  </si>
  <si>
    <t>武汉恒大城-二期-2号楼-415</t>
  </si>
  <si>
    <t>武汉恒大城-二期-2号楼-416</t>
  </si>
  <si>
    <t>武汉恒大城-二期-2号楼-417</t>
  </si>
  <si>
    <t>武汉恒大城-二期-2号楼-418</t>
  </si>
  <si>
    <t>武汉恒大城-二期-2号楼-419</t>
  </si>
  <si>
    <t>武汉恒大城-二期-2号楼-420</t>
  </si>
  <si>
    <t>武汉恒大城-二期-2号楼-421</t>
  </si>
  <si>
    <t>武汉恒大城-二期-2号楼-422</t>
  </si>
  <si>
    <t>武汉恒大城-二期-2号楼-423</t>
  </si>
  <si>
    <t>武汉恒大城-二期-2号楼-424</t>
  </si>
  <si>
    <t>武汉恒大城-二期-2号楼-522</t>
  </si>
  <si>
    <t>武汉恒大城-二期-2号楼-618</t>
  </si>
  <si>
    <t>武汉恒大城-二期-2号楼-621</t>
  </si>
  <si>
    <t>武汉恒大城-二期-2号楼-623</t>
  </si>
  <si>
    <t>武汉恒大城-二期-2号楼-706</t>
  </si>
  <si>
    <t>武汉恒大城-二期-2号楼-715</t>
  </si>
  <si>
    <t>武汉恒大城-二期-2号楼-716</t>
  </si>
  <si>
    <t>武汉恒大城-二期-2号楼-723</t>
  </si>
  <si>
    <t>武汉恒大城-二期-2号楼-805</t>
  </si>
  <si>
    <t>武汉恒大城-二期-2号楼-808</t>
  </si>
  <si>
    <t>武汉恒大城-二期-2号楼-811</t>
  </si>
  <si>
    <t>武汉恒大城-二期-2号楼-815</t>
  </si>
  <si>
    <t>武汉恒大城-二期-2号楼-819</t>
  </si>
  <si>
    <t>武汉恒大城-二期-2号楼-907</t>
  </si>
  <si>
    <t>武汉恒大城-二期-2号楼-916</t>
  </si>
  <si>
    <t>武汉恒大城-二期-2号楼-1120</t>
  </si>
  <si>
    <t>武汉恒大城-二期-2号楼-1207</t>
  </si>
  <si>
    <t>武汉恒大城-二期-2号楼-1211</t>
  </si>
  <si>
    <t>武汉恒大城-二期-2号楼-1212</t>
  </si>
  <si>
    <t>武汉恒大城-二期-2号楼-1219</t>
  </si>
  <si>
    <t>武汉恒大城-二期-2号楼-1503</t>
  </si>
  <si>
    <t>武汉恒大城-二期-2号楼-1508</t>
  </si>
  <si>
    <t>武汉恒大城-二期-2号楼-1515</t>
  </si>
  <si>
    <t>武汉恒大城-二期-2号楼-1516</t>
  </si>
  <si>
    <t>武汉恒大城-二期-2号楼-1601</t>
  </si>
  <si>
    <t>武汉恒大城-二期-2号楼-1608</t>
  </si>
  <si>
    <t>武汉恒大城-二期-2号楼-1711</t>
  </si>
  <si>
    <t>武汉恒大城-二期-2号楼-1801</t>
  </si>
  <si>
    <t>武汉恒大城-二期-2号楼-1803</t>
  </si>
  <si>
    <t>武汉恒大城-二期-2号楼-1808</t>
  </si>
  <si>
    <t>武汉恒大城-二期-2号楼-1810</t>
  </si>
  <si>
    <t>武汉恒大城-二期-2号楼-1811</t>
  </si>
  <si>
    <t>武汉恒大城-二期-2号楼-1815</t>
  </si>
  <si>
    <t>武汉恒大城-二期-2号楼-1822</t>
  </si>
  <si>
    <t>武汉恒大城-二期-2号楼-2001</t>
  </si>
  <si>
    <t>武汉恒大城-二期-2号楼-2002</t>
  </si>
  <si>
    <t>武汉恒大城-二期-2号楼-2003</t>
  </si>
  <si>
    <t>武汉恒大城-二期-2号楼-2004</t>
  </si>
  <si>
    <t>武汉恒大城-二期-2号楼-2005</t>
  </si>
  <si>
    <t>武汉恒大城-二期-2号楼-2006</t>
  </si>
  <si>
    <t>武汉恒大城-二期-2号楼-2007</t>
  </si>
  <si>
    <t>武汉恒大城-二期-2号楼-2008</t>
  </si>
  <si>
    <t>武汉恒大城-二期-2号楼-2009</t>
  </si>
  <si>
    <t>武汉恒大城-二期-2号楼-2010</t>
  </si>
  <si>
    <t>武汉恒大城-二期-2号楼-2011</t>
  </si>
  <si>
    <t>武汉恒大城-二期-2号楼-2012</t>
  </si>
  <si>
    <t>武汉恒大城-二期-2号楼-2013</t>
  </si>
  <si>
    <t>武汉恒大城-二期-2号楼-2014</t>
  </si>
  <si>
    <t>武汉恒大城-二期-2号楼-2015</t>
  </si>
  <si>
    <t>武汉恒大城-二期-2号楼-2016</t>
  </si>
  <si>
    <t>武汉恒大城-二期-2号楼-2017</t>
  </si>
  <si>
    <t>武汉恒大城-二期-2号楼-2018</t>
  </si>
  <si>
    <t>武汉恒大城-二期-2号楼-2019</t>
  </si>
  <si>
    <t>武汉恒大城-二期-2号楼-2020</t>
  </si>
  <si>
    <t>武汉恒大城-二期-2号楼-2021</t>
  </si>
  <si>
    <t>武汉恒大城-二期-2号楼-2022</t>
  </si>
  <si>
    <t>武汉恒大城-二期-2号楼-2023</t>
  </si>
  <si>
    <t>武汉恒大城-二期-2号楼-2024</t>
  </si>
  <si>
    <t>武汉恒大城-二期-2号楼-2108</t>
  </si>
  <si>
    <t>武汉恒大城-二期-2号楼-2115</t>
  </si>
  <si>
    <t>武汉恒大城-二期-2号楼-2116</t>
  </si>
  <si>
    <t>武汉恒大城-二期-2号楼-2208</t>
  </si>
  <si>
    <t>武汉恒大城-二期-2号楼-2214</t>
  </si>
  <si>
    <t>武汉恒大城-二期-2号楼-2215</t>
  </si>
  <si>
    <t>武汉恒大城-二期-2号楼-2220</t>
  </si>
  <si>
    <t>武汉恒大城-二期-2号楼-2301</t>
  </si>
  <si>
    <t>武汉恒大城-二期-2号楼-2302</t>
  </si>
  <si>
    <t>武汉恒大城-二期-2号楼-2307</t>
  </si>
  <si>
    <t>武汉恒大城-二期-2号楼-2308</t>
  </si>
  <si>
    <t>武汉恒大城-二期-2号楼-2310</t>
  </si>
  <si>
    <t>武汉恒大城-二期-2号楼-2314</t>
  </si>
  <si>
    <t>武汉恒大城-二期-2号楼-2315</t>
  </si>
  <si>
    <t>武汉恒大城-二期-2号楼-2402</t>
  </si>
  <si>
    <t>武汉恒大城-二期-2号楼-2403</t>
  </si>
  <si>
    <t>武汉恒大城-二期-2号楼-2407</t>
  </si>
  <si>
    <t>武汉恒大城-二期-2号楼-2413</t>
  </si>
  <si>
    <t>武汉恒大城-二期-2号楼-2414</t>
  </si>
  <si>
    <t>武汉恒大城-二期-2号楼-2416</t>
  </si>
  <si>
    <t>武汉恒大城-二期-2号楼-2420</t>
  </si>
  <si>
    <t>武汉恒大城-二期-2号楼-2503</t>
  </si>
  <si>
    <t>武汉恒大城-二期-2号楼-2514</t>
  </si>
  <si>
    <t>武汉恒大城-二期-2号楼-2519</t>
  </si>
  <si>
    <t>武汉恒大城-二期-2号楼-2520</t>
  </si>
  <si>
    <t>武汉恒大城-二期-2号楼-2523</t>
  </si>
  <si>
    <t>武汉恒大城-二期-2号楼-2606</t>
  </si>
  <si>
    <t>武汉恒大城-二期-2号楼-2607</t>
  </si>
  <si>
    <t>武汉恒大城-二期-2号楼-2608</t>
  </si>
  <si>
    <t>武汉恒大城-二期-2号楼-2610</t>
  </si>
  <si>
    <t>武汉恒大城-二期-2号楼-2615</t>
  </si>
  <si>
    <t>武汉恒大城-二期-2号楼-2618</t>
  </si>
  <si>
    <t>武汉恒大城-二期-2号楼-2619</t>
  </si>
  <si>
    <t>武汉恒大城-二期-2号楼-2623</t>
  </si>
  <si>
    <t>武汉恒大城-二期-2号楼-2701</t>
  </si>
  <si>
    <t>武汉恒大城-二期-2号楼-2711</t>
  </si>
  <si>
    <t>武汉恒大城-二期-2号楼-2715</t>
  </si>
  <si>
    <t>武汉恒大城-二期-2号楼-2719</t>
  </si>
  <si>
    <t>武汉恒大城-二期-2号楼-2721</t>
  </si>
  <si>
    <t>武汉恒大城-二期-2号楼-2901</t>
  </si>
  <si>
    <t>武汉恒大城-二期-2号楼-2903</t>
  </si>
  <si>
    <t>武汉恒大城-二期-2号楼-2906</t>
  </si>
  <si>
    <t>武汉恒大城-二期-2号楼-2907</t>
  </si>
  <si>
    <t>武汉恒大城-二期-2号楼-2911</t>
  </si>
  <si>
    <t>武汉恒大城-二期-2号楼-2916</t>
  </si>
  <si>
    <t>武汉恒大城-二期-2号楼-2923</t>
  </si>
  <si>
    <t>武汉恒大城-二期-2号楼-3001</t>
  </si>
  <si>
    <t>武汉恒大城-二期-2号楼-3006</t>
  </si>
  <si>
    <t>武汉恒大城-二期-2号楼-3008</t>
  </si>
  <si>
    <t>武汉恒大城-二期-2号楼-3009</t>
  </si>
  <si>
    <t>武汉恒大城-二期-2号楼-3010</t>
  </si>
  <si>
    <t>武汉恒大城-二期-2号楼-3011</t>
  </si>
  <si>
    <t>武汉恒大城-二期-2号楼-3014</t>
  </si>
  <si>
    <t>武汉恒大城-二期-2号楼-3015</t>
  </si>
  <si>
    <t>武汉恒大城-二期-2号楼-3016</t>
  </si>
  <si>
    <t>武汉恒大城-二期-2号楼-3019</t>
  </si>
  <si>
    <t>武汉恒大城-二期-2号楼-3101</t>
  </si>
  <si>
    <t>武汉恒大城-二期-2号楼-3103</t>
  </si>
  <si>
    <t>武汉恒大城-二期-2号楼-3106</t>
  </si>
  <si>
    <t>武汉恒大城-二期-2号楼-3107</t>
  </si>
  <si>
    <t>武汉恒大城-二期-2号楼-3108</t>
  </si>
  <si>
    <t>武汉恒大城-二期-2号楼-3109</t>
  </si>
  <si>
    <t>武汉恒大城-二期-2号楼-3110</t>
  </si>
  <si>
    <t>武汉恒大城-二期-2号楼-3111</t>
  </si>
  <si>
    <t>武汉恒大城-二期-2号楼-3114</t>
  </si>
  <si>
    <t>武汉恒大城-二期-2号楼-3118</t>
  </si>
  <si>
    <t>武汉恒大城-二期-2号楼-3123</t>
  </si>
  <si>
    <t>武汉恒大城-二期-2号楼-3201</t>
  </si>
  <si>
    <t>武汉恒大城-二期-2号楼-3202</t>
  </si>
  <si>
    <t>武汉恒大城-二期-2号楼-3207</t>
  </si>
  <si>
    <t>武汉恒大城-二期-2号楼-3208</t>
  </si>
  <si>
    <t>武汉恒大城-二期-2号楼-3210</t>
  </si>
  <si>
    <t>武汉恒大城-二期-2号楼-3211</t>
  </si>
  <si>
    <t>武汉恒大城-二期-2号楼-3214</t>
  </si>
  <si>
    <t>武汉恒大城-二期-2号楼-3216</t>
  </si>
  <si>
    <t>武汉恒大城-二期-2号楼-3218</t>
  </si>
  <si>
    <t>武汉恒大城-二期-2号楼-3222</t>
  </si>
  <si>
    <t>武汉恒大城-二期-2号楼-3302</t>
  </si>
  <si>
    <t>武汉恒大城-二期-2号楼-3306</t>
  </si>
  <si>
    <t>武汉恒大城-二期-2号楼-3307</t>
  </si>
  <si>
    <t>武汉恒大城-二期-2号楼-3308</t>
  </si>
  <si>
    <t>武汉恒大城-二期-2号楼-3309</t>
  </si>
  <si>
    <t>武汉恒大城-二期-2号楼-3310</t>
  </si>
  <si>
    <t>武汉恒大城-二期-2号楼-3311</t>
  </si>
  <si>
    <t>武汉恒大城-二期-2号楼-3314</t>
  </si>
  <si>
    <t>武汉恒大城-二期-2号楼-3315</t>
  </si>
  <si>
    <t>武汉恒大城-二期-2号楼-3316</t>
  </si>
  <si>
    <t>武汉恒大城-二期-2号楼-3320</t>
  </si>
  <si>
    <t>武汉恒大城-二期-2号楼-3401</t>
  </si>
  <si>
    <t>武汉恒大城-二期-2号楼-3402</t>
  </si>
  <si>
    <t>武汉恒大城-二期-2号楼-3406</t>
  </si>
  <si>
    <t>武汉恒大城-二期-2号楼-3407</t>
  </si>
  <si>
    <t>武汉恒大城-二期-2号楼-3408</t>
  </si>
  <si>
    <t>武汉恒大城-二期-2号楼-3409</t>
  </si>
  <si>
    <t>武汉恒大城-二期-2号楼-3410</t>
  </si>
  <si>
    <t>武汉恒大城-二期-2号楼-3411</t>
  </si>
  <si>
    <t>武汉恒大城-二期-2号楼-3414</t>
  </si>
  <si>
    <t>武汉恒大城-二期-2号楼-3415</t>
  </si>
  <si>
    <t>武汉恒大城-二期-2号楼-3416</t>
  </si>
  <si>
    <t>武汉恒大城-二期-2号楼-3420</t>
  </si>
  <si>
    <t>武汉恒大城-二期-2号楼-3421</t>
  </si>
  <si>
    <t>武汉恒大城-二期-2号楼-3422</t>
  </si>
  <si>
    <t>武汉恒大城-二期-2号楼-3502</t>
  </si>
  <si>
    <t>武汉恒大城-二期-2号楼-3503</t>
  </si>
  <si>
    <t>武汉恒大城-二期-2号楼-3504</t>
  </si>
  <si>
    <t>武汉恒大城-二期-2号楼-3507</t>
  </si>
  <si>
    <t>武汉恒大城-二期-2号楼-3508</t>
  </si>
  <si>
    <t>武汉恒大城-二期-2号楼-3510</t>
  </si>
  <si>
    <t>武汉恒大城-二期-2号楼-3511</t>
  </si>
  <si>
    <t>武汉恒大城-二期-2号楼-3513</t>
  </si>
  <si>
    <t>武汉恒大城-二期-2号楼-3514</t>
  </si>
  <si>
    <t>武汉恒大城-二期-2号楼-3601</t>
  </si>
  <si>
    <t>武汉恒大城-二期-2号楼-3603</t>
  </si>
  <si>
    <t>武汉恒大城-二期-2号楼-3606</t>
  </si>
  <si>
    <t>武汉恒大城-二期-2号楼-3607</t>
  </si>
  <si>
    <t>武汉恒大城-二期-2号楼-3608</t>
  </si>
  <si>
    <t>武汉恒大城-二期-2号楼-3609</t>
  </si>
  <si>
    <t>武汉恒大城-二期-2号楼-3611</t>
  </si>
  <si>
    <t>武汉恒大城-二期-2号楼-3614</t>
  </si>
  <si>
    <t>武汉恒大城-二期-2号楼-3616</t>
  </si>
  <si>
    <t>武汉恒大城-二期-2号楼-3618</t>
  </si>
  <si>
    <t>武汉恒大城-二期-2号楼-3620</t>
  </si>
  <si>
    <t>武汉恒大城-二期-2号楼-3621</t>
  </si>
  <si>
    <t>武汉恒大城-二期-2号楼-3624</t>
  </si>
  <si>
    <t>武汉恒大城-二期-2号楼-3704</t>
  </si>
  <si>
    <t>武汉恒大城-二期-2号楼-3709</t>
  </si>
  <si>
    <t>武汉恒大城-二期-2号楼-3712</t>
  </si>
  <si>
    <t>武汉恒大城-二期-2号楼-3721</t>
  </si>
  <si>
    <t>武汉恒大城-二期-2号楼-3801</t>
  </si>
  <si>
    <t>武汉恒大城-二期-2号楼-3802</t>
  </si>
  <si>
    <t>武汉恒大城-二期-2号楼-3803</t>
  </si>
  <si>
    <t>武汉恒大城-二期-2号楼-3806</t>
  </si>
  <si>
    <t>武汉恒大城-二期-2号楼-3807</t>
  </si>
  <si>
    <t>武汉恒大城-二期-2号楼-3808</t>
  </si>
  <si>
    <t>武汉恒大城-二期-2号楼-3809</t>
  </si>
  <si>
    <t>武汉恒大城-二期-2号楼-3812</t>
  </si>
  <si>
    <t>武汉恒大城-二期-2号楼-3816</t>
  </si>
  <si>
    <t>武汉恒大城-二期-2号楼-3821</t>
  </si>
  <si>
    <t>武汉恒大城-二期-2号楼-3902</t>
  </si>
  <si>
    <t>武汉恒大城-二期-2号楼-3903</t>
  </si>
  <si>
    <t>武汉恒大城-二期-2号楼-3907</t>
  </si>
  <si>
    <t>武汉恒大城-二期-2号楼-3908</t>
  </si>
  <si>
    <t>武汉恒大城-二期-2号楼-3909</t>
  </si>
  <si>
    <t>武汉恒大城-二期-2号楼-3910</t>
  </si>
  <si>
    <t>武汉恒大城-二期-2号楼-3911</t>
  </si>
  <si>
    <t>武汉恒大城-二期-2号楼-4006</t>
  </si>
  <si>
    <t>武汉恒大城-二期-2号楼-4007</t>
  </si>
  <si>
    <t>武汉恒大城-二期-2号楼-4008</t>
  </si>
  <si>
    <t>武汉恒大城-二期-2号楼-4009</t>
  </si>
  <si>
    <t>武汉恒大城-二期-2号楼-4010</t>
  </si>
  <si>
    <t>武汉恒大城-二期-2号楼-4014</t>
  </si>
  <si>
    <t>武汉恒大城-二期-2号楼-4016</t>
  </si>
  <si>
    <t>武汉恒大城-二期-2号楼-4023</t>
  </si>
  <si>
    <t>武汉恒大城-二期-2号楼-4101</t>
  </si>
  <si>
    <t>武汉恒大城-二期-2号楼-4102</t>
  </si>
  <si>
    <t>武汉恒大城-二期-2号楼-4103</t>
  </si>
  <si>
    <t>武汉恒大城-二期-2号楼-4106</t>
  </si>
  <si>
    <t>武汉恒大城-二期-2号楼-4107</t>
  </si>
  <si>
    <t>武汉恒大城-二期-2号楼-4108</t>
  </si>
  <si>
    <t>武汉恒大城-二期-2号楼-4109</t>
  </si>
  <si>
    <t>武汉恒大城-二期-2号楼-4110</t>
  </si>
  <si>
    <t>武汉恒大城-二期-2号楼-4111</t>
  </si>
  <si>
    <t>武汉恒大城-二期-2号楼-4114</t>
  </si>
  <si>
    <t>武汉恒大城-二期-2号楼-4115</t>
  </si>
  <si>
    <t>武汉恒大城-二期-2号楼-4116</t>
  </si>
  <si>
    <t>武汉恒大城-二期-2号楼-4118</t>
  </si>
  <si>
    <t>武汉恒大城-二期-2号楼-4119</t>
  </si>
  <si>
    <t>武汉恒大城-二期-2号楼-4122</t>
  </si>
  <si>
    <t>武汉恒大城-二期-2号楼-4123</t>
  </si>
  <si>
    <t>武汉恒大城-二期-2号楼-4301</t>
  </si>
  <si>
    <t>武汉恒大城-二期-2号楼-4302</t>
  </si>
  <si>
    <t>武汉恒大城-二期-2号楼-4303</t>
  </si>
  <si>
    <t>武汉恒大城-二期-2号楼-4304</t>
  </si>
  <si>
    <t>武汉恒大城-二期-2号楼-4305</t>
  </si>
  <si>
    <t>武汉恒大城-二期-2号楼-4306</t>
  </si>
  <si>
    <t>武汉恒大城-二期-2号楼-4307</t>
  </si>
  <si>
    <t>武汉恒大城-二期-2号楼-4308</t>
  </si>
  <si>
    <t>武汉恒大城-二期-2号楼-4309</t>
  </si>
  <si>
    <t>武汉恒大城-二期-2号楼-4310</t>
  </si>
  <si>
    <t>武汉恒大城-二期-2号楼-4311</t>
  </si>
  <si>
    <t>武汉恒大城-二期-2号楼-4312</t>
  </si>
  <si>
    <t>武汉恒大城-二期-2号楼-4313</t>
  </si>
  <si>
    <t>武汉恒大城-二期-2号楼-4314</t>
  </si>
  <si>
    <t>武汉恒大城-二期-2号楼-4315</t>
  </si>
  <si>
    <t>武汉恒大城-二期-2号楼-4316</t>
  </si>
  <si>
    <t>武汉恒大城-二期-2号楼-4317</t>
  </si>
  <si>
    <t>武汉恒大城-二期-2号楼-4318</t>
  </si>
  <si>
    <t>武汉恒大城-二期-2号楼-4319</t>
  </si>
  <si>
    <t>武汉恒大城-二期-2号楼-4320</t>
  </si>
  <si>
    <t>武汉恒大城-二期-2号楼-4321</t>
  </si>
  <si>
    <t>武汉恒大城-二期-2号楼-4322</t>
  </si>
  <si>
    <t>武汉恒大城-二期-2号楼-4323</t>
  </si>
  <si>
    <t>武汉恒大城-二期-2号楼-4324</t>
  </si>
  <si>
    <t>武汉恒大城-二期-2号楼-4401</t>
  </si>
  <si>
    <t>武汉恒大城-二期-2号楼-4402</t>
  </si>
  <si>
    <t>武汉恒大城-二期-2号楼-4403</t>
  </si>
  <si>
    <t>武汉恒大城-二期-2号楼-4404</t>
  </si>
  <si>
    <t>武汉恒大城-二期-2号楼-4405</t>
  </si>
  <si>
    <t>武汉恒大城-二期-2号楼-4406</t>
  </si>
  <si>
    <t>武汉恒大城-二期-2号楼-4407</t>
  </si>
  <si>
    <t>武汉恒大城-二期-2号楼-4408</t>
  </si>
  <si>
    <t>武汉恒大城-二期-2号楼-4409</t>
  </si>
  <si>
    <t>武汉恒大城-二期-2号楼-4410</t>
  </si>
  <si>
    <t>武汉恒大城-二期-2号楼-4411</t>
  </si>
  <si>
    <t>武汉恒大城-二期-2号楼-4412</t>
  </si>
  <si>
    <t>武汉恒大城-二期-2号楼-4413</t>
  </si>
  <si>
    <t>武汉恒大城-二期-2号楼-4414</t>
  </si>
  <si>
    <t>武汉恒大城-二期-2号楼-4415</t>
  </si>
  <si>
    <t>武汉恒大城-二期-2号楼-4416</t>
  </si>
  <si>
    <t>武汉恒大城-二期-2号楼-4417</t>
  </si>
  <si>
    <t>武汉恒大城-二期-2号楼-4418</t>
  </si>
  <si>
    <t>武汉恒大城-二期-2号楼-4419</t>
  </si>
  <si>
    <t>武汉恒大城-二期-2号楼-4420</t>
  </si>
  <si>
    <t>武汉恒大城-二期-2号楼-4421</t>
  </si>
  <si>
    <t>武汉恒大城-二期-2号楼-4422</t>
  </si>
  <si>
    <t>武汉恒大城-二期-2号楼-4423</t>
  </si>
  <si>
    <t>武汉恒大城-二期-2号楼-4424</t>
  </si>
  <si>
    <t>武汉恒大城-二期-2号楼-4501</t>
  </si>
  <si>
    <t>武汉恒大城-二期-2号楼-4502</t>
  </si>
  <si>
    <t>武汉恒大城-二期-2号楼-4503</t>
  </si>
  <si>
    <t>武汉恒大城-二期-2号楼-4504</t>
  </si>
  <si>
    <t>武汉恒大城-二期-2号楼-4505</t>
  </si>
  <si>
    <t>武汉恒大城-二期-2号楼-4506</t>
  </si>
  <si>
    <t>武汉恒大城-二期-2号楼-4507</t>
  </si>
  <si>
    <t>武汉恒大城-二期-2号楼-4508</t>
  </si>
  <si>
    <t>武汉恒大城-二期-2号楼-4509</t>
  </si>
  <si>
    <t>武汉恒大城-二期-2号楼-4510</t>
  </si>
  <si>
    <t>武汉恒大城-二期-2号楼-4511</t>
  </si>
  <si>
    <t>武汉恒大城-二期-2号楼-4512</t>
  </si>
  <si>
    <t>武汉恒大城-二期-2号楼-4513</t>
  </si>
  <si>
    <t>武汉恒大城-二期-2号楼-4514</t>
  </si>
  <si>
    <t>武汉恒大城-二期-2号楼-4515</t>
  </si>
  <si>
    <t>武汉恒大城-二期-2号楼-4516</t>
  </si>
  <si>
    <t>武汉恒大城-二期-2号楼-4517</t>
  </si>
  <si>
    <t>武汉恒大城-二期-2号楼-4518</t>
  </si>
  <si>
    <t>武汉恒大城-二期-2号楼-4519</t>
  </si>
  <si>
    <t>武汉恒大城-二期-2号楼-4520</t>
  </si>
  <si>
    <t>武汉恒大城-二期-2号楼-4521</t>
  </si>
  <si>
    <t>武汉恒大城-二期-2号楼-4522</t>
  </si>
  <si>
    <t>武汉恒大城-二期-2号楼-4523</t>
  </si>
  <si>
    <t>武汉恒大城-二期-2号楼-4524</t>
  </si>
  <si>
    <t>武汉恒大城-二期-2号楼-4601</t>
  </si>
  <si>
    <t>武汉恒大城-二期-2号楼-4602</t>
  </si>
  <si>
    <t>武汉恒大城-二期-2号楼-4603</t>
  </si>
  <si>
    <t>武汉恒大城-二期-2号楼-4604</t>
  </si>
  <si>
    <t>武汉恒大城-二期-2号楼-4605</t>
  </si>
  <si>
    <t>武汉恒大城-二期-2号楼-4606</t>
  </si>
  <si>
    <t>武汉恒大城-二期-2号楼-4607</t>
  </si>
  <si>
    <t>武汉恒大城-二期-2号楼-4608</t>
  </si>
  <si>
    <t>武汉恒大城-二期-2号楼-4609</t>
  </si>
  <si>
    <t>武汉恒大城-二期-2号楼-4610</t>
  </si>
  <si>
    <t>武汉恒大城-二期-2号楼-4611</t>
  </si>
  <si>
    <t>武汉恒大城-二期-2号楼-4612</t>
  </si>
  <si>
    <t>武汉恒大城-二期-2号楼-4613</t>
  </si>
  <si>
    <t>武汉恒大城-二期-2号楼-4614</t>
  </si>
  <si>
    <t>武汉恒大城-二期-2号楼-4615</t>
  </si>
  <si>
    <t>武汉恒大城-二期-2号楼-4616</t>
  </si>
  <si>
    <t>武汉恒大城-二期-2号楼-4617</t>
  </si>
  <si>
    <t>武汉恒大城-二期-2号楼-4618</t>
  </si>
  <si>
    <t>武汉恒大城-二期-2号楼-4619</t>
  </si>
  <si>
    <t>武汉恒大城-二期-2号楼-4620</t>
  </si>
  <si>
    <t>武汉恒大城-二期-2号楼-4621</t>
  </si>
  <si>
    <t>武汉恒大城-二期-2号楼-4622</t>
  </si>
  <si>
    <t>武汉恒大城-二期-2号楼-4623</t>
  </si>
  <si>
    <t>武汉恒大城-二期-2号楼-4624</t>
  </si>
  <si>
    <t>武汉恒大城-二期-2号楼-4701</t>
  </si>
  <si>
    <t>武汉恒大城-二期-2号楼-4702</t>
  </si>
  <si>
    <t>武汉恒大城-二期-2号楼-4703</t>
  </si>
  <si>
    <t>武汉恒大城-二期-2号楼-4704</t>
  </si>
  <si>
    <t>武汉恒大城-二期-2号楼-4705</t>
  </si>
  <si>
    <t>武汉恒大城-二期-2号楼-4706</t>
  </si>
  <si>
    <t>武汉恒大城-二期-2号楼-4707</t>
  </si>
  <si>
    <t>武汉恒大城-二期-2号楼-4708</t>
  </si>
  <si>
    <t>武汉恒大城-二期-2号楼-4709</t>
  </si>
  <si>
    <t>武汉恒大城-二期-2号楼-4710</t>
  </si>
  <si>
    <t>武汉恒大城-二期-2号楼-4711</t>
  </si>
  <si>
    <t>武汉恒大城-二期-2号楼-4712</t>
  </si>
  <si>
    <t>武汉恒大城-二期-2号楼-4713</t>
  </si>
  <si>
    <t>武汉恒大城-二期-2号楼-4714</t>
  </si>
  <si>
    <t>武汉恒大城-二期-2号楼-4715</t>
  </si>
  <si>
    <t>武汉恒大城-二期-2号楼-4716</t>
  </si>
  <si>
    <t>武汉恒大城-二期-2号楼-4717</t>
  </si>
  <si>
    <t>武汉恒大城-二期-2号楼-4718</t>
  </si>
  <si>
    <t>武汉恒大城-二期-2号楼-4719</t>
  </si>
  <si>
    <t>武汉恒大城-二期-2号楼-4720</t>
  </si>
  <si>
    <t>武汉恒大城-二期-2号楼-4721</t>
  </si>
  <si>
    <t>武汉恒大城-二期-2号楼-4722</t>
  </si>
  <si>
    <t>武汉恒大城-二期-2号楼-4723</t>
  </si>
  <si>
    <t>武汉恒大城-二期-2号楼-4724</t>
  </si>
  <si>
    <t>武汉恒大城-二期-2号楼-4801</t>
  </si>
  <si>
    <t>武汉恒大城-二期-2号楼-4802</t>
  </si>
  <si>
    <t>武汉恒大城-二期-2号楼-4803</t>
  </si>
  <si>
    <t>武汉恒大城-二期-2号楼-4804</t>
  </si>
  <si>
    <t>武汉恒大城-二期-2号楼-4805</t>
  </si>
  <si>
    <t>武汉恒大城-二期-2号楼-4806</t>
  </si>
  <si>
    <t>武汉恒大城-二期-2号楼-4807</t>
  </si>
  <si>
    <t>武汉恒大城-二期-2号楼-4808</t>
  </si>
  <si>
    <t>武汉恒大城-二期-2号楼-4809</t>
  </si>
  <si>
    <t>武汉恒大城-二期-2号楼-4810</t>
  </si>
  <si>
    <t>武汉恒大城-二期-2号楼-4811</t>
  </si>
  <si>
    <t>武汉恒大城-二期-2号楼-4812</t>
  </si>
  <si>
    <t>武汉恒大城-二期-2号楼-4813</t>
  </si>
  <si>
    <t>武汉恒大城-二期-2号楼-4814</t>
  </si>
  <si>
    <t>武汉恒大城-二期-2号楼-4815</t>
  </si>
  <si>
    <t>武汉恒大城-二期-2号楼-4816</t>
  </si>
  <si>
    <t>武汉恒大城-二期-2号楼-4817</t>
  </si>
  <si>
    <t>武汉恒大城-二期-2号楼-4818</t>
  </si>
  <si>
    <t>武汉恒大城-二期-2号楼-4819</t>
  </si>
  <si>
    <t>武汉恒大城-二期-2号楼-4820</t>
  </si>
  <si>
    <t>武汉恒大城-二期-2号楼-4821</t>
  </si>
  <si>
    <t>武汉恒大城-二期-2号楼-4822</t>
  </si>
  <si>
    <t>武汉恒大城-二期-2号楼-4823</t>
  </si>
  <si>
    <t>武汉恒大城-二期-2号楼-4824</t>
  </si>
  <si>
    <t>武汉恒大城-二期-2号楼-4901</t>
  </si>
  <si>
    <t>武汉恒大城-二期-2号楼-4902</t>
  </si>
  <si>
    <t>武汉恒大城-二期-2号楼-4903</t>
  </si>
  <si>
    <t>武汉恒大城-二期-2号楼-4904</t>
  </si>
  <si>
    <t>武汉恒大城-二期-2号楼-4905</t>
  </si>
  <si>
    <t>武汉恒大城-二期-2号楼-4906</t>
  </si>
  <si>
    <t>武汉恒大城-二期-2号楼-4907</t>
  </si>
  <si>
    <t>武汉恒大城-二期-2号楼-4908</t>
  </si>
  <si>
    <t>武汉恒大城-二期-2号楼-4909</t>
  </si>
  <si>
    <t>武汉恒大城-二期-2号楼-4910</t>
  </si>
  <si>
    <t>武汉恒大城-二期-2号楼-4911</t>
  </si>
  <si>
    <t>武汉恒大城-二期-2号楼-4912</t>
  </si>
  <si>
    <t>武汉恒大城-二期-2号楼-4913</t>
  </si>
  <si>
    <t>武汉恒大城-二期-2号楼-4914</t>
  </si>
  <si>
    <t>武汉恒大城-二期-2号楼-4915</t>
  </si>
  <si>
    <t>武汉恒大城-二期-2号楼-4916</t>
  </si>
  <si>
    <t>武汉恒大城-二期-2号楼-4917</t>
  </si>
  <si>
    <t>武汉恒大城-二期-2号楼-4918</t>
  </si>
  <si>
    <t>武汉恒大城-二期-2号楼-4919</t>
  </si>
  <si>
    <t>武汉恒大城-二期-2号楼-4920</t>
  </si>
  <si>
    <t>武汉恒大城-二期-2号楼-4921</t>
  </si>
  <si>
    <t>武汉恒大城-二期-2号楼-4922</t>
  </si>
  <si>
    <t>武汉恒大城-二期-2号楼-4923</t>
  </si>
  <si>
    <t>武汉恒大城-二期-2号楼-4924</t>
  </si>
  <si>
    <t>武汉恒大城-二期-2号楼-5001</t>
  </si>
  <si>
    <t>武汉恒大城-二期-2号楼-5002</t>
  </si>
  <si>
    <t>武汉恒大城-二期-2号楼-5003</t>
  </si>
  <si>
    <t>武汉恒大城-二期-2号楼-5004</t>
  </si>
  <si>
    <t>武汉恒大城-二期-2号楼-5005</t>
  </si>
  <si>
    <t>武汉恒大城-二期-2号楼-5006</t>
  </si>
  <si>
    <t>武汉恒大城-二期-2号楼-5007</t>
  </si>
  <si>
    <t>武汉恒大城-二期-2号楼-5008</t>
  </si>
  <si>
    <t>武汉恒大城-二期-2号楼-5009</t>
  </si>
  <si>
    <t>武汉恒大城-二期-2号楼-5010</t>
  </si>
  <si>
    <t>武汉恒大城-二期-2号楼-5011</t>
  </si>
  <si>
    <t>武汉恒大城-二期-2号楼-5012</t>
  </si>
  <si>
    <t>武汉恒大城-二期-2号楼-5013</t>
  </si>
  <si>
    <t>武汉恒大城-二期-2号楼-5014</t>
  </si>
  <si>
    <t>武汉恒大城-二期-2号楼-5015</t>
  </si>
  <si>
    <t>武汉恒大城-二期-2号楼-5016</t>
  </si>
  <si>
    <t>武汉恒大城-二期-2号楼-5017</t>
  </si>
  <si>
    <t>武汉恒大城-二期-2号楼-5018</t>
  </si>
  <si>
    <t>武汉恒大城-二期-2号楼-5019</t>
  </si>
  <si>
    <t>武汉恒大城-二期-2号楼-5020</t>
  </si>
  <si>
    <t>武汉恒大城-二期-2号楼-5021</t>
  </si>
  <si>
    <t>武汉恒大城-二期-2号楼-5022</t>
  </si>
  <si>
    <t>武汉恒大城-二期-2号楼-5023</t>
  </si>
  <si>
    <t>武汉恒大城-二期-2号楼-5024</t>
  </si>
  <si>
    <t>武汉恒大城-二期-2号楼-5101</t>
  </si>
  <si>
    <t>武汉恒大城-二期-2号楼-5102</t>
  </si>
  <si>
    <t>武汉恒大城-二期-2号楼-5103</t>
  </si>
  <si>
    <t>武汉恒大城-二期-2号楼-5104</t>
  </si>
  <si>
    <t>武汉恒大城-二期-2号楼-5105</t>
  </si>
  <si>
    <t>武汉恒大城-二期-2号楼-5106</t>
  </si>
  <si>
    <t>武汉恒大城-二期-2号楼-5107</t>
  </si>
  <si>
    <t>武汉恒大城-二期-2号楼-5108</t>
  </si>
  <si>
    <t>武汉恒大城-二期-2号楼-5109</t>
  </si>
  <si>
    <t>武汉恒大城-二期-2号楼-5110</t>
  </si>
  <si>
    <t>武汉恒大城-二期-2号楼-5111</t>
  </si>
  <si>
    <t>武汉恒大城-二期-2号楼-5112</t>
  </si>
  <si>
    <t>武汉恒大城-二期-2号楼-5113</t>
  </si>
  <si>
    <t>武汉恒大城-二期-2号楼-5114</t>
  </si>
  <si>
    <t>武汉恒大城-二期-2号楼-5115</t>
  </si>
  <si>
    <t>武汉恒大城-二期-2号楼-5116</t>
  </si>
  <si>
    <t>武汉恒大城-二期-2号楼-5117</t>
  </si>
  <si>
    <t>武汉恒大城-二期-2号楼-5118</t>
  </si>
  <si>
    <t>武汉恒大城-二期-2号楼-5119</t>
  </si>
  <si>
    <t>武汉恒大城-二期-2号楼-5120</t>
  </si>
  <si>
    <t>武汉恒大城-二期-2号楼-5121</t>
  </si>
  <si>
    <t>武汉恒大城-二期-2号楼-5122</t>
  </si>
  <si>
    <t>武汉恒大城-二期-2号楼-5123</t>
  </si>
  <si>
    <t>武汉恒大城-二期-2号楼-5124</t>
  </si>
  <si>
    <t>武汉恒大城-二期-2号楼-5201</t>
  </si>
  <si>
    <t>武汉恒大城-二期-2号楼-5202</t>
  </si>
  <si>
    <t>武汉恒大城-二期-2号楼-5203</t>
  </si>
  <si>
    <t>武汉恒大城-二期-2号楼-5204</t>
  </si>
  <si>
    <t>武汉恒大城-二期-2号楼-5205</t>
  </si>
  <si>
    <t>武汉恒大城-二期-2号楼-5206</t>
  </si>
  <si>
    <t>武汉恒大城-二期-2号楼-5207</t>
  </si>
  <si>
    <t>武汉恒大城-二期-2号楼-5208</t>
  </si>
  <si>
    <t>武汉恒大城-二期-2号楼-5209</t>
  </si>
  <si>
    <t>武汉恒大城-二期-2号楼-5210</t>
  </si>
  <si>
    <t>武汉恒大城-二期-2号楼-5211</t>
  </si>
  <si>
    <t>武汉恒大城-二期-2号楼-5212</t>
  </si>
  <si>
    <t>武汉恒大城-二期-2号楼-5213</t>
  </si>
  <si>
    <t>武汉恒大城-二期-2号楼-5214</t>
  </si>
  <si>
    <t>武汉恒大城-二期-2号楼-5215</t>
  </si>
  <si>
    <t>武汉恒大城-二期-2号楼-5216</t>
  </si>
  <si>
    <t>武汉恒大城-二期-2号楼-5217</t>
  </si>
  <si>
    <t>武汉恒大城-二期-2号楼-5218</t>
  </si>
  <si>
    <t>武汉恒大城-二期-2号楼-5219</t>
  </si>
  <si>
    <t>武汉恒大城-二期-2号楼-5220</t>
  </si>
  <si>
    <t>武汉恒大城-二期-2号楼-5221</t>
  </si>
  <si>
    <t>武汉恒大城-二期-2号楼-5222</t>
  </si>
  <si>
    <t>武汉恒大城-二期-2号楼-5223</t>
  </si>
  <si>
    <t>武汉恒大城-二期-2号楼-5224</t>
  </si>
  <si>
    <t>武汉恒大城-二期-2号楼-5301</t>
  </si>
  <si>
    <t>武汉恒大城-二期-2号楼-5302</t>
  </si>
  <si>
    <t>武汉恒大城-二期-2号楼-5303</t>
  </si>
  <si>
    <t>武汉恒大城-二期-2号楼-5304</t>
  </si>
  <si>
    <t>武汉恒大城-二期-2号楼-5305</t>
  </si>
  <si>
    <t>武汉恒大城-二期-2号楼-5306</t>
  </si>
  <si>
    <t>武汉恒大城-二期-2号楼-5307</t>
  </si>
  <si>
    <t>武汉恒大城-二期-2号楼-5308</t>
  </si>
  <si>
    <t>武汉恒大城-二期-2号楼-5309</t>
  </si>
  <si>
    <t>武汉恒大城-二期-2号楼-5310</t>
  </si>
  <si>
    <t>武汉恒大城-二期-2号楼-5311</t>
  </si>
  <si>
    <t>武汉恒大城-二期-2号楼-5312</t>
  </si>
  <si>
    <t>武汉恒大城-二期-2号楼-5313</t>
  </si>
  <si>
    <t>武汉恒大城-二期-2号楼-5314</t>
  </si>
  <si>
    <t>武汉恒大城-二期-2号楼-5315</t>
  </si>
  <si>
    <t>武汉恒大城-二期-2号楼-5316</t>
  </si>
  <si>
    <t>武汉恒大城-二期-2号楼-5317</t>
  </si>
  <si>
    <t>武汉恒大城-二期-2号楼-5318</t>
  </si>
  <si>
    <t>武汉恒大城-二期-2号楼-5319</t>
  </si>
  <si>
    <t>武汉恒大城-二期-2号楼-5320</t>
  </si>
  <si>
    <t>武汉恒大城-二期-2号楼-5321</t>
  </si>
  <si>
    <t>武汉恒大城-二期-2号楼-5322</t>
  </si>
  <si>
    <t>武汉恒大城-二期-2号楼-5323</t>
  </si>
  <si>
    <t>武汉恒大城-二期-2号楼-5324</t>
  </si>
  <si>
    <t>武汉恒大城-二期-2号楼-5401</t>
  </si>
  <si>
    <t>武汉恒大城-二期-2号楼-5402</t>
  </si>
  <si>
    <t>武汉恒大城-二期-2号楼-5403</t>
  </si>
  <si>
    <t>武汉恒大城-二期-2号楼-5404</t>
  </si>
  <si>
    <t>武汉恒大城-二期-2号楼-5405</t>
  </si>
  <si>
    <t>武汉恒大城-二期-2号楼-5406</t>
  </si>
  <si>
    <t>武汉恒大城-二期-2号楼-5407</t>
  </si>
  <si>
    <t>武汉恒大城-二期-2号楼-5408</t>
  </si>
  <si>
    <t>武汉恒大城-二期-2号楼-5409</t>
  </si>
  <si>
    <t>武汉恒大城-二期-2号楼-5410</t>
  </si>
  <si>
    <t>武汉恒大城-二期-2号楼-5411</t>
  </si>
  <si>
    <t>武汉恒大城-二期-2号楼-5412</t>
  </si>
  <si>
    <t>武汉恒大城-二期-2号楼-5413</t>
  </si>
  <si>
    <t>武汉恒大城-二期-2号楼-5414</t>
  </si>
  <si>
    <t>武汉恒大城-二期-2号楼-5415</t>
  </si>
  <si>
    <t>武汉恒大城-二期-2号楼-5416</t>
  </si>
  <si>
    <t>武汉恒大城-二期-2号楼-5417</t>
  </si>
  <si>
    <t>武汉恒大城-二期-2号楼-5418</t>
  </si>
  <si>
    <t>武汉恒大城-二期-2号楼-5419</t>
  </si>
  <si>
    <t>武汉恒大城-二期-2号楼-5420</t>
  </si>
  <si>
    <t>武汉恒大城-二期-2号楼-5421</t>
  </si>
  <si>
    <t>武汉恒大城-二期-2号楼-5422</t>
  </si>
  <si>
    <t>武汉恒大城-二期-2号楼-5423</t>
  </si>
  <si>
    <t>武汉恒大城-二期-2号楼-5424</t>
  </si>
  <si>
    <t>武汉恒大城-二期-2号楼-5501</t>
  </si>
  <si>
    <t>武汉恒大城-二期-2号楼-5502</t>
  </si>
  <si>
    <t>武汉恒大城-二期-2号楼-5503</t>
  </si>
  <si>
    <t>武汉恒大城-二期-2号楼-5504</t>
  </si>
  <si>
    <t>武汉恒大城-二期-2号楼-5505</t>
  </si>
  <si>
    <t>武汉恒大城-二期-2号楼-5506</t>
  </si>
  <si>
    <t>武汉恒大城-二期-2号楼-5507</t>
  </si>
  <si>
    <t>武汉恒大城-二期-2号楼-5508</t>
  </si>
  <si>
    <t>武汉恒大城-二期-2号楼-5509</t>
  </si>
  <si>
    <t>武汉恒大城-二期-2号楼-5510</t>
  </si>
  <si>
    <t>武汉恒大城-二期-2号楼-5511</t>
  </si>
  <si>
    <t>武汉恒大城-二期-2号楼-5512</t>
  </si>
  <si>
    <t>武汉恒大城-二期-2号楼-5513</t>
  </si>
  <si>
    <t>武汉恒大城-二期-2号楼-5514</t>
  </si>
  <si>
    <t>武汉恒大城-二期-2号楼-5515</t>
  </si>
  <si>
    <t>武汉恒大城-二期-2号楼-5516</t>
  </si>
  <si>
    <t>武汉恒大城-二期-2号楼-5517</t>
  </si>
  <si>
    <t>武汉恒大城-二期-2号楼-5518</t>
  </si>
  <si>
    <t>武汉恒大城-二期-2号楼-5519</t>
  </si>
  <si>
    <t>武汉恒大城-二期-2号楼-5520</t>
  </si>
  <si>
    <t>武汉恒大城-二期-2号楼-5521</t>
  </si>
  <si>
    <t>武汉恒大城-二期-2号楼-5522</t>
  </si>
  <si>
    <t>武汉恒大城-二期-2号楼-5523</t>
  </si>
  <si>
    <t>武汉恒大城-二期-2号楼-5524</t>
  </si>
  <si>
    <t>抵押</t>
  </si>
  <si>
    <t>房地产抵押价值</t>
  </si>
  <si>
    <t>其他：</t>
  </si>
  <si>
    <t>企业</t>
  </si>
  <si>
    <t>出让</t>
  </si>
  <si>
    <t>地上</t>
  </si>
  <si>
    <t>是</t>
  </si>
  <si>
    <t>已包含在土地取得成本中</t>
  </si>
  <si>
    <t>东西湖区金银湖东一路以东、金银湖南街以北</t>
  </si>
  <si>
    <t>东西湖区金银湖街金银湖路以东、金桥二路以南</t>
  </si>
  <si>
    <t>东西湖区金银湖南一街以南、金银湖西路以西</t>
  </si>
  <si>
    <t>2018-10-30</t>
  </si>
  <si>
    <t>正常</t>
  </si>
  <si>
    <t>一般</t>
  </si>
  <si>
    <t>较好</t>
  </si>
  <si>
    <t>六通</t>
  </si>
  <si>
    <t>单面临街</t>
  </si>
  <si>
    <t>支路</t>
  </si>
  <si>
    <t>较规则</t>
  </si>
  <si>
    <t>比例较适宜</t>
  </si>
  <si>
    <t>六通一平</t>
  </si>
  <si>
    <t>2017-12-04</t>
  </si>
  <si>
    <t>限价</t>
  </si>
  <si>
    <t>2016-11-22</t>
  </si>
  <si>
    <t>较差</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</si>
  <si>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</si>
  <si>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</si>
  <si>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</si>
  <si>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</si>
  <si>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</si>
  <si>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</si>
  <si>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</si>
  <si>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</si>
  <si>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</si>
  <si>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</si>
  <si>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</si>
  <si>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</si>
  <si>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</si>
  <si>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</si>
  <si>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</si>
  <si>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</si>
  <si>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</si>
  <si>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</si>
  <si>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</si>
  <si>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</si>
  <si>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东西湖区径河街临空港大道以西、三店北路以北</t>
  </si>
  <si>
    <t>武汉市</t>
  </si>
  <si>
    <t>商业/办公用地</t>
  </si>
  <si>
    <t>挂牌</t>
  </si>
  <si>
    <t>P(2018)168号</t>
  </si>
  <si>
    <t>商服</t>
  </si>
  <si>
    <t>≤3.2</t>
  </si>
  <si>
    <t>2018-12-25</t>
  </si>
  <si>
    <t>武告字(2018年)26号-8</t>
  </si>
  <si>
    <t>武汉长江日报数字大厦建设发展有限公司</t>
  </si>
  <si>
    <t>商服40年</t>
  </si>
  <si>
    <t>3星</t>
  </si>
  <si>
    <t>P(2018)116号</t>
  </si>
  <si>
    <t>≤4.5</t>
  </si>
  <si>
    <t>武告字(2018年)20号-1</t>
  </si>
  <si>
    <t>武汉东西湖啤酒集团公司</t>
  </si>
  <si>
    <t>东西湖区革新路以北、新城十五路西</t>
  </si>
  <si>
    <t>P(2018)079号</t>
  </si>
  <si>
    <t>≤3.0</t>
  </si>
  <si>
    <t>2018-10-19</t>
  </si>
  <si>
    <t>武告字(2018年)14号-4</t>
  </si>
  <si>
    <t>武汉博大房地产开发有限责任公司</t>
  </si>
  <si>
    <t>2星</t>
  </si>
  <si>
    <t>东西湖区金北一路以北、三店中路以西</t>
  </si>
  <si>
    <t>P(2018)086号</t>
  </si>
  <si>
    <t>2018-09-18</t>
  </si>
  <si>
    <t>武告字(2018年)15号-3</t>
  </si>
  <si>
    <t>武汉临空港经济技术区城市建设发展投资集团有限公司</t>
  </si>
  <si>
    <t>东西湖区金银湖北路以南、金银湖西路以东</t>
  </si>
  <si>
    <t>P(2018)015号</t>
  </si>
  <si>
    <t>商服(停车场)</t>
  </si>
  <si>
    <t>2018-03-13</t>
  </si>
  <si>
    <t>武告字(2018年)2号-4</t>
  </si>
  <si>
    <t>良品铺子股份有限公司</t>
  </si>
  <si>
    <t>东西湖区临空港大道以东、塔西路以北</t>
  </si>
  <si>
    <t>P(2018)020号</t>
  </si>
  <si>
    <t>武告字(2018年)2号-9</t>
  </si>
  <si>
    <t>启迪网安合众科技发展(武汉)有限公司</t>
  </si>
  <si>
    <t>东西湖区金银湖街环湖路西、金山大道北</t>
  </si>
  <si>
    <t>P(2017)165号</t>
  </si>
  <si>
    <t>2017-12-26</t>
  </si>
  <si>
    <t>武告字(2017年)17号-13</t>
  </si>
  <si>
    <t>武汉临空港经济技术开发区服务业发展投资集团有限公司</t>
  </si>
  <si>
    <t>4星</t>
  </si>
  <si>
    <t>东西湖区东柏路以北、张柏路以西</t>
  </si>
  <si>
    <t>P(2017)145号</t>
  </si>
  <si>
    <t>武告字(2017年)15号-18</t>
  </si>
  <si>
    <t>武汉琛睿建设工程有限公司</t>
  </si>
  <si>
    <t>1星</t>
  </si>
  <si>
    <t>P(2017)144号</t>
  </si>
  <si>
    <t>武告字(2017年)15号-17</t>
  </si>
  <si>
    <t>武汉万龙愿景房地产投资有限公司</t>
  </si>
  <si>
    <t>东西湖区一〇七国道以南、高桥南二路以西</t>
  </si>
  <si>
    <t>P(2017)028号</t>
  </si>
  <si>
    <t>2017-04-18</t>
  </si>
  <si>
    <t>武告字(2017年)4号-2</t>
  </si>
  <si>
    <t>武汉博大置业发展有限公司</t>
  </si>
  <si>
    <t>P(2017)029号</t>
  </si>
  <si>
    <t>武告字(2017年)4号-3</t>
  </si>
  <si>
    <t>东西湖区金银湖街金银湖南街以北、金南二路以西</t>
  </si>
  <si>
    <t>P(2017)025号</t>
  </si>
  <si>
    <t>商服用地</t>
  </si>
  <si>
    <t>2017-03-21</t>
  </si>
  <si>
    <t>武告字(2017年)3号-4</t>
  </si>
  <si>
    <t>武汉园林绿化建设发展有限公司</t>
  </si>
  <si>
    <t>40年</t>
  </si>
  <si>
    <t>P(2016)107号</t>
  </si>
  <si>
    <t>武告字(2016年)18号-6</t>
  </si>
  <si>
    <t>武汉华生制冷工业有限责任公司</t>
  </si>
  <si>
    <t>东西湖区径河街临空港大道以西、三店南路以北</t>
  </si>
  <si>
    <t>P(2016)093号</t>
  </si>
  <si>
    <t>2016-09-13</t>
  </si>
  <si>
    <t>武告字(2016年)15号-6</t>
  </si>
  <si>
    <t>武汉长信隆源置业有限公司</t>
  </si>
  <si>
    <t>东西湖区商贸大道以南、新岭二路以西</t>
  </si>
  <si>
    <t>P(2016)092号</t>
  </si>
  <si>
    <t>武告字(2016年)15号-5</t>
  </si>
  <si>
    <t>武汉美安储运有限公司</t>
  </si>
  <si>
    <t>东西湖区金银湖街马池路北、银湖东路东</t>
  </si>
  <si>
    <t>P(2016)081号</t>
  </si>
  <si>
    <t>2016-08-16</t>
  </si>
  <si>
    <t>武告字(2016年)13号-7</t>
  </si>
  <si>
    <t>中信工程设计建设有限公司</t>
  </si>
  <si>
    <t>东西湖区径河街张柏路以东、塔西路以南</t>
  </si>
  <si>
    <t>P(2016)056号</t>
  </si>
  <si>
    <t>2016-07-08</t>
  </si>
  <si>
    <t>武告字(2016年)10号-2</t>
  </si>
  <si>
    <t>武汉市径河实业(集团)有限责任公司</t>
  </si>
  <si>
    <t>东西湖区辛安渡办事处107国道以西、袁家台南路以南</t>
  </si>
  <si>
    <t>P(2016)027号</t>
  </si>
  <si>
    <t>商服用地(加油站)</t>
  </si>
  <si>
    <t>2016-05-05</t>
  </si>
  <si>
    <t>武告字(2016年)6号-5</t>
  </si>
  <si>
    <t>武汉市广润石油制品有限公司</t>
  </si>
  <si>
    <t>东西湖区金银湖街环湖中路东、柏环二路北</t>
  </si>
  <si>
    <t>P(2016)020号</t>
  </si>
  <si>
    <t>商业用地</t>
  </si>
  <si>
    <t>2016-04-19</t>
  </si>
  <si>
    <t>武告字(2016年)4号-4</t>
  </si>
  <si>
    <t>湖北怡清雅筑房地产开发有限公司</t>
  </si>
  <si>
    <t>商业</t>
    <phoneticPr fontId="31" type="noConversion"/>
  </si>
  <si>
    <t>无</t>
  </si>
  <si>
    <t>有</t>
    <phoneticPr fontId="143" type="noConversion"/>
  </si>
  <si>
    <t>中</t>
  </si>
  <si>
    <t>高</t>
  </si>
  <si>
    <t>无</t>
    <phoneticPr fontId="143" type="noConversion"/>
  </si>
  <si>
    <t>主干道</t>
  </si>
  <si>
    <t>次干道</t>
  </si>
  <si>
    <t>七通一平</t>
  </si>
  <si>
    <t>五通一平</t>
  </si>
  <si>
    <t>四通一平</t>
  </si>
  <si>
    <t>三通一平</t>
  </si>
  <si>
    <t>双面临街</t>
  </si>
  <si>
    <t>全部缴纳</t>
  </si>
  <si>
    <t>成本法</t>
  </si>
  <si>
    <t>假设开发法</t>
  </si>
  <si>
    <t>东西湖区金银湖街环湖路西、金山大道北</t>
    <phoneticPr fontId="31" type="noConversion"/>
  </si>
  <si>
    <t>华生城·首府</t>
    <phoneticPr fontId="3" type="noConversion"/>
  </si>
  <si>
    <t>园博大道（宜家旁）</t>
    <phoneticPr fontId="3" type="noConversion"/>
  </si>
  <si>
    <t>商住公寓</t>
    <phoneticPr fontId="25" type="noConversion"/>
  </si>
  <si>
    <t>30-40（含）</t>
  </si>
  <si>
    <t>公寓</t>
    <phoneticPr fontId="25" type="noConversion"/>
  </si>
  <si>
    <t>钢混</t>
  </si>
  <si>
    <t>钢混</t>
    <phoneticPr fontId="25" type="noConversion"/>
  </si>
  <si>
    <t>较好</t>
    <phoneticPr fontId="25" type="noConversion"/>
  </si>
  <si>
    <t>精装修</t>
  </si>
  <si>
    <t>精装修</t>
    <phoneticPr fontId="25" type="noConversion"/>
  </si>
  <si>
    <t>专业</t>
  </si>
  <si>
    <t>专业</t>
    <phoneticPr fontId="25" type="noConversion"/>
  </si>
  <si>
    <t>六通</t>
    <phoneticPr fontId="25" type="noConversion"/>
  </si>
  <si>
    <t>loft</t>
  </si>
  <si>
    <t>loft</t>
    <phoneticPr fontId="25" type="noConversion"/>
  </si>
  <si>
    <t>平层</t>
  </si>
  <si>
    <t>平层</t>
    <phoneticPr fontId="25" type="noConversion"/>
  </si>
  <si>
    <t>毛坯</t>
  </si>
  <si>
    <t>毛坯</t>
    <phoneticPr fontId="25" type="noConversion"/>
  </si>
  <si>
    <t>50/80</t>
    <phoneticPr fontId="25" type="noConversion"/>
  </si>
  <si>
    <t>商业繁华度</t>
    <phoneticPr fontId="25" type="noConversion"/>
  </si>
  <si>
    <t>较差</t>
    <phoneticPr fontId="25" type="noConversion"/>
  </si>
  <si>
    <t>一般</t>
    <phoneticPr fontId="25" type="noConversion"/>
  </si>
  <si>
    <t>庭瑞新汉口</t>
    <phoneticPr fontId="3" type="noConversion"/>
  </si>
  <si>
    <t>环湖中路与马池中路交汇处（汉口马池路轻工业大学旁）</t>
    <phoneticPr fontId="3" type="noConversion"/>
  </si>
  <si>
    <t>一般</t>
    <phoneticPr fontId="25" type="noConversion"/>
  </si>
  <si>
    <t>立方时空</t>
    <phoneticPr fontId="3" type="noConversion"/>
  </si>
  <si>
    <t>东西湖大道与三秀路交汇处（1号线汉五环大道站约400米处）</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</si>
</sst>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仿宋_GB2312"/>
      <family val="3"/>
      <charset val="134"/>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0" fillId="0" borderId="0" xfId="0" applyFont="1" applyAlignment="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horizontal="center" vertical="center"/>
    </xf>
    <xf numFmtId="0" fontId="254" fillId="0" borderId="23" xfId="0" applyFont="1" applyFill="1" applyBorder="1" applyAlignment="1" applyProtection="1">
      <alignment horizontal="center" vertical="center" wrapText="1"/>
      <protection locked="0"/>
    </xf>
    <xf numFmtId="0" fontId="0" fillId="5" borderId="0" xfId="0" applyFill="1" applyAlignment="1"/>
    <xf numFmtId="0" fontId="0" fillId="0" borderId="0" xfId="0" applyFill="1" applyAlignment="1"/>
    <xf numFmtId="0" fontId="98" fillId="0" borderId="9"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2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估价对象为出让国有建设用地使用权及在建建筑物房地产，为所有。根据《国有土地使用证》[]，估价对象（分摊）出让国有建设用地使用权面积为9460.81平方米，建筑面积为33112.8400000002平方米。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该项目尚在开发建设中。根据《国有土地使用证》[]，估价对象（分摊）出让国有建设用地使用权面积为9460.81平方米，规划建筑面积为33112.8400000002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2019年4月18日（评估专业人员实地查勘之日）</v>
      </c>
    </row>
    <row r="13" spans="1:2" s="1593" customFormat="1">
      <c r="A13" s="1591" t="s">
        <v>1223</v>
      </c>
      <c r="B13" s="1592" t="str">
        <f>'预评函-1'!A18</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24182</v>
      </c>
    </row>
    <row r="21" spans="1:2" s="1593" customFormat="1">
      <c r="A21" s="1591" t="s">
        <v>1231</v>
      </c>
      <c r="B21" s="1592">
        <f ca="1">'预评函-2'!D7</f>
        <v>7303</v>
      </c>
    </row>
    <row r="22" spans="1:2" s="1593" customFormat="1">
      <c r="A22" s="1591" t="s">
        <v>1232</v>
      </c>
      <c r="B22" s="1592" t="str">
        <f ca="1">'预评函-2'!D6</f>
        <v>贰亿肆仟壹佰捌拾贰万元整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24182</v>
      </c>
    </row>
    <row r="31" spans="1:2" s="1593" customFormat="1">
      <c r="A31" s="1591" t="s">
        <v>1270</v>
      </c>
      <c r="B31" s="1592">
        <f ca="1">'预评函-2'!D15</f>
        <v>7303</v>
      </c>
    </row>
    <row r="32" spans="1:2" s="1593" customFormat="1">
      <c r="A32" s="1591" t="s">
        <v>1237</v>
      </c>
      <c r="B32" s="1592" t="str">
        <f ca="1">'预评函-2'!D14</f>
        <v>贰亿肆仟壹佰捌拾贰万元整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33112.840000000157</v>
      </c>
    </row>
    <row r="44" spans="1:2" s="1593" customFormat="1">
      <c r="A44" s="1591" t="s">
        <v>1269</v>
      </c>
      <c r="B44" s="1592" t="str">
        <f>'预评函-3'!C2</f>
        <v>(分摊)土地面积</v>
      </c>
    </row>
    <row r="45" spans="1:2" s="1593" customFormat="1">
      <c r="A45" s="1591" t="s">
        <v>1241</v>
      </c>
      <c r="B45" s="1592">
        <f>'预评函-3'!C4</f>
        <v>9460.81</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5"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5"/>
      <c r="B54" s="2022" t="s">
        <v>861</v>
      </c>
      <c r="C54" s="2019" t="s">
        <v>1277</v>
      </c>
    </row>
    <row r="55" spans="1:4">
      <c r="A55" s="2995"/>
      <c r="B55" s="2022" t="s">
        <v>862</v>
      </c>
      <c r="C55" s="2019" t="s">
        <v>1278</v>
      </c>
    </row>
    <row r="56" spans="1:4">
      <c r="A56" s="2995"/>
      <c r="B56" s="2022" t="s">
        <v>863</v>
      </c>
      <c r="C56" s="2019" t="s">
        <v>1282</v>
      </c>
    </row>
    <row r="57" spans="1:4">
      <c r="A57" s="2995"/>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8" sqref="M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4" t="str">
        <f>IF(B10="北京市","北京市",C10)&amp;F10&amp;IF(结果表!G1="在建","出让国有建设用地使用权及在建建筑物",IF(结果表!G1="土地","出让国有建设用地使用权",))&amp;B9&amp;"预评估"</f>
        <v>出让国有建设用地使用权及在建建筑物房地产抵押价值预评估</v>
      </c>
      <c r="C1" s="3005"/>
      <c r="D1" s="3005"/>
      <c r="E1" s="3005"/>
      <c r="F1" s="3005"/>
      <c r="G1" s="3005"/>
      <c r="H1" s="3005"/>
      <c r="I1" s="3006"/>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1774</v>
      </c>
      <c r="B3" s="2036">
        <v>43573</v>
      </c>
      <c r="C3" s="2037" t="s">
        <v>1775</v>
      </c>
      <c r="D3" s="2036">
        <f>B3</f>
        <v>43573</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3634</v>
      </c>
      <c r="C8" s="2056"/>
      <c r="D8" s="3007" t="s">
        <v>1781</v>
      </c>
      <c r="E8" s="2057" t="s">
        <v>3635</v>
      </c>
      <c r="F8" s="2058"/>
      <c r="G8" s="2026"/>
      <c r="H8" s="2026"/>
      <c r="I8" s="2026"/>
      <c r="J8" s="2042"/>
      <c r="K8" s="2043"/>
      <c r="L8" s="2028"/>
      <c r="M8" s="2028"/>
      <c r="N8" s="2029"/>
      <c r="O8" s="2030"/>
      <c r="P8" s="2029"/>
      <c r="Q8" s="2029"/>
      <c r="R8" s="2029"/>
    </row>
    <row r="9" spans="1:19" ht="18" customHeight="1" thickBot="1">
      <c r="A9" s="2040" t="s">
        <v>1782</v>
      </c>
      <c r="B9" s="2059" t="s">
        <v>3635</v>
      </c>
      <c r="C9" s="2060"/>
      <c r="D9" s="3008"/>
      <c r="E9" s="2059"/>
      <c r="F9" s="2061"/>
      <c r="G9" s="2062"/>
      <c r="H9" s="2062"/>
      <c r="I9" s="2062"/>
      <c r="J9" s="2042"/>
      <c r="K9" s="2054"/>
      <c r="L9" s="2028"/>
      <c r="M9" s="2028"/>
      <c r="N9" s="2029"/>
      <c r="O9" s="2030"/>
      <c r="P9" s="2029"/>
      <c r="Q9" s="2029"/>
      <c r="R9" s="2029"/>
    </row>
    <row r="10" spans="1:19" ht="18" customHeight="1" thickTop="1">
      <c r="A10" s="2063" t="s">
        <v>1783</v>
      </c>
      <c r="B10" s="2064" t="s">
        <v>3636</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3637</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3638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v>57199</v>
      </c>
      <c r="F13" s="2080"/>
      <c r="G13" s="2080"/>
      <c r="H13" s="2080"/>
      <c r="I13" s="1047"/>
      <c r="J13" s="2042"/>
      <c r="K13" s="2054"/>
      <c r="L13" s="2028"/>
      <c r="M13" s="2028"/>
      <c r="N13" s="2029"/>
      <c r="O13" s="2030"/>
      <c r="P13" s="2029"/>
      <c r="Q13" s="2029"/>
      <c r="R13" s="2029"/>
    </row>
    <row r="14" spans="1:19" ht="18" customHeight="1">
      <c r="A14" s="2077"/>
      <c r="B14" s="2078"/>
      <c r="C14" s="2079" t="s">
        <v>1795</v>
      </c>
      <c r="D14" s="1050"/>
      <c r="E14" s="1050">
        <v>40</v>
      </c>
      <c r="F14" s="1050"/>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f>IF(B12="出让",IF(E13="","",ROUNDDOWN(MIN((E13-$D$3)/365,E14),2)),E14)</f>
        <v>37.33</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4"/>
      <c r="C16" s="3015"/>
      <c r="D16" s="3016"/>
      <c r="E16" s="2086" t="s">
        <v>1798</v>
      </c>
      <c r="F16" s="3017"/>
      <c r="G16" s="3018"/>
      <c r="H16" s="3018"/>
      <c r="I16" s="3019"/>
      <c r="J16" s="2029"/>
      <c r="K16" s="2083"/>
      <c r="L16" s="2084"/>
      <c r="M16" s="2084"/>
      <c r="N16" s="2085"/>
      <c r="O16" s="2084"/>
      <c r="P16" s="2085"/>
      <c r="Q16" s="2029"/>
      <c r="R16" s="2029"/>
    </row>
    <row r="17" spans="1:22" ht="18" customHeight="1">
      <c r="A17" s="2087" t="s">
        <v>1799</v>
      </c>
      <c r="B17" s="2035" t="s">
        <v>1800</v>
      </c>
      <c r="C17" s="1054">
        <f>'数据-汇总表'!E3</f>
        <v>33112.840000000157</v>
      </c>
      <c r="D17" s="2088" t="s">
        <v>1801</v>
      </c>
      <c r="E17" s="3020" t="s">
        <v>1802</v>
      </c>
      <c r="F17" s="3021"/>
      <c r="G17" s="3021"/>
      <c r="H17" s="3021"/>
      <c r="I17" s="3022"/>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9460.81</v>
      </c>
      <c r="D18" s="2091" t="s">
        <v>1801</v>
      </c>
      <c r="E18" s="3023" t="s">
        <v>1805</v>
      </c>
      <c r="F18" s="3024"/>
      <c r="G18" s="3024"/>
      <c r="H18" s="3024"/>
      <c r="I18" s="3025"/>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0" t="s">
        <v>1810</v>
      </c>
      <c r="C20" s="3011"/>
      <c r="D20" s="3012" t="s">
        <v>1811</v>
      </c>
      <c r="E20" s="3013"/>
      <c r="F20" s="2098" t="s">
        <v>1812</v>
      </c>
      <c r="G20" s="2042"/>
      <c r="H20" s="2042"/>
      <c r="I20" s="2042"/>
      <c r="J20" s="2042"/>
      <c r="K20" s="300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2997"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2997"/>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2997"/>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2998"/>
      <c r="B30" s="2035" t="s">
        <v>1829</v>
      </c>
      <c r="C30" s="2999"/>
      <c r="D30" s="3000"/>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1"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2"/>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2"/>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2996" t="s">
        <v>1839</v>
      </c>
      <c r="T34" s="2135" t="str">
        <f>NUMBERSTRING(7-K34,1)&amp;"通"</f>
        <v>七通</v>
      </c>
      <c r="U34" s="2029"/>
      <c r="V34" s="2029"/>
    </row>
    <row r="35" spans="1:22" ht="18" customHeight="1">
      <c r="A35" s="2136"/>
      <c r="B35" s="3003" t="s">
        <v>1840</v>
      </c>
      <c r="C35" s="3003"/>
      <c r="D35" s="3003"/>
      <c r="E35" s="3003"/>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6"/>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I13/3.5</f>
        <v>9460.8114285714728</v>
      </c>
      <c r="B3" s="14">
        <f>IF(C3="否",G5-AT5,G5)</f>
        <v>33112.840000000157</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33112.840000000157</v>
      </c>
      <c r="H5" s="16">
        <f t="shared" ref="H5:AT5" si="0">SUM(H13:H656)</f>
        <v>33112.840000000157</v>
      </c>
      <c r="I5" s="16">
        <f t="shared" si="0"/>
        <v>33112.840000000157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33112.840000000157</v>
      </c>
      <c r="BA5" s="18">
        <f t="shared" si="1"/>
        <v>33112.840000000157</v>
      </c>
      <c r="BB5" s="18">
        <f t="shared" si="1"/>
        <v>33112.840000000157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9460.81</v>
      </c>
      <c r="F6" s="16" t="s">
        <v>1</v>
      </c>
      <c r="G6" s="16" t="s">
        <v>2</v>
      </c>
      <c r="H6" s="20">
        <f>SUMIF(I$12:AB$12,"总值",I6:AB6)</f>
        <v>9460.81</v>
      </c>
      <c r="I6" s="16">
        <f t="shared" ref="I6:AB6" si="2">ROUND($A$3*I5/$B$3,2)</f>
        <v>9460.81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9460.81</v>
      </c>
      <c r="AZ6" s="16" t="s">
        <v>3</v>
      </c>
      <c r="BA6" s="16">
        <f>ROUND($AY$6*BA5/$AZ$5,2)</f>
        <v>9460.81</v>
      </c>
      <c r="BB6" s="16">
        <f>ROUND($AY$6*BB5/$AZ$5,2)</f>
        <v>9460.81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3639</v>
      </c>
      <c r="J9" s="981"/>
      <c r="K9" s="2192"/>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3070</v>
      </c>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公寓</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c r="D13" s="2214" t="s">
        <v>3640</v>
      </c>
      <c r="E13" s="16">
        <f>IF($C$3="是",ROUND($A$3*G13/$B$3,2),ROUND($A$3*(G13-AT13)/$B$3,2))</f>
        <v>9460.81</v>
      </c>
      <c r="F13" s="32"/>
      <c r="G13" s="33">
        <f>H13+AC13+AT13</f>
        <v>33112.840000000157</v>
      </c>
      <c r="H13" s="20">
        <f>SUMIF(I$12:AB$12,"总值",I13:AB13)</f>
        <v>33112.840000000157</v>
      </c>
      <c r="I13" s="2215">
        <f>抵押物清单!G566</f>
        <v>33112.840000000157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6">
        <f>ROUND($AY$6*AZ13/$AZ$5,2)</f>
        <v>9460.81</v>
      </c>
      <c r="AZ13" s="16">
        <f>BA13+BL13</f>
        <v>33112.840000000157</v>
      </c>
      <c r="BA13" s="16">
        <f>SUM(BB13:BK13)</f>
        <v>33112.840000000157</v>
      </c>
      <c r="BB13" s="16">
        <f>IF($D13="是",I13-J13,0)</f>
        <v>33112.840000000157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6" t="s">
        <v>0</v>
      </c>
      <c r="B1" s="3026" t="s">
        <v>4</v>
      </c>
      <c r="C1" s="3026" t="s">
        <v>5</v>
      </c>
      <c r="D1" s="3027" t="s">
        <v>53</v>
      </c>
      <c r="E1" s="3027" t="s">
        <v>54</v>
      </c>
      <c r="F1" s="3027"/>
      <c r="G1" s="3027"/>
      <c r="H1" s="3027"/>
      <c r="I1" s="3027"/>
      <c r="J1" s="3027"/>
      <c r="K1" s="3027"/>
      <c r="L1" s="3027"/>
      <c r="M1" s="3027"/>
    </row>
    <row r="2" spans="1:13" ht="27" customHeight="1">
      <c r="A2" s="3026"/>
      <c r="B2" s="3026"/>
      <c r="C2" s="3026"/>
      <c r="D2" s="3027"/>
      <c r="E2" s="3027" t="s">
        <v>37</v>
      </c>
      <c r="F2" s="3027" t="s">
        <v>38</v>
      </c>
      <c r="G2" s="3027"/>
      <c r="H2" s="3027"/>
      <c r="I2" s="3027"/>
      <c r="J2" s="3027" t="s">
        <v>39</v>
      </c>
      <c r="K2" s="3027"/>
      <c r="L2" s="3027"/>
      <c r="M2" s="3027"/>
    </row>
    <row r="3" spans="1:13" ht="28.5">
      <c r="A3" s="3026"/>
      <c r="B3" s="3026"/>
      <c r="C3" s="3026"/>
      <c r="D3" s="3027"/>
      <c r="E3" s="302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7" t="s">
        <v>55</v>
      </c>
      <c r="B9" s="3027"/>
      <c r="C9" s="302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37" t="s">
        <v>1936</v>
      </c>
      <c r="B2" s="3037"/>
      <c r="C2" s="3037"/>
      <c r="D2" s="967" t="s">
        <v>1912</v>
      </c>
      <c r="E2" s="2228" t="s">
        <v>1913</v>
      </c>
      <c r="F2" s="1392"/>
      <c r="G2" s="2229"/>
      <c r="H2" s="2230"/>
      <c r="I2" s="2231" t="s">
        <v>1937</v>
      </c>
      <c r="J2" s="1392"/>
      <c r="K2" s="1392"/>
      <c r="L2" s="1392"/>
      <c r="M2" s="1392"/>
      <c r="N2" s="1427"/>
      <c r="O2" s="1392"/>
      <c r="P2" s="1392"/>
    </row>
    <row r="3" spans="1:16" ht="15.75" thickBot="1">
      <c r="A3" s="3038" t="s">
        <v>1910</v>
      </c>
      <c r="B3" s="3038"/>
      <c r="C3" s="3038"/>
      <c r="D3" s="46">
        <f>'数据-基础表'!AY6</f>
        <v>9460.81</v>
      </c>
      <c r="E3" s="46">
        <f>'数据-基础表'!AZ5</f>
        <v>33112.840000000157</v>
      </c>
      <c r="F3" s="1392"/>
      <c r="G3" s="1399"/>
      <c r="H3" s="1247" t="s">
        <v>1911</v>
      </c>
      <c r="I3" s="55">
        <f>ROUND('数据-基础表'!B3/'数据-基础表'!A3,2)</f>
        <v>3.5</v>
      </c>
      <c r="J3" s="1392"/>
      <c r="K3" s="1392"/>
      <c r="L3" s="1392"/>
      <c r="M3" s="1392"/>
      <c r="N3" s="1427"/>
      <c r="O3" s="1392"/>
      <c r="P3" s="1392"/>
    </row>
    <row r="4" spans="1:16" ht="15">
      <c r="A4" s="3039"/>
      <c r="B4" s="3040"/>
      <c r="C4" s="3041"/>
      <c r="D4" s="2232" t="s">
        <v>1912</v>
      </c>
      <c r="E4" s="2233" t="s">
        <v>1913</v>
      </c>
      <c r="F4" s="1392"/>
      <c r="G4" s="2234" t="s">
        <v>1938</v>
      </c>
      <c r="H4" s="1247" t="s">
        <v>1918</v>
      </c>
      <c r="I4" s="55">
        <f>ROUND(SUMIF('数据-基础表'!I9:AS9,"地上",'数据-基础表'!I5:AS5)/'数据-基础表'!A3,2)</f>
        <v>3.5</v>
      </c>
      <c r="J4" s="1392"/>
      <c r="K4" s="1392"/>
      <c r="L4" s="1392"/>
      <c r="M4" s="1392"/>
      <c r="N4" s="1427"/>
      <c r="O4" s="1392"/>
      <c r="P4" s="1392"/>
    </row>
    <row r="5" spans="1:16">
      <c r="A5" s="47" t="s">
        <v>1914</v>
      </c>
      <c r="B5" s="3042" t="s">
        <v>1915</v>
      </c>
      <c r="C5" s="3042"/>
      <c r="D5" s="48">
        <f>ROUND($D$3*E5/$E$3,2)</f>
        <v>0</v>
      </c>
      <c r="E5" s="49">
        <f>SUMIF('数据-基础表'!$11:$11,"住宅",'数据-基础表'!$5:$5)</f>
        <v>0</v>
      </c>
      <c r="F5" s="1392"/>
      <c r="G5" s="1399"/>
      <c r="H5" s="1247" t="s">
        <v>1911</v>
      </c>
      <c r="I5" s="55">
        <f>ROUND(E31/D31,2)</f>
        <v>3.5</v>
      </c>
      <c r="J5" s="1392"/>
      <c r="K5" s="1392"/>
      <c r="L5" s="1392"/>
      <c r="M5" s="1392"/>
      <c r="N5" s="1392"/>
      <c r="O5" s="1392"/>
      <c r="P5" s="1392"/>
    </row>
    <row r="6" spans="1:16" ht="15" thickBot="1">
      <c r="A6" s="2235"/>
      <c r="B6" s="3042" t="s">
        <v>1916</v>
      </c>
      <c r="C6" s="3042"/>
      <c r="D6" s="48">
        <f>ROUND($D$3*E6/$E$3,2)</f>
        <v>9460.81</v>
      </c>
      <c r="E6" s="49">
        <f>E3-E5</f>
        <v>33112.840000000157</v>
      </c>
      <c r="F6" s="1392"/>
      <c r="G6" s="2236" t="s">
        <v>1917</v>
      </c>
      <c r="H6" s="1399" t="s">
        <v>1918</v>
      </c>
      <c r="I6" s="939">
        <f>ROUND(F31/D31,2)</f>
        <v>3.5</v>
      </c>
      <c r="J6" s="1392"/>
      <c r="K6" s="1392"/>
      <c r="L6" s="1392"/>
      <c r="M6" s="1392"/>
      <c r="N6" s="1392"/>
      <c r="O6" s="1392"/>
      <c r="P6" s="1392"/>
    </row>
    <row r="7" spans="1:16" ht="15">
      <c r="A7" s="3034"/>
      <c r="B7" s="3035"/>
      <c r="C7" s="3036"/>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9460.81</v>
      </c>
      <c r="E8" s="51">
        <f>SUMIF('数据-基础表'!BB10:BK10,"地上",'数据-基础表'!BB5:BK5)</f>
        <v>33112.840000000157</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9460.81</v>
      </c>
      <c r="E16" s="53">
        <f>SUM(E8:E15)</f>
        <v>33112.840000000157</v>
      </c>
      <c r="F16" s="1392"/>
      <c r="G16" s="2238"/>
      <c r="H16" s="2241" t="s">
        <v>1940</v>
      </c>
      <c r="I16" s="2242"/>
      <c r="J16" s="1392"/>
      <c r="K16" s="3031" t="s">
        <v>1940</v>
      </c>
      <c r="L16" s="3032"/>
      <c r="M16" s="3032"/>
      <c r="N16" s="3032"/>
      <c r="O16" s="3032"/>
      <c r="P16" s="3033"/>
    </row>
    <row r="17" spans="1:19" ht="15">
      <c r="A17" s="2243" t="s">
        <v>1941</v>
      </c>
      <c r="B17" s="2244" t="s">
        <v>1942</v>
      </c>
      <c r="C17" s="2245" t="s">
        <v>1943</v>
      </c>
      <c r="D17" s="2246" t="s">
        <v>1931</v>
      </c>
      <c r="E17" s="2247" t="s">
        <v>1932</v>
      </c>
      <c r="F17" s="2248"/>
      <c r="G17" s="2249"/>
      <c r="H17" s="2250" t="s">
        <v>1944</v>
      </c>
      <c r="I17" s="2251" t="s">
        <v>1929</v>
      </c>
      <c r="J17" s="1392"/>
      <c r="K17" s="3028" t="s">
        <v>1945</v>
      </c>
      <c r="L17" s="3029"/>
      <c r="M17" s="3030"/>
      <c r="N17" s="3028" t="s">
        <v>1946</v>
      </c>
      <c r="O17" s="3029"/>
      <c r="P17" s="3030"/>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261" t="str">
        <f>'数据-基础表'!I11</f>
        <v>公寓</v>
      </c>
      <c r="D19" s="48">
        <f>ROUND($D$3*E19/$E$3,2)</f>
        <v>9460.81</v>
      </c>
      <c r="E19" s="56">
        <f t="shared" ref="E19:E26" si="1">SUM(F19:G19)</f>
        <v>33112.840000000157</v>
      </c>
      <c r="F19" s="57">
        <f>'数据-基础表'!I13</f>
        <v>33112.840000000157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9460.81</v>
      </c>
      <c r="S19" s="1248">
        <f t="shared" si="5"/>
        <v>33112.840000000157</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9460.81</v>
      </c>
      <c r="E27" s="1394">
        <f>IF(SUM(E19:E26)='数据-基础表'!BA5,SUM(E19:E26),IF(F27="地上面积有误","面积有误","地下面积有误"))</f>
        <v>33112.840000000157</v>
      </c>
      <c r="F27" s="1393">
        <f>IF(SUM(F19:F26)=E8,SUM(F19:F26),"地上面积有误")</f>
        <v>33112.840000000157</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9460.81</v>
      </c>
      <c r="S27" s="1247">
        <f>IF(SUM(S19:S26)=$E$3,SUM(S19:S26),SUM(S19:S26)&amp;"误差"&amp;ROUND(SUM(S19:S26)-E3,2))</f>
        <v>33112.840000000157</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9460.81</v>
      </c>
      <c r="E31" s="729">
        <f>E27+E30</f>
        <v>33112.840000000157</v>
      </c>
      <c r="F31" s="730">
        <f>F27+F30</f>
        <v>33112.840000000157</v>
      </c>
      <c r="G31" s="731">
        <f>G27+G30</f>
        <v>0</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66"/>
  <sheetViews>
    <sheetView topLeftCell="A553" workbookViewId="0">
      <selection activeCell="N574" sqref="N574"/>
    </sheetView>
  </sheetViews>
  <sheetFormatPr defaultColWidth="9" defaultRowHeight="13.5"/>
  <cols>
    <col min="1" max="1" width="7.375" customWidth="1"/>
    <col min="2" max="2" width="14" customWidth="1"/>
    <col min="4" max="4" width="5.875" customWidth="1"/>
    <col min="6" max="6" width="24.5" customWidth="1"/>
    <col min="7" max="7" width="11.125" customWidth="1"/>
  </cols>
  <sheetData>
    <row r="1" spans="1:10" ht="24" customHeight="1">
      <c r="A1" s="3281" t="s">
        <v>3055</v>
      </c>
      <c r="B1" s="3281"/>
      <c r="C1" s="3281"/>
      <c r="D1" s="3281"/>
      <c r="E1" s="3281"/>
      <c r="F1" s="3281"/>
      <c r="G1" s="3281"/>
      <c r="H1" s="3281"/>
      <c r="I1" s="3281"/>
      <c r="J1" s="3281"/>
    </row>
    <row r="2" spans="1:10" ht="15" customHeight="1">
      <c r="A2" s="3282" t="s">
        <v>3056</v>
      </c>
      <c r="B2" s="3282" t="s">
        <v>3057</v>
      </c>
      <c r="C2" s="3282" t="s">
        <v>3058</v>
      </c>
      <c r="D2" s="3282" t="s">
        <v>3059</v>
      </c>
      <c r="E2" s="3282" t="s">
        <v>3060</v>
      </c>
      <c r="F2" s="3282" t="s">
        <v>3061</v>
      </c>
      <c r="G2" s="3282" t="s">
        <v>3062</v>
      </c>
      <c r="H2" s="3282" t="s">
        <v>3063</v>
      </c>
      <c r="I2" s="3282" t="s">
        <v>3064</v>
      </c>
      <c r="J2" s="3282" t="s">
        <v>3065</v>
      </c>
    </row>
    <row r="3" spans="1:10">
      <c r="A3" s="3283">
        <v>1</v>
      </c>
      <c r="B3" s="3283" t="s">
        <v>3066</v>
      </c>
      <c r="C3" s="3283" t="s">
        <v>3067</v>
      </c>
      <c r="D3" s="3283"/>
      <c r="E3" s="3283">
        <v>401</v>
      </c>
      <c r="F3" s="3283" t="s">
        <v>3068</v>
      </c>
      <c r="G3" s="3283">
        <v>51.69</v>
      </c>
      <c r="H3" s="3283" t="s">
        <v>3069</v>
      </c>
      <c r="I3" s="3283" t="s">
        <v>3070</v>
      </c>
      <c r="J3" s="3283" t="s">
        <v>3071</v>
      </c>
    </row>
    <row r="4" spans="1:10">
      <c r="A4" s="3283">
        <v>2</v>
      </c>
      <c r="B4" s="3283" t="s">
        <v>3066</v>
      </c>
      <c r="C4" s="3283" t="s">
        <v>3067</v>
      </c>
      <c r="D4" s="3283"/>
      <c r="E4" s="3283">
        <v>402</v>
      </c>
      <c r="F4" s="3283" t="s">
        <v>3072</v>
      </c>
      <c r="G4" s="3283">
        <v>51.69</v>
      </c>
      <c r="H4" s="3283" t="s">
        <v>3069</v>
      </c>
      <c r="I4" s="3283" t="s">
        <v>3070</v>
      </c>
      <c r="J4" s="3283" t="s">
        <v>3071</v>
      </c>
    </row>
    <row r="5" spans="1:10">
      <c r="A5" s="3283">
        <v>3</v>
      </c>
      <c r="B5" s="3283" t="s">
        <v>3066</v>
      </c>
      <c r="C5" s="3283" t="s">
        <v>3067</v>
      </c>
      <c r="D5" s="3283"/>
      <c r="E5" s="3283">
        <v>403</v>
      </c>
      <c r="F5" s="3283" t="s">
        <v>3073</v>
      </c>
      <c r="G5" s="3283">
        <v>51.69</v>
      </c>
      <c r="H5" s="3283" t="s">
        <v>3069</v>
      </c>
      <c r="I5" s="3283" t="s">
        <v>3070</v>
      </c>
      <c r="J5" s="3283" t="s">
        <v>3071</v>
      </c>
    </row>
    <row r="6" spans="1:10">
      <c r="A6" s="3283">
        <v>4</v>
      </c>
      <c r="B6" s="3283" t="s">
        <v>3066</v>
      </c>
      <c r="C6" s="3283" t="s">
        <v>3067</v>
      </c>
      <c r="D6" s="3283"/>
      <c r="E6" s="3283">
        <v>404</v>
      </c>
      <c r="F6" s="3283" t="s">
        <v>3074</v>
      </c>
      <c r="G6" s="3283">
        <v>85.62</v>
      </c>
      <c r="H6" s="3283" t="s">
        <v>3069</v>
      </c>
      <c r="I6" s="3283" t="s">
        <v>3070</v>
      </c>
      <c r="J6" s="3283" t="s">
        <v>3071</v>
      </c>
    </row>
    <row r="7" spans="1:10">
      <c r="A7" s="3283">
        <v>5</v>
      </c>
      <c r="B7" s="3283" t="s">
        <v>3066</v>
      </c>
      <c r="C7" s="3283" t="s">
        <v>3067</v>
      </c>
      <c r="D7" s="3283"/>
      <c r="E7" s="3283">
        <v>405</v>
      </c>
      <c r="F7" s="3283" t="s">
        <v>3075</v>
      </c>
      <c r="G7" s="3283">
        <v>89.54</v>
      </c>
      <c r="H7" s="3283" t="s">
        <v>3069</v>
      </c>
      <c r="I7" s="3283" t="s">
        <v>3070</v>
      </c>
      <c r="J7" s="3283" t="s">
        <v>3071</v>
      </c>
    </row>
    <row r="8" spans="1:10">
      <c r="A8" s="3283">
        <v>6</v>
      </c>
      <c r="B8" s="3283" t="s">
        <v>3066</v>
      </c>
      <c r="C8" s="3283" t="s">
        <v>3067</v>
      </c>
      <c r="D8" s="3283"/>
      <c r="E8" s="3283">
        <v>406</v>
      </c>
      <c r="F8" s="3283" t="s">
        <v>3076</v>
      </c>
      <c r="G8" s="3283">
        <v>51.69</v>
      </c>
      <c r="H8" s="3283" t="s">
        <v>3069</v>
      </c>
      <c r="I8" s="3283" t="s">
        <v>3070</v>
      </c>
      <c r="J8" s="3283" t="s">
        <v>3071</v>
      </c>
    </row>
    <row r="9" spans="1:10">
      <c r="A9" s="3283">
        <v>7</v>
      </c>
      <c r="B9" s="3283" t="s">
        <v>3066</v>
      </c>
      <c r="C9" s="3283" t="s">
        <v>3067</v>
      </c>
      <c r="D9" s="3283"/>
      <c r="E9" s="3283">
        <v>407</v>
      </c>
      <c r="F9" s="3283" t="s">
        <v>3077</v>
      </c>
      <c r="G9" s="3283">
        <v>51.69</v>
      </c>
      <c r="H9" s="3283" t="s">
        <v>3069</v>
      </c>
      <c r="I9" s="3283" t="s">
        <v>3070</v>
      </c>
      <c r="J9" s="3283" t="s">
        <v>3071</v>
      </c>
    </row>
    <row r="10" spans="1:10">
      <c r="A10" s="3283">
        <v>8</v>
      </c>
      <c r="B10" s="3283" t="s">
        <v>3066</v>
      </c>
      <c r="C10" s="3283" t="s">
        <v>3067</v>
      </c>
      <c r="D10" s="3283"/>
      <c r="E10" s="3283">
        <v>408</v>
      </c>
      <c r="F10" s="3283" t="s">
        <v>3078</v>
      </c>
      <c r="G10" s="3283">
        <v>51.69</v>
      </c>
      <c r="H10" s="3283" t="s">
        <v>3069</v>
      </c>
      <c r="I10" s="3283" t="s">
        <v>3070</v>
      </c>
      <c r="J10" s="3283" t="s">
        <v>3071</v>
      </c>
    </row>
    <row r="11" spans="1:10">
      <c r="A11" s="3283">
        <v>9</v>
      </c>
      <c r="B11" s="3283" t="s">
        <v>3066</v>
      </c>
      <c r="C11" s="3283" t="s">
        <v>3067</v>
      </c>
      <c r="D11" s="3283"/>
      <c r="E11" s="3283">
        <v>409</v>
      </c>
      <c r="F11" s="3283" t="s">
        <v>3079</v>
      </c>
      <c r="G11" s="3283">
        <v>51.69</v>
      </c>
      <c r="H11" s="3283" t="s">
        <v>3069</v>
      </c>
      <c r="I11" s="3283" t="s">
        <v>3070</v>
      </c>
      <c r="J11" s="3283" t="s">
        <v>3071</v>
      </c>
    </row>
    <row r="12" spans="1:10">
      <c r="A12" s="3283">
        <v>10</v>
      </c>
      <c r="B12" s="3283" t="s">
        <v>3066</v>
      </c>
      <c r="C12" s="3283" t="s">
        <v>3067</v>
      </c>
      <c r="D12" s="3283"/>
      <c r="E12" s="3283">
        <v>410</v>
      </c>
      <c r="F12" s="3283" t="s">
        <v>3080</v>
      </c>
      <c r="G12" s="3283">
        <v>51.69</v>
      </c>
      <c r="H12" s="3283" t="s">
        <v>3069</v>
      </c>
      <c r="I12" s="3283" t="s">
        <v>3070</v>
      </c>
      <c r="J12" s="3283" t="s">
        <v>3071</v>
      </c>
    </row>
    <row r="13" spans="1:10">
      <c r="A13" s="3283">
        <v>11</v>
      </c>
      <c r="B13" s="3283" t="s">
        <v>3066</v>
      </c>
      <c r="C13" s="3283" t="s">
        <v>3067</v>
      </c>
      <c r="D13" s="3283"/>
      <c r="E13" s="3283">
        <v>411</v>
      </c>
      <c r="F13" s="3283" t="s">
        <v>3081</v>
      </c>
      <c r="G13" s="3283">
        <v>51.69</v>
      </c>
      <c r="H13" s="3283" t="s">
        <v>3069</v>
      </c>
      <c r="I13" s="3283" t="s">
        <v>3070</v>
      </c>
      <c r="J13" s="3283" t="s">
        <v>3071</v>
      </c>
    </row>
    <row r="14" spans="1:10">
      <c r="A14" s="3283">
        <v>12</v>
      </c>
      <c r="B14" s="3283" t="s">
        <v>3066</v>
      </c>
      <c r="C14" s="3283" t="s">
        <v>3067</v>
      </c>
      <c r="D14" s="3283"/>
      <c r="E14" s="3283">
        <v>412</v>
      </c>
      <c r="F14" s="3283" t="s">
        <v>3082</v>
      </c>
      <c r="G14" s="3283">
        <v>89.54</v>
      </c>
      <c r="H14" s="3283" t="s">
        <v>3069</v>
      </c>
      <c r="I14" s="3283" t="s">
        <v>3070</v>
      </c>
      <c r="J14" s="3283" t="s">
        <v>3071</v>
      </c>
    </row>
    <row r="15" spans="1:10">
      <c r="A15" s="3283">
        <v>13</v>
      </c>
      <c r="B15" s="3283" t="s">
        <v>3066</v>
      </c>
      <c r="C15" s="3283" t="s">
        <v>3067</v>
      </c>
      <c r="D15" s="3283"/>
      <c r="E15" s="3283">
        <v>413</v>
      </c>
      <c r="F15" s="3283" t="s">
        <v>3083</v>
      </c>
      <c r="G15" s="3283">
        <v>85.62</v>
      </c>
      <c r="H15" s="3283" t="s">
        <v>3069</v>
      </c>
      <c r="I15" s="3283" t="s">
        <v>3070</v>
      </c>
      <c r="J15" s="3283" t="s">
        <v>3071</v>
      </c>
    </row>
    <row r="16" spans="1:10">
      <c r="A16" s="3283">
        <v>14</v>
      </c>
      <c r="B16" s="3283" t="s">
        <v>3066</v>
      </c>
      <c r="C16" s="3283" t="s">
        <v>3067</v>
      </c>
      <c r="D16" s="3283"/>
      <c r="E16" s="3283">
        <v>414</v>
      </c>
      <c r="F16" s="3283" t="s">
        <v>3084</v>
      </c>
      <c r="G16" s="3283">
        <v>51.69</v>
      </c>
      <c r="H16" s="3283" t="s">
        <v>3069</v>
      </c>
      <c r="I16" s="3283" t="s">
        <v>3070</v>
      </c>
      <c r="J16" s="3283" t="s">
        <v>3071</v>
      </c>
    </row>
    <row r="17" spans="1:10">
      <c r="A17" s="3283">
        <v>15</v>
      </c>
      <c r="B17" s="3283" t="s">
        <v>3066</v>
      </c>
      <c r="C17" s="3283" t="s">
        <v>3067</v>
      </c>
      <c r="D17" s="3283"/>
      <c r="E17" s="3283">
        <v>415</v>
      </c>
      <c r="F17" s="3283" t="s">
        <v>3085</v>
      </c>
      <c r="G17" s="3283">
        <v>51.69</v>
      </c>
      <c r="H17" s="3283" t="s">
        <v>3069</v>
      </c>
      <c r="I17" s="3283" t="s">
        <v>3070</v>
      </c>
      <c r="J17" s="3283" t="s">
        <v>3071</v>
      </c>
    </row>
    <row r="18" spans="1:10">
      <c r="A18" s="3283">
        <v>16</v>
      </c>
      <c r="B18" s="3283" t="s">
        <v>3066</v>
      </c>
      <c r="C18" s="3283" t="s">
        <v>3067</v>
      </c>
      <c r="D18" s="3283"/>
      <c r="E18" s="3283">
        <v>416</v>
      </c>
      <c r="F18" s="3283" t="s">
        <v>3086</v>
      </c>
      <c r="G18" s="3283">
        <v>51.69</v>
      </c>
      <c r="H18" s="3283" t="s">
        <v>3069</v>
      </c>
      <c r="I18" s="3283" t="s">
        <v>3070</v>
      </c>
      <c r="J18" s="3283" t="s">
        <v>3071</v>
      </c>
    </row>
    <row r="19" spans="1:10">
      <c r="A19" s="3283">
        <v>17</v>
      </c>
      <c r="B19" s="3283" t="s">
        <v>3066</v>
      </c>
      <c r="C19" s="3283" t="s">
        <v>3067</v>
      </c>
      <c r="D19" s="3283"/>
      <c r="E19" s="3283">
        <v>417</v>
      </c>
      <c r="F19" s="3283" t="s">
        <v>3087</v>
      </c>
      <c r="G19" s="3283">
        <v>94.09</v>
      </c>
      <c r="H19" s="3283" t="s">
        <v>3069</v>
      </c>
      <c r="I19" s="3283" t="s">
        <v>3070</v>
      </c>
      <c r="J19" s="3283" t="s">
        <v>3071</v>
      </c>
    </row>
    <row r="20" spans="1:10">
      <c r="A20" s="3283">
        <v>18</v>
      </c>
      <c r="B20" s="3283" t="s">
        <v>3066</v>
      </c>
      <c r="C20" s="3283" t="s">
        <v>3067</v>
      </c>
      <c r="D20" s="3283"/>
      <c r="E20" s="3283">
        <v>418</v>
      </c>
      <c r="F20" s="3283" t="s">
        <v>3088</v>
      </c>
      <c r="G20" s="3283">
        <v>58</v>
      </c>
      <c r="H20" s="3283" t="s">
        <v>3069</v>
      </c>
      <c r="I20" s="3283" t="s">
        <v>3070</v>
      </c>
      <c r="J20" s="3283" t="s">
        <v>3071</v>
      </c>
    </row>
    <row r="21" spans="1:10">
      <c r="A21" s="3283">
        <v>19</v>
      </c>
      <c r="B21" s="3283" t="s">
        <v>3066</v>
      </c>
      <c r="C21" s="3283" t="s">
        <v>3067</v>
      </c>
      <c r="D21" s="3283"/>
      <c r="E21" s="3283">
        <v>419</v>
      </c>
      <c r="F21" s="3283" t="s">
        <v>3089</v>
      </c>
      <c r="G21" s="3283">
        <v>59.58</v>
      </c>
      <c r="H21" s="3283" t="s">
        <v>3069</v>
      </c>
      <c r="I21" s="3283" t="s">
        <v>3070</v>
      </c>
      <c r="J21" s="3283" t="s">
        <v>3071</v>
      </c>
    </row>
    <row r="22" spans="1:10">
      <c r="A22" s="3283">
        <v>20</v>
      </c>
      <c r="B22" s="3283" t="s">
        <v>3066</v>
      </c>
      <c r="C22" s="3283" t="s">
        <v>3067</v>
      </c>
      <c r="D22" s="3283"/>
      <c r="E22" s="3283">
        <v>420</v>
      </c>
      <c r="F22" s="3283" t="s">
        <v>3090</v>
      </c>
      <c r="G22" s="3283">
        <v>59.58</v>
      </c>
      <c r="H22" s="3283" t="s">
        <v>3069</v>
      </c>
      <c r="I22" s="3283" t="s">
        <v>3070</v>
      </c>
      <c r="J22" s="3283" t="s">
        <v>3071</v>
      </c>
    </row>
    <row r="23" spans="1:10">
      <c r="A23" s="3283">
        <v>21</v>
      </c>
      <c r="B23" s="3283" t="s">
        <v>3066</v>
      </c>
      <c r="C23" s="3283" t="s">
        <v>3067</v>
      </c>
      <c r="D23" s="3283"/>
      <c r="E23" s="3283">
        <v>421</v>
      </c>
      <c r="F23" s="3283" t="s">
        <v>3091</v>
      </c>
      <c r="G23" s="3283">
        <v>59.58</v>
      </c>
      <c r="H23" s="3283" t="s">
        <v>3069</v>
      </c>
      <c r="I23" s="3283" t="s">
        <v>3070</v>
      </c>
      <c r="J23" s="3283" t="s">
        <v>3071</v>
      </c>
    </row>
    <row r="24" spans="1:10">
      <c r="A24" s="3283">
        <v>22</v>
      </c>
      <c r="B24" s="3283" t="s">
        <v>3066</v>
      </c>
      <c r="C24" s="3283" t="s">
        <v>3067</v>
      </c>
      <c r="D24" s="3283"/>
      <c r="E24" s="3283">
        <v>422</v>
      </c>
      <c r="F24" s="3283" t="s">
        <v>3092</v>
      </c>
      <c r="G24" s="3283">
        <v>59.58</v>
      </c>
      <c r="H24" s="3283" t="s">
        <v>3069</v>
      </c>
      <c r="I24" s="3283" t="s">
        <v>3070</v>
      </c>
      <c r="J24" s="3283" t="s">
        <v>3071</v>
      </c>
    </row>
    <row r="25" spans="1:10">
      <c r="A25" s="3283">
        <v>23</v>
      </c>
      <c r="B25" s="3283" t="s">
        <v>3066</v>
      </c>
      <c r="C25" s="3283" t="s">
        <v>3067</v>
      </c>
      <c r="D25" s="3283"/>
      <c r="E25" s="3283">
        <v>423</v>
      </c>
      <c r="F25" s="3283" t="s">
        <v>3093</v>
      </c>
      <c r="G25" s="3283">
        <v>58</v>
      </c>
      <c r="H25" s="3283" t="s">
        <v>3069</v>
      </c>
      <c r="I25" s="3283" t="s">
        <v>3070</v>
      </c>
      <c r="J25" s="3283" t="s">
        <v>3071</v>
      </c>
    </row>
    <row r="26" spans="1:10">
      <c r="A26" s="3283">
        <v>24</v>
      </c>
      <c r="B26" s="3283" t="s">
        <v>3066</v>
      </c>
      <c r="C26" s="3283" t="s">
        <v>3067</v>
      </c>
      <c r="D26" s="3283"/>
      <c r="E26" s="3283">
        <v>424</v>
      </c>
      <c r="F26" s="3283" t="s">
        <v>3094</v>
      </c>
      <c r="G26" s="3283">
        <v>94.09</v>
      </c>
      <c r="H26" s="3283" t="s">
        <v>3069</v>
      </c>
      <c r="I26" s="3283" t="s">
        <v>3070</v>
      </c>
      <c r="J26" s="3283" t="s">
        <v>3071</v>
      </c>
    </row>
    <row r="27" spans="1:10">
      <c r="A27" s="3283">
        <v>25</v>
      </c>
      <c r="B27" s="3283" t="s">
        <v>3066</v>
      </c>
      <c r="C27" s="3283" t="s">
        <v>3067</v>
      </c>
      <c r="D27" s="3283"/>
      <c r="E27" s="3283">
        <v>522</v>
      </c>
      <c r="F27" s="3283" t="s">
        <v>3095</v>
      </c>
      <c r="G27" s="3283">
        <v>59.58</v>
      </c>
      <c r="H27" s="3283" t="s">
        <v>3069</v>
      </c>
      <c r="I27" s="3283" t="s">
        <v>3070</v>
      </c>
      <c r="J27" s="3283" t="s">
        <v>3071</v>
      </c>
    </row>
    <row r="28" spans="1:10">
      <c r="A28" s="3283">
        <v>26</v>
      </c>
      <c r="B28" s="3283" t="s">
        <v>3066</v>
      </c>
      <c r="C28" s="3283" t="s">
        <v>3067</v>
      </c>
      <c r="D28" s="3283"/>
      <c r="E28" s="3283">
        <v>618</v>
      </c>
      <c r="F28" s="3283" t="s">
        <v>3096</v>
      </c>
      <c r="G28" s="3283">
        <v>58</v>
      </c>
      <c r="H28" s="3283" t="s">
        <v>3069</v>
      </c>
      <c r="I28" s="3283" t="s">
        <v>3070</v>
      </c>
      <c r="J28" s="3283" t="s">
        <v>3071</v>
      </c>
    </row>
    <row r="29" spans="1:10">
      <c r="A29" s="3283">
        <v>27</v>
      </c>
      <c r="B29" s="3283" t="s">
        <v>3066</v>
      </c>
      <c r="C29" s="3283" t="s">
        <v>3067</v>
      </c>
      <c r="D29" s="3283"/>
      <c r="E29" s="3283">
        <v>621</v>
      </c>
      <c r="F29" s="3283" t="s">
        <v>3097</v>
      </c>
      <c r="G29" s="3283">
        <v>59.58</v>
      </c>
      <c r="H29" s="3283" t="s">
        <v>3069</v>
      </c>
      <c r="I29" s="3283" t="s">
        <v>3070</v>
      </c>
      <c r="J29" s="3283" t="s">
        <v>3071</v>
      </c>
    </row>
    <row r="30" spans="1:10">
      <c r="A30" s="3283">
        <v>28</v>
      </c>
      <c r="B30" s="3283" t="s">
        <v>3066</v>
      </c>
      <c r="C30" s="3283" t="s">
        <v>3067</v>
      </c>
      <c r="D30" s="3283"/>
      <c r="E30" s="3283">
        <v>623</v>
      </c>
      <c r="F30" s="3283" t="s">
        <v>3098</v>
      </c>
      <c r="G30" s="3283">
        <v>58</v>
      </c>
      <c r="H30" s="3283" t="s">
        <v>3069</v>
      </c>
      <c r="I30" s="3283" t="s">
        <v>3070</v>
      </c>
      <c r="J30" s="3283" t="s">
        <v>3071</v>
      </c>
    </row>
    <row r="31" spans="1:10">
      <c r="A31" s="3283">
        <v>29</v>
      </c>
      <c r="B31" s="3283" t="s">
        <v>3066</v>
      </c>
      <c r="C31" s="3283" t="s">
        <v>3067</v>
      </c>
      <c r="D31" s="3283"/>
      <c r="E31" s="3283">
        <v>706</v>
      </c>
      <c r="F31" s="3283" t="s">
        <v>3099</v>
      </c>
      <c r="G31" s="3283">
        <v>51.69</v>
      </c>
      <c r="H31" s="3283" t="s">
        <v>3069</v>
      </c>
      <c r="I31" s="3283" t="s">
        <v>3070</v>
      </c>
      <c r="J31" s="3283" t="s">
        <v>3071</v>
      </c>
    </row>
    <row r="32" spans="1:10">
      <c r="A32" s="3283">
        <v>30</v>
      </c>
      <c r="B32" s="3283" t="s">
        <v>3066</v>
      </c>
      <c r="C32" s="3283" t="s">
        <v>3067</v>
      </c>
      <c r="D32" s="3283"/>
      <c r="E32" s="3283">
        <v>715</v>
      </c>
      <c r="F32" s="3283" t="s">
        <v>3100</v>
      </c>
      <c r="G32" s="3283">
        <v>51.69</v>
      </c>
      <c r="H32" s="3283" t="s">
        <v>3069</v>
      </c>
      <c r="I32" s="3283" t="s">
        <v>3070</v>
      </c>
      <c r="J32" s="3283" t="s">
        <v>3071</v>
      </c>
    </row>
    <row r="33" spans="1:10">
      <c r="A33" s="3283">
        <v>31</v>
      </c>
      <c r="B33" s="3283" t="s">
        <v>3066</v>
      </c>
      <c r="C33" s="3283" t="s">
        <v>3067</v>
      </c>
      <c r="D33" s="3283"/>
      <c r="E33" s="3283">
        <v>716</v>
      </c>
      <c r="F33" s="3283" t="s">
        <v>3101</v>
      </c>
      <c r="G33" s="3283">
        <v>51.69</v>
      </c>
      <c r="H33" s="3283" t="s">
        <v>3069</v>
      </c>
      <c r="I33" s="3283" t="s">
        <v>3070</v>
      </c>
      <c r="J33" s="3283" t="s">
        <v>3071</v>
      </c>
    </row>
    <row r="34" spans="1:10">
      <c r="A34" s="3283">
        <v>32</v>
      </c>
      <c r="B34" s="3283" t="s">
        <v>3066</v>
      </c>
      <c r="C34" s="3283" t="s">
        <v>3067</v>
      </c>
      <c r="D34" s="3283"/>
      <c r="E34" s="3283">
        <v>723</v>
      </c>
      <c r="F34" s="3283" t="s">
        <v>3102</v>
      </c>
      <c r="G34" s="3283">
        <v>58</v>
      </c>
      <c r="H34" s="3283" t="s">
        <v>3069</v>
      </c>
      <c r="I34" s="3283" t="s">
        <v>3070</v>
      </c>
      <c r="J34" s="3283" t="s">
        <v>3071</v>
      </c>
    </row>
    <row r="35" spans="1:10">
      <c r="A35" s="3283">
        <v>33</v>
      </c>
      <c r="B35" s="3283" t="s">
        <v>3066</v>
      </c>
      <c r="C35" s="3283" t="s">
        <v>3067</v>
      </c>
      <c r="D35" s="3283"/>
      <c r="E35" s="3283">
        <v>805</v>
      </c>
      <c r="F35" s="3283" t="s">
        <v>3103</v>
      </c>
      <c r="G35" s="3283">
        <v>89.54</v>
      </c>
      <c r="H35" s="3283" t="s">
        <v>3069</v>
      </c>
      <c r="I35" s="3283" t="s">
        <v>3070</v>
      </c>
      <c r="J35" s="3283" t="s">
        <v>3071</v>
      </c>
    </row>
    <row r="36" spans="1:10">
      <c r="A36" s="3283">
        <v>34</v>
      </c>
      <c r="B36" s="3283" t="s">
        <v>3066</v>
      </c>
      <c r="C36" s="3283" t="s">
        <v>3067</v>
      </c>
      <c r="D36" s="3283"/>
      <c r="E36" s="3283">
        <v>808</v>
      </c>
      <c r="F36" s="3283" t="s">
        <v>3104</v>
      </c>
      <c r="G36" s="3283">
        <v>51.69</v>
      </c>
      <c r="H36" s="3283" t="s">
        <v>3069</v>
      </c>
      <c r="I36" s="3283" t="s">
        <v>3070</v>
      </c>
      <c r="J36" s="3283" t="s">
        <v>3071</v>
      </c>
    </row>
    <row r="37" spans="1:10">
      <c r="A37" s="3283">
        <v>35</v>
      </c>
      <c r="B37" s="3283" t="s">
        <v>3066</v>
      </c>
      <c r="C37" s="3283" t="s">
        <v>3067</v>
      </c>
      <c r="D37" s="3283"/>
      <c r="E37" s="3283">
        <v>811</v>
      </c>
      <c r="F37" s="3283" t="s">
        <v>3105</v>
      </c>
      <c r="G37" s="3283">
        <v>51.69</v>
      </c>
      <c r="H37" s="3283" t="s">
        <v>3069</v>
      </c>
      <c r="I37" s="3283" t="s">
        <v>3070</v>
      </c>
      <c r="J37" s="3283" t="s">
        <v>3071</v>
      </c>
    </row>
    <row r="38" spans="1:10">
      <c r="A38" s="3283">
        <v>36</v>
      </c>
      <c r="B38" s="3283" t="s">
        <v>3066</v>
      </c>
      <c r="C38" s="3283" t="s">
        <v>3067</v>
      </c>
      <c r="D38" s="3283"/>
      <c r="E38" s="3283">
        <v>815</v>
      </c>
      <c r="F38" s="3283" t="s">
        <v>3106</v>
      </c>
      <c r="G38" s="3283">
        <v>51.69</v>
      </c>
      <c r="H38" s="3283" t="s">
        <v>3069</v>
      </c>
      <c r="I38" s="3283" t="s">
        <v>3070</v>
      </c>
      <c r="J38" s="3283" t="s">
        <v>3071</v>
      </c>
    </row>
    <row r="39" spans="1:10">
      <c r="A39" s="3283">
        <v>37</v>
      </c>
      <c r="B39" s="3283" t="s">
        <v>3066</v>
      </c>
      <c r="C39" s="3283" t="s">
        <v>3067</v>
      </c>
      <c r="D39" s="3283"/>
      <c r="E39" s="3283">
        <v>819</v>
      </c>
      <c r="F39" s="3283" t="s">
        <v>3107</v>
      </c>
      <c r="G39" s="3283">
        <v>51.69</v>
      </c>
      <c r="H39" s="3283" t="s">
        <v>3069</v>
      </c>
      <c r="I39" s="3283" t="s">
        <v>3070</v>
      </c>
      <c r="J39" s="3283" t="s">
        <v>3071</v>
      </c>
    </row>
    <row r="40" spans="1:10">
      <c r="A40" s="3283">
        <v>38</v>
      </c>
      <c r="B40" s="3283" t="s">
        <v>3066</v>
      </c>
      <c r="C40" s="3283" t="s">
        <v>3067</v>
      </c>
      <c r="D40" s="3283"/>
      <c r="E40" s="3283">
        <v>907</v>
      </c>
      <c r="F40" s="3283" t="s">
        <v>3108</v>
      </c>
      <c r="G40" s="3283">
        <v>51.69</v>
      </c>
      <c r="H40" s="3283" t="s">
        <v>3069</v>
      </c>
      <c r="I40" s="3283" t="s">
        <v>3070</v>
      </c>
      <c r="J40" s="3283" t="s">
        <v>3071</v>
      </c>
    </row>
    <row r="41" spans="1:10">
      <c r="A41" s="3283">
        <v>39</v>
      </c>
      <c r="B41" s="3283" t="s">
        <v>3066</v>
      </c>
      <c r="C41" s="3283" t="s">
        <v>3067</v>
      </c>
      <c r="D41" s="3283"/>
      <c r="E41" s="3283">
        <v>916</v>
      </c>
      <c r="F41" s="3283" t="s">
        <v>3109</v>
      </c>
      <c r="G41" s="3283">
        <v>51.69</v>
      </c>
      <c r="H41" s="3283" t="s">
        <v>3069</v>
      </c>
      <c r="I41" s="3283" t="s">
        <v>3070</v>
      </c>
      <c r="J41" s="3283" t="s">
        <v>3071</v>
      </c>
    </row>
    <row r="42" spans="1:10">
      <c r="A42" s="3283">
        <v>40</v>
      </c>
      <c r="B42" s="3283" t="s">
        <v>3066</v>
      </c>
      <c r="C42" s="3283" t="s">
        <v>3067</v>
      </c>
      <c r="D42" s="3283"/>
      <c r="E42" s="3283">
        <v>1120</v>
      </c>
      <c r="F42" s="3283" t="s">
        <v>3110</v>
      </c>
      <c r="G42" s="3283">
        <v>51.69</v>
      </c>
      <c r="H42" s="3283" t="s">
        <v>3069</v>
      </c>
      <c r="I42" s="3283" t="s">
        <v>3070</v>
      </c>
      <c r="J42" s="3283" t="s">
        <v>3071</v>
      </c>
    </row>
    <row r="43" spans="1:10">
      <c r="A43" s="3283">
        <v>41</v>
      </c>
      <c r="B43" s="3283" t="s">
        <v>3066</v>
      </c>
      <c r="C43" s="3283" t="s">
        <v>3067</v>
      </c>
      <c r="D43" s="3283"/>
      <c r="E43" s="3283">
        <v>1207</v>
      </c>
      <c r="F43" s="3283" t="s">
        <v>3111</v>
      </c>
      <c r="G43" s="3283">
        <v>51.69</v>
      </c>
      <c r="H43" s="3283" t="s">
        <v>3069</v>
      </c>
      <c r="I43" s="3283" t="s">
        <v>3070</v>
      </c>
      <c r="J43" s="3283" t="s">
        <v>3071</v>
      </c>
    </row>
    <row r="44" spans="1:10">
      <c r="A44" s="3283">
        <v>42</v>
      </c>
      <c r="B44" s="3283" t="s">
        <v>3066</v>
      </c>
      <c r="C44" s="3283" t="s">
        <v>3067</v>
      </c>
      <c r="D44" s="3283"/>
      <c r="E44" s="3283">
        <v>1211</v>
      </c>
      <c r="F44" s="3283" t="s">
        <v>3112</v>
      </c>
      <c r="G44" s="3283">
        <v>51.69</v>
      </c>
      <c r="H44" s="3283" t="s">
        <v>3069</v>
      </c>
      <c r="I44" s="3283" t="s">
        <v>3070</v>
      </c>
      <c r="J44" s="3283" t="s">
        <v>3071</v>
      </c>
    </row>
    <row r="45" spans="1:10">
      <c r="A45" s="3283">
        <v>43</v>
      </c>
      <c r="B45" s="3283" t="s">
        <v>3066</v>
      </c>
      <c r="C45" s="3283" t="s">
        <v>3067</v>
      </c>
      <c r="D45" s="3283"/>
      <c r="E45" s="3283">
        <v>1212</v>
      </c>
      <c r="F45" s="3283" t="s">
        <v>3113</v>
      </c>
      <c r="G45" s="3283">
        <v>89.54</v>
      </c>
      <c r="H45" s="3283" t="s">
        <v>3069</v>
      </c>
      <c r="I45" s="3283" t="s">
        <v>3070</v>
      </c>
      <c r="J45" s="3283" t="s">
        <v>3071</v>
      </c>
    </row>
    <row r="46" spans="1:10">
      <c r="A46" s="3283">
        <v>44</v>
      </c>
      <c r="B46" s="3283" t="s">
        <v>3066</v>
      </c>
      <c r="C46" s="3283" t="s">
        <v>3067</v>
      </c>
      <c r="D46" s="3283"/>
      <c r="E46" s="3283">
        <v>1219</v>
      </c>
      <c r="F46" s="3283" t="s">
        <v>3114</v>
      </c>
      <c r="G46" s="3283">
        <v>51.69</v>
      </c>
      <c r="H46" s="3283" t="s">
        <v>3069</v>
      </c>
      <c r="I46" s="3283" t="s">
        <v>3070</v>
      </c>
      <c r="J46" s="3283" t="s">
        <v>3071</v>
      </c>
    </row>
    <row r="47" spans="1:10">
      <c r="A47" s="3283">
        <v>45</v>
      </c>
      <c r="B47" s="3283" t="s">
        <v>3066</v>
      </c>
      <c r="C47" s="3283" t="s">
        <v>3067</v>
      </c>
      <c r="D47" s="3283"/>
      <c r="E47" s="3283">
        <v>1503</v>
      </c>
      <c r="F47" s="3283" t="s">
        <v>3115</v>
      </c>
      <c r="G47" s="3283">
        <v>51.69</v>
      </c>
      <c r="H47" s="3283" t="s">
        <v>3069</v>
      </c>
      <c r="I47" s="3283" t="s">
        <v>3070</v>
      </c>
      <c r="J47" s="3283" t="s">
        <v>3071</v>
      </c>
    </row>
    <row r="48" spans="1:10">
      <c r="A48" s="3283">
        <v>46</v>
      </c>
      <c r="B48" s="3283" t="s">
        <v>3066</v>
      </c>
      <c r="C48" s="3283" t="s">
        <v>3067</v>
      </c>
      <c r="D48" s="3283"/>
      <c r="E48" s="3283">
        <v>1508</v>
      </c>
      <c r="F48" s="3283" t="s">
        <v>3116</v>
      </c>
      <c r="G48" s="3283">
        <v>51.69</v>
      </c>
      <c r="H48" s="3283" t="s">
        <v>3069</v>
      </c>
      <c r="I48" s="3283" t="s">
        <v>3070</v>
      </c>
      <c r="J48" s="3283" t="s">
        <v>3071</v>
      </c>
    </row>
    <row r="49" spans="1:10">
      <c r="A49" s="3283">
        <v>47</v>
      </c>
      <c r="B49" s="3283" t="s">
        <v>3066</v>
      </c>
      <c r="C49" s="3283" t="s">
        <v>3067</v>
      </c>
      <c r="D49" s="3283"/>
      <c r="E49" s="3283">
        <v>1515</v>
      </c>
      <c r="F49" s="3283" t="s">
        <v>3117</v>
      </c>
      <c r="G49" s="3283">
        <v>51.69</v>
      </c>
      <c r="H49" s="3283" t="s">
        <v>3069</v>
      </c>
      <c r="I49" s="3283" t="s">
        <v>3070</v>
      </c>
      <c r="J49" s="3283" t="s">
        <v>3071</v>
      </c>
    </row>
    <row r="50" spans="1:10">
      <c r="A50" s="3283">
        <v>48</v>
      </c>
      <c r="B50" s="3283" t="s">
        <v>3066</v>
      </c>
      <c r="C50" s="3283" t="s">
        <v>3067</v>
      </c>
      <c r="D50" s="3283"/>
      <c r="E50" s="3283">
        <v>1516</v>
      </c>
      <c r="F50" s="3283" t="s">
        <v>3118</v>
      </c>
      <c r="G50" s="3283">
        <v>51.69</v>
      </c>
      <c r="H50" s="3283" t="s">
        <v>3069</v>
      </c>
      <c r="I50" s="3283" t="s">
        <v>3070</v>
      </c>
      <c r="J50" s="3283" t="s">
        <v>3071</v>
      </c>
    </row>
    <row r="51" spans="1:10">
      <c r="A51" s="3283">
        <v>49</v>
      </c>
      <c r="B51" s="3283" t="s">
        <v>3066</v>
      </c>
      <c r="C51" s="3283" t="s">
        <v>3067</v>
      </c>
      <c r="D51" s="3283"/>
      <c r="E51" s="3283">
        <v>1601</v>
      </c>
      <c r="F51" s="3283" t="s">
        <v>3119</v>
      </c>
      <c r="G51" s="3283">
        <v>51.69</v>
      </c>
      <c r="H51" s="3283" t="s">
        <v>3069</v>
      </c>
      <c r="I51" s="3283" t="s">
        <v>3070</v>
      </c>
      <c r="J51" s="3283" t="s">
        <v>3071</v>
      </c>
    </row>
    <row r="52" spans="1:10">
      <c r="A52" s="3283">
        <v>50</v>
      </c>
      <c r="B52" s="3283" t="s">
        <v>3066</v>
      </c>
      <c r="C52" s="3283" t="s">
        <v>3067</v>
      </c>
      <c r="D52" s="3283"/>
      <c r="E52" s="3283">
        <v>1608</v>
      </c>
      <c r="F52" s="3283" t="s">
        <v>3120</v>
      </c>
      <c r="G52" s="3283">
        <v>51.69</v>
      </c>
      <c r="H52" s="3283" t="s">
        <v>3069</v>
      </c>
      <c r="I52" s="3283" t="s">
        <v>3070</v>
      </c>
      <c r="J52" s="3283" t="s">
        <v>3071</v>
      </c>
    </row>
    <row r="53" spans="1:10">
      <c r="A53" s="3283">
        <v>51</v>
      </c>
      <c r="B53" s="3283" t="s">
        <v>3066</v>
      </c>
      <c r="C53" s="3283" t="s">
        <v>3067</v>
      </c>
      <c r="D53" s="3283"/>
      <c r="E53" s="3283">
        <v>1711</v>
      </c>
      <c r="F53" s="3283" t="s">
        <v>3121</v>
      </c>
      <c r="G53" s="3283">
        <v>51.69</v>
      </c>
      <c r="H53" s="3283" t="s">
        <v>3069</v>
      </c>
      <c r="I53" s="3283" t="s">
        <v>3070</v>
      </c>
      <c r="J53" s="3283" t="s">
        <v>3071</v>
      </c>
    </row>
    <row r="54" spans="1:10">
      <c r="A54" s="3283">
        <v>52</v>
      </c>
      <c r="B54" s="3283" t="s">
        <v>3066</v>
      </c>
      <c r="C54" s="3283" t="s">
        <v>3067</v>
      </c>
      <c r="D54" s="3283"/>
      <c r="E54" s="3283">
        <v>1801</v>
      </c>
      <c r="F54" s="3283" t="s">
        <v>3122</v>
      </c>
      <c r="G54" s="3283">
        <v>51.69</v>
      </c>
      <c r="H54" s="3283" t="s">
        <v>3069</v>
      </c>
      <c r="I54" s="3283" t="s">
        <v>3070</v>
      </c>
      <c r="J54" s="3283" t="s">
        <v>3071</v>
      </c>
    </row>
    <row r="55" spans="1:10">
      <c r="A55" s="3283">
        <v>53</v>
      </c>
      <c r="B55" s="3283" t="s">
        <v>3066</v>
      </c>
      <c r="C55" s="3283" t="s">
        <v>3067</v>
      </c>
      <c r="D55" s="3283"/>
      <c r="E55" s="3283">
        <v>1803</v>
      </c>
      <c r="F55" s="3283" t="s">
        <v>3123</v>
      </c>
      <c r="G55" s="3283">
        <v>51.69</v>
      </c>
      <c r="H55" s="3283" t="s">
        <v>3069</v>
      </c>
      <c r="I55" s="3283" t="s">
        <v>3070</v>
      </c>
      <c r="J55" s="3283" t="s">
        <v>3071</v>
      </c>
    </row>
    <row r="56" spans="1:10">
      <c r="A56" s="3283">
        <v>54</v>
      </c>
      <c r="B56" s="3283" t="s">
        <v>3066</v>
      </c>
      <c r="C56" s="3283" t="s">
        <v>3067</v>
      </c>
      <c r="D56" s="3283"/>
      <c r="E56" s="3283">
        <v>1808</v>
      </c>
      <c r="F56" s="3283" t="s">
        <v>3124</v>
      </c>
      <c r="G56" s="3283">
        <v>51.69</v>
      </c>
      <c r="H56" s="3283" t="s">
        <v>3069</v>
      </c>
      <c r="I56" s="3283" t="s">
        <v>3070</v>
      </c>
      <c r="J56" s="3283" t="s">
        <v>3071</v>
      </c>
    </row>
    <row r="57" spans="1:10">
      <c r="A57" s="3283">
        <v>55</v>
      </c>
      <c r="B57" s="3283" t="s">
        <v>3066</v>
      </c>
      <c r="C57" s="3283" t="s">
        <v>3067</v>
      </c>
      <c r="D57" s="3283"/>
      <c r="E57" s="3283">
        <v>1810</v>
      </c>
      <c r="F57" s="3283" t="s">
        <v>3125</v>
      </c>
      <c r="G57" s="3283">
        <v>51.69</v>
      </c>
      <c r="H57" s="3283" t="s">
        <v>3069</v>
      </c>
      <c r="I57" s="3283" t="s">
        <v>3070</v>
      </c>
      <c r="J57" s="3283" t="s">
        <v>3071</v>
      </c>
    </row>
    <row r="58" spans="1:10">
      <c r="A58" s="3283">
        <v>56</v>
      </c>
      <c r="B58" s="3283" t="s">
        <v>3066</v>
      </c>
      <c r="C58" s="3283" t="s">
        <v>3067</v>
      </c>
      <c r="D58" s="3283"/>
      <c r="E58" s="3283">
        <v>1811</v>
      </c>
      <c r="F58" s="3283" t="s">
        <v>3126</v>
      </c>
      <c r="G58" s="3283">
        <v>51.69</v>
      </c>
      <c r="H58" s="3283" t="s">
        <v>3069</v>
      </c>
      <c r="I58" s="3283" t="s">
        <v>3070</v>
      </c>
      <c r="J58" s="3283" t="s">
        <v>3071</v>
      </c>
    </row>
    <row r="59" spans="1:10">
      <c r="A59" s="3283">
        <v>57</v>
      </c>
      <c r="B59" s="3283" t="s">
        <v>3066</v>
      </c>
      <c r="C59" s="3283" t="s">
        <v>3067</v>
      </c>
      <c r="D59" s="3283"/>
      <c r="E59" s="3283">
        <v>1815</v>
      </c>
      <c r="F59" s="3283" t="s">
        <v>3127</v>
      </c>
      <c r="G59" s="3283">
        <v>51.69</v>
      </c>
      <c r="H59" s="3283" t="s">
        <v>3069</v>
      </c>
      <c r="I59" s="3283" t="s">
        <v>3070</v>
      </c>
      <c r="J59" s="3283" t="s">
        <v>3071</v>
      </c>
    </row>
    <row r="60" spans="1:10">
      <c r="A60" s="3283">
        <v>58</v>
      </c>
      <c r="B60" s="3283" t="s">
        <v>3066</v>
      </c>
      <c r="C60" s="3283" t="s">
        <v>3067</v>
      </c>
      <c r="D60" s="3283"/>
      <c r="E60" s="3283">
        <v>1822</v>
      </c>
      <c r="F60" s="3283" t="s">
        <v>3128</v>
      </c>
      <c r="G60" s="3283">
        <v>51.69</v>
      </c>
      <c r="H60" s="3283" t="s">
        <v>3069</v>
      </c>
      <c r="I60" s="3283" t="s">
        <v>3070</v>
      </c>
      <c r="J60" s="3283" t="s">
        <v>3071</v>
      </c>
    </row>
    <row r="61" spans="1:10">
      <c r="A61" s="3283">
        <v>59</v>
      </c>
      <c r="B61" s="3283" t="s">
        <v>3066</v>
      </c>
      <c r="C61" s="3283" t="s">
        <v>3067</v>
      </c>
      <c r="D61" s="3283"/>
      <c r="E61" s="3283">
        <v>2001</v>
      </c>
      <c r="F61" s="3283" t="s">
        <v>3129</v>
      </c>
      <c r="G61" s="3283">
        <v>51.69</v>
      </c>
      <c r="H61" s="3283" t="s">
        <v>3069</v>
      </c>
      <c r="I61" s="3283" t="s">
        <v>3070</v>
      </c>
      <c r="J61" s="3283" t="s">
        <v>3071</v>
      </c>
    </row>
    <row r="62" spans="1:10">
      <c r="A62" s="3283">
        <v>60</v>
      </c>
      <c r="B62" s="3283" t="s">
        <v>3066</v>
      </c>
      <c r="C62" s="3283" t="s">
        <v>3067</v>
      </c>
      <c r="D62" s="3283"/>
      <c r="E62" s="3283">
        <v>2002</v>
      </c>
      <c r="F62" s="3283" t="s">
        <v>3130</v>
      </c>
      <c r="G62" s="3283">
        <v>51.69</v>
      </c>
      <c r="H62" s="3283" t="s">
        <v>3069</v>
      </c>
      <c r="I62" s="3283" t="s">
        <v>3070</v>
      </c>
      <c r="J62" s="3283" t="s">
        <v>3071</v>
      </c>
    </row>
    <row r="63" spans="1:10">
      <c r="A63" s="3283">
        <v>61</v>
      </c>
      <c r="B63" s="3283" t="s">
        <v>3066</v>
      </c>
      <c r="C63" s="3283" t="s">
        <v>3067</v>
      </c>
      <c r="D63" s="3283"/>
      <c r="E63" s="3283">
        <v>2003</v>
      </c>
      <c r="F63" s="3283" t="s">
        <v>3131</v>
      </c>
      <c r="G63" s="3283">
        <v>51.69</v>
      </c>
      <c r="H63" s="3283" t="s">
        <v>3069</v>
      </c>
      <c r="I63" s="3283" t="s">
        <v>3070</v>
      </c>
      <c r="J63" s="3283" t="s">
        <v>3071</v>
      </c>
    </row>
    <row r="64" spans="1:10">
      <c r="A64" s="3283">
        <v>62</v>
      </c>
      <c r="B64" s="3283" t="s">
        <v>3066</v>
      </c>
      <c r="C64" s="3283" t="s">
        <v>3067</v>
      </c>
      <c r="D64" s="3283"/>
      <c r="E64" s="3283">
        <v>2004</v>
      </c>
      <c r="F64" s="3283" t="s">
        <v>3132</v>
      </c>
      <c r="G64" s="3283">
        <v>85.62</v>
      </c>
      <c r="H64" s="3283" t="s">
        <v>3069</v>
      </c>
      <c r="I64" s="3283" t="s">
        <v>3070</v>
      </c>
      <c r="J64" s="3283" t="s">
        <v>3071</v>
      </c>
    </row>
    <row r="65" spans="1:10">
      <c r="A65" s="3283">
        <v>63</v>
      </c>
      <c r="B65" s="3283" t="s">
        <v>3066</v>
      </c>
      <c r="C65" s="3283" t="s">
        <v>3067</v>
      </c>
      <c r="D65" s="3283"/>
      <c r="E65" s="3283">
        <v>2005</v>
      </c>
      <c r="F65" s="3283" t="s">
        <v>3133</v>
      </c>
      <c r="G65" s="3283">
        <v>89.54</v>
      </c>
      <c r="H65" s="3283" t="s">
        <v>3069</v>
      </c>
      <c r="I65" s="3283" t="s">
        <v>3070</v>
      </c>
      <c r="J65" s="3283" t="s">
        <v>3071</v>
      </c>
    </row>
    <row r="66" spans="1:10">
      <c r="A66" s="3283">
        <v>64</v>
      </c>
      <c r="B66" s="3283" t="s">
        <v>3066</v>
      </c>
      <c r="C66" s="3283" t="s">
        <v>3067</v>
      </c>
      <c r="D66" s="3283"/>
      <c r="E66" s="3283">
        <v>2006</v>
      </c>
      <c r="F66" s="3283" t="s">
        <v>3134</v>
      </c>
      <c r="G66" s="3283">
        <v>51.69</v>
      </c>
      <c r="H66" s="3283" t="s">
        <v>3069</v>
      </c>
      <c r="I66" s="3283" t="s">
        <v>3070</v>
      </c>
      <c r="J66" s="3283" t="s">
        <v>3071</v>
      </c>
    </row>
    <row r="67" spans="1:10">
      <c r="A67" s="3283">
        <v>65</v>
      </c>
      <c r="B67" s="3283" t="s">
        <v>3066</v>
      </c>
      <c r="C67" s="3283" t="s">
        <v>3067</v>
      </c>
      <c r="D67" s="3283"/>
      <c r="E67" s="3283">
        <v>2007</v>
      </c>
      <c r="F67" s="3283" t="s">
        <v>3135</v>
      </c>
      <c r="G67" s="3283">
        <v>51.69</v>
      </c>
      <c r="H67" s="3283" t="s">
        <v>3069</v>
      </c>
      <c r="I67" s="3283" t="s">
        <v>3070</v>
      </c>
      <c r="J67" s="3283" t="s">
        <v>3071</v>
      </c>
    </row>
    <row r="68" spans="1:10">
      <c r="A68" s="3283">
        <v>66</v>
      </c>
      <c r="B68" s="3283" t="s">
        <v>3066</v>
      </c>
      <c r="C68" s="3283" t="s">
        <v>3067</v>
      </c>
      <c r="D68" s="3283"/>
      <c r="E68" s="3283">
        <v>2008</v>
      </c>
      <c r="F68" s="3283" t="s">
        <v>3136</v>
      </c>
      <c r="G68" s="3283">
        <v>51.69</v>
      </c>
      <c r="H68" s="3283" t="s">
        <v>3069</v>
      </c>
      <c r="I68" s="3283" t="s">
        <v>3070</v>
      </c>
      <c r="J68" s="3283" t="s">
        <v>3071</v>
      </c>
    </row>
    <row r="69" spans="1:10">
      <c r="A69" s="3283">
        <v>67</v>
      </c>
      <c r="B69" s="3283" t="s">
        <v>3066</v>
      </c>
      <c r="C69" s="3283" t="s">
        <v>3067</v>
      </c>
      <c r="D69" s="3283"/>
      <c r="E69" s="3283">
        <v>2009</v>
      </c>
      <c r="F69" s="3283" t="s">
        <v>3137</v>
      </c>
      <c r="G69" s="3283">
        <v>51.69</v>
      </c>
      <c r="H69" s="3283" t="s">
        <v>3069</v>
      </c>
      <c r="I69" s="3283" t="s">
        <v>3070</v>
      </c>
      <c r="J69" s="3283" t="s">
        <v>3071</v>
      </c>
    </row>
    <row r="70" spans="1:10">
      <c r="A70" s="3283">
        <v>68</v>
      </c>
      <c r="B70" s="3283" t="s">
        <v>3066</v>
      </c>
      <c r="C70" s="3283" t="s">
        <v>3067</v>
      </c>
      <c r="D70" s="3283"/>
      <c r="E70" s="3283">
        <v>2010</v>
      </c>
      <c r="F70" s="3283" t="s">
        <v>3138</v>
      </c>
      <c r="G70" s="3283">
        <v>51.69</v>
      </c>
      <c r="H70" s="3283" t="s">
        <v>3069</v>
      </c>
      <c r="I70" s="3283" t="s">
        <v>3070</v>
      </c>
      <c r="J70" s="3283" t="s">
        <v>3071</v>
      </c>
    </row>
    <row r="71" spans="1:10">
      <c r="A71" s="3283">
        <v>69</v>
      </c>
      <c r="B71" s="3283" t="s">
        <v>3066</v>
      </c>
      <c r="C71" s="3283" t="s">
        <v>3067</v>
      </c>
      <c r="D71" s="3283"/>
      <c r="E71" s="3283">
        <v>2011</v>
      </c>
      <c r="F71" s="3283" t="s">
        <v>3139</v>
      </c>
      <c r="G71" s="3283">
        <v>51.69</v>
      </c>
      <c r="H71" s="3283" t="s">
        <v>3069</v>
      </c>
      <c r="I71" s="3283" t="s">
        <v>3070</v>
      </c>
      <c r="J71" s="3283" t="s">
        <v>3071</v>
      </c>
    </row>
    <row r="72" spans="1:10">
      <c r="A72" s="3283">
        <v>70</v>
      </c>
      <c r="B72" s="3283" t="s">
        <v>3066</v>
      </c>
      <c r="C72" s="3283" t="s">
        <v>3067</v>
      </c>
      <c r="D72" s="3283"/>
      <c r="E72" s="3283">
        <v>2012</v>
      </c>
      <c r="F72" s="3283" t="s">
        <v>3140</v>
      </c>
      <c r="G72" s="3283">
        <v>89.54</v>
      </c>
      <c r="H72" s="3283" t="s">
        <v>3069</v>
      </c>
      <c r="I72" s="3283" t="s">
        <v>3070</v>
      </c>
      <c r="J72" s="3283" t="s">
        <v>3071</v>
      </c>
    </row>
    <row r="73" spans="1:10">
      <c r="A73" s="3283">
        <v>71</v>
      </c>
      <c r="B73" s="3283" t="s">
        <v>3066</v>
      </c>
      <c r="C73" s="3283" t="s">
        <v>3067</v>
      </c>
      <c r="D73" s="3283"/>
      <c r="E73" s="3283">
        <v>2013</v>
      </c>
      <c r="F73" s="3283" t="s">
        <v>3141</v>
      </c>
      <c r="G73" s="3283">
        <v>85.62</v>
      </c>
      <c r="H73" s="3283" t="s">
        <v>3069</v>
      </c>
      <c r="I73" s="3283" t="s">
        <v>3070</v>
      </c>
      <c r="J73" s="3283" t="s">
        <v>3071</v>
      </c>
    </row>
    <row r="74" spans="1:10">
      <c r="A74" s="3283">
        <v>72</v>
      </c>
      <c r="B74" s="3283" t="s">
        <v>3066</v>
      </c>
      <c r="C74" s="3283" t="s">
        <v>3067</v>
      </c>
      <c r="D74" s="3283"/>
      <c r="E74" s="3283">
        <v>2014</v>
      </c>
      <c r="F74" s="3283" t="s">
        <v>3142</v>
      </c>
      <c r="G74" s="3283">
        <v>51.69</v>
      </c>
      <c r="H74" s="3283" t="s">
        <v>3069</v>
      </c>
      <c r="I74" s="3283" t="s">
        <v>3070</v>
      </c>
      <c r="J74" s="3283" t="s">
        <v>3071</v>
      </c>
    </row>
    <row r="75" spans="1:10">
      <c r="A75" s="3283">
        <v>73</v>
      </c>
      <c r="B75" s="3283" t="s">
        <v>3066</v>
      </c>
      <c r="C75" s="3283" t="s">
        <v>3067</v>
      </c>
      <c r="D75" s="3283"/>
      <c r="E75" s="3283">
        <v>2015</v>
      </c>
      <c r="F75" s="3283" t="s">
        <v>3143</v>
      </c>
      <c r="G75" s="3283">
        <v>51.69</v>
      </c>
      <c r="H75" s="3283" t="s">
        <v>3069</v>
      </c>
      <c r="I75" s="3283" t="s">
        <v>3070</v>
      </c>
      <c r="J75" s="3283" t="s">
        <v>3071</v>
      </c>
    </row>
    <row r="76" spans="1:10">
      <c r="A76" s="3283">
        <v>74</v>
      </c>
      <c r="B76" s="3283" t="s">
        <v>3066</v>
      </c>
      <c r="C76" s="3283" t="s">
        <v>3067</v>
      </c>
      <c r="D76" s="3283"/>
      <c r="E76" s="3283">
        <v>2016</v>
      </c>
      <c r="F76" s="3283" t="s">
        <v>3144</v>
      </c>
      <c r="G76" s="3283">
        <v>51.69</v>
      </c>
      <c r="H76" s="3283" t="s">
        <v>3069</v>
      </c>
      <c r="I76" s="3283" t="s">
        <v>3070</v>
      </c>
      <c r="J76" s="3283" t="s">
        <v>3071</v>
      </c>
    </row>
    <row r="77" spans="1:10">
      <c r="A77" s="3283">
        <v>75</v>
      </c>
      <c r="B77" s="3283" t="s">
        <v>3066</v>
      </c>
      <c r="C77" s="3283" t="s">
        <v>3067</v>
      </c>
      <c r="D77" s="3283"/>
      <c r="E77" s="3283">
        <v>2017</v>
      </c>
      <c r="F77" s="3283" t="s">
        <v>3145</v>
      </c>
      <c r="G77" s="3283">
        <v>94.09</v>
      </c>
      <c r="H77" s="3283" t="s">
        <v>3069</v>
      </c>
      <c r="I77" s="3283" t="s">
        <v>3070</v>
      </c>
      <c r="J77" s="3283" t="s">
        <v>3071</v>
      </c>
    </row>
    <row r="78" spans="1:10">
      <c r="A78" s="3283">
        <v>76</v>
      </c>
      <c r="B78" s="3283" t="s">
        <v>3066</v>
      </c>
      <c r="C78" s="3283" t="s">
        <v>3067</v>
      </c>
      <c r="D78" s="3283"/>
      <c r="E78" s="3283">
        <v>2018</v>
      </c>
      <c r="F78" s="3283" t="s">
        <v>3146</v>
      </c>
      <c r="G78" s="3283">
        <v>51.69</v>
      </c>
      <c r="H78" s="3283" t="s">
        <v>3069</v>
      </c>
      <c r="I78" s="3283" t="s">
        <v>3070</v>
      </c>
      <c r="J78" s="3283" t="s">
        <v>3071</v>
      </c>
    </row>
    <row r="79" spans="1:10">
      <c r="A79" s="3283">
        <v>77</v>
      </c>
      <c r="B79" s="3283" t="s">
        <v>3066</v>
      </c>
      <c r="C79" s="3283" t="s">
        <v>3067</v>
      </c>
      <c r="D79" s="3283"/>
      <c r="E79" s="3283">
        <v>2019</v>
      </c>
      <c r="F79" s="3283" t="s">
        <v>3147</v>
      </c>
      <c r="G79" s="3283">
        <v>51.69</v>
      </c>
      <c r="H79" s="3283" t="s">
        <v>3069</v>
      </c>
      <c r="I79" s="3283" t="s">
        <v>3070</v>
      </c>
      <c r="J79" s="3283" t="s">
        <v>3071</v>
      </c>
    </row>
    <row r="80" spans="1:10">
      <c r="A80" s="3283">
        <v>78</v>
      </c>
      <c r="B80" s="3283" t="s">
        <v>3066</v>
      </c>
      <c r="C80" s="3283" t="s">
        <v>3067</v>
      </c>
      <c r="D80" s="3283"/>
      <c r="E80" s="3283">
        <v>2020</v>
      </c>
      <c r="F80" s="3283" t="s">
        <v>3148</v>
      </c>
      <c r="G80" s="3283">
        <v>51.69</v>
      </c>
      <c r="H80" s="3283" t="s">
        <v>3069</v>
      </c>
      <c r="I80" s="3283" t="s">
        <v>3070</v>
      </c>
      <c r="J80" s="3283" t="s">
        <v>3071</v>
      </c>
    </row>
    <row r="81" spans="1:10">
      <c r="A81" s="3283">
        <v>79</v>
      </c>
      <c r="B81" s="3283" t="s">
        <v>3066</v>
      </c>
      <c r="C81" s="3283" t="s">
        <v>3067</v>
      </c>
      <c r="D81" s="3283"/>
      <c r="E81" s="3283">
        <v>2021</v>
      </c>
      <c r="F81" s="3283" t="s">
        <v>3149</v>
      </c>
      <c r="G81" s="3283">
        <v>51.69</v>
      </c>
      <c r="H81" s="3283" t="s">
        <v>3069</v>
      </c>
      <c r="I81" s="3283" t="s">
        <v>3070</v>
      </c>
      <c r="J81" s="3283" t="s">
        <v>3071</v>
      </c>
    </row>
    <row r="82" spans="1:10">
      <c r="A82" s="3283">
        <v>80</v>
      </c>
      <c r="B82" s="3283" t="s">
        <v>3066</v>
      </c>
      <c r="C82" s="3283" t="s">
        <v>3067</v>
      </c>
      <c r="D82" s="3283"/>
      <c r="E82" s="3283">
        <v>2022</v>
      </c>
      <c r="F82" s="3283" t="s">
        <v>3150</v>
      </c>
      <c r="G82" s="3283">
        <v>51.69</v>
      </c>
      <c r="H82" s="3283" t="s">
        <v>3069</v>
      </c>
      <c r="I82" s="3283" t="s">
        <v>3070</v>
      </c>
      <c r="J82" s="3283" t="s">
        <v>3071</v>
      </c>
    </row>
    <row r="83" spans="1:10">
      <c r="A83" s="3283">
        <v>81</v>
      </c>
      <c r="B83" s="3283" t="s">
        <v>3066</v>
      </c>
      <c r="C83" s="3283" t="s">
        <v>3067</v>
      </c>
      <c r="D83" s="3283"/>
      <c r="E83" s="3283">
        <v>2023</v>
      </c>
      <c r="F83" s="3283" t="s">
        <v>3151</v>
      </c>
      <c r="G83" s="3283">
        <v>51.69</v>
      </c>
      <c r="H83" s="3283" t="s">
        <v>3069</v>
      </c>
      <c r="I83" s="3283" t="s">
        <v>3070</v>
      </c>
      <c r="J83" s="3283" t="s">
        <v>3071</v>
      </c>
    </row>
    <row r="84" spans="1:10">
      <c r="A84" s="3283">
        <v>82</v>
      </c>
      <c r="B84" s="3283" t="s">
        <v>3066</v>
      </c>
      <c r="C84" s="3283" t="s">
        <v>3067</v>
      </c>
      <c r="D84" s="3283"/>
      <c r="E84" s="3283">
        <v>2024</v>
      </c>
      <c r="F84" s="3283" t="s">
        <v>3152</v>
      </c>
      <c r="G84" s="3283">
        <v>94.09</v>
      </c>
      <c r="H84" s="3283" t="s">
        <v>3069</v>
      </c>
      <c r="I84" s="3283" t="s">
        <v>3070</v>
      </c>
      <c r="J84" s="3283" t="s">
        <v>3071</v>
      </c>
    </row>
    <row r="85" spans="1:10">
      <c r="A85" s="3283">
        <v>83</v>
      </c>
      <c r="B85" s="3283" t="s">
        <v>3066</v>
      </c>
      <c r="C85" s="3283" t="s">
        <v>3067</v>
      </c>
      <c r="D85" s="3283"/>
      <c r="E85" s="3283">
        <v>2108</v>
      </c>
      <c r="F85" s="3283" t="s">
        <v>3153</v>
      </c>
      <c r="G85" s="3283">
        <v>51.69</v>
      </c>
      <c r="H85" s="3283" t="s">
        <v>3069</v>
      </c>
      <c r="I85" s="3283" t="s">
        <v>3070</v>
      </c>
      <c r="J85" s="3283" t="s">
        <v>3071</v>
      </c>
    </row>
    <row r="86" spans="1:10">
      <c r="A86" s="3283">
        <v>84</v>
      </c>
      <c r="B86" s="3283" t="s">
        <v>3066</v>
      </c>
      <c r="C86" s="3283" t="s">
        <v>3067</v>
      </c>
      <c r="D86" s="3283"/>
      <c r="E86" s="3283">
        <v>2115</v>
      </c>
      <c r="F86" s="3283" t="s">
        <v>3154</v>
      </c>
      <c r="G86" s="3283">
        <v>51.69</v>
      </c>
      <c r="H86" s="3283" t="s">
        <v>3069</v>
      </c>
      <c r="I86" s="3283" t="s">
        <v>3070</v>
      </c>
      <c r="J86" s="3283" t="s">
        <v>3071</v>
      </c>
    </row>
    <row r="87" spans="1:10">
      <c r="A87" s="3283">
        <v>85</v>
      </c>
      <c r="B87" s="3283" t="s">
        <v>3066</v>
      </c>
      <c r="C87" s="3283" t="s">
        <v>3067</v>
      </c>
      <c r="D87" s="3283"/>
      <c r="E87" s="3283">
        <v>2116</v>
      </c>
      <c r="F87" s="3283" t="s">
        <v>3155</v>
      </c>
      <c r="G87" s="3283">
        <v>51.69</v>
      </c>
      <c r="H87" s="3283" t="s">
        <v>3069</v>
      </c>
      <c r="I87" s="3283" t="s">
        <v>3070</v>
      </c>
      <c r="J87" s="3283" t="s">
        <v>3071</v>
      </c>
    </row>
    <row r="88" spans="1:10">
      <c r="A88" s="3283">
        <v>86</v>
      </c>
      <c r="B88" s="3283" t="s">
        <v>3066</v>
      </c>
      <c r="C88" s="3283" t="s">
        <v>3067</v>
      </c>
      <c r="D88" s="3283"/>
      <c r="E88" s="3283">
        <v>2208</v>
      </c>
      <c r="F88" s="3283" t="s">
        <v>3156</v>
      </c>
      <c r="G88" s="3283">
        <v>51.69</v>
      </c>
      <c r="H88" s="3283" t="s">
        <v>3069</v>
      </c>
      <c r="I88" s="3283" t="s">
        <v>3070</v>
      </c>
      <c r="J88" s="3283" t="s">
        <v>3071</v>
      </c>
    </row>
    <row r="89" spans="1:10">
      <c r="A89" s="3283">
        <v>87</v>
      </c>
      <c r="B89" s="3283" t="s">
        <v>3066</v>
      </c>
      <c r="C89" s="3283" t="s">
        <v>3067</v>
      </c>
      <c r="D89" s="3283"/>
      <c r="E89" s="3283">
        <v>2214</v>
      </c>
      <c r="F89" s="3283" t="s">
        <v>3157</v>
      </c>
      <c r="G89" s="3283">
        <v>51.69</v>
      </c>
      <c r="H89" s="3283" t="s">
        <v>3069</v>
      </c>
      <c r="I89" s="3283" t="s">
        <v>3070</v>
      </c>
      <c r="J89" s="3283" t="s">
        <v>3071</v>
      </c>
    </row>
    <row r="90" spans="1:10">
      <c r="A90" s="3283">
        <v>88</v>
      </c>
      <c r="B90" s="3283" t="s">
        <v>3066</v>
      </c>
      <c r="C90" s="3283" t="s">
        <v>3067</v>
      </c>
      <c r="D90" s="3283"/>
      <c r="E90" s="3283">
        <v>2215</v>
      </c>
      <c r="F90" s="3283" t="s">
        <v>3158</v>
      </c>
      <c r="G90" s="3283">
        <v>51.69</v>
      </c>
      <c r="H90" s="3283" t="s">
        <v>3069</v>
      </c>
      <c r="I90" s="3283" t="s">
        <v>3070</v>
      </c>
      <c r="J90" s="3283" t="s">
        <v>3071</v>
      </c>
    </row>
    <row r="91" spans="1:10">
      <c r="A91" s="3283">
        <v>89</v>
      </c>
      <c r="B91" s="3283" t="s">
        <v>3066</v>
      </c>
      <c r="C91" s="3283" t="s">
        <v>3067</v>
      </c>
      <c r="D91" s="3283"/>
      <c r="E91" s="3283">
        <v>2220</v>
      </c>
      <c r="F91" s="3283" t="s">
        <v>3159</v>
      </c>
      <c r="G91" s="3283">
        <v>51.69</v>
      </c>
      <c r="H91" s="3283" t="s">
        <v>3069</v>
      </c>
      <c r="I91" s="3283" t="s">
        <v>3070</v>
      </c>
      <c r="J91" s="3283" t="s">
        <v>3071</v>
      </c>
    </row>
    <row r="92" spans="1:10">
      <c r="A92" s="3283">
        <v>90</v>
      </c>
      <c r="B92" s="3283" t="s">
        <v>3066</v>
      </c>
      <c r="C92" s="3283" t="s">
        <v>3067</v>
      </c>
      <c r="D92" s="3283"/>
      <c r="E92" s="3283">
        <v>2301</v>
      </c>
      <c r="F92" s="3283" t="s">
        <v>3160</v>
      </c>
      <c r="G92" s="3283">
        <v>52.49</v>
      </c>
      <c r="H92" s="3283" t="s">
        <v>3069</v>
      </c>
      <c r="I92" s="3283" t="s">
        <v>3070</v>
      </c>
      <c r="J92" s="3283" t="s">
        <v>3071</v>
      </c>
    </row>
    <row r="93" spans="1:10">
      <c r="A93" s="3283">
        <v>91</v>
      </c>
      <c r="B93" s="3283" t="s">
        <v>3066</v>
      </c>
      <c r="C93" s="3283" t="s">
        <v>3067</v>
      </c>
      <c r="D93" s="3283"/>
      <c r="E93" s="3283">
        <v>2302</v>
      </c>
      <c r="F93" s="3283" t="s">
        <v>3161</v>
      </c>
      <c r="G93" s="3283">
        <v>52.49</v>
      </c>
      <c r="H93" s="3283" t="s">
        <v>3069</v>
      </c>
      <c r="I93" s="3283" t="s">
        <v>3070</v>
      </c>
      <c r="J93" s="3283" t="s">
        <v>3071</v>
      </c>
    </row>
    <row r="94" spans="1:10">
      <c r="A94" s="3283">
        <v>92</v>
      </c>
      <c r="B94" s="3283" t="s">
        <v>3066</v>
      </c>
      <c r="C94" s="3283" t="s">
        <v>3067</v>
      </c>
      <c r="D94" s="3283"/>
      <c r="E94" s="3283">
        <v>2307</v>
      </c>
      <c r="F94" s="3283" t="s">
        <v>3162</v>
      </c>
      <c r="G94" s="3283">
        <v>51.69</v>
      </c>
      <c r="H94" s="3283" t="s">
        <v>3069</v>
      </c>
      <c r="I94" s="3283" t="s">
        <v>3070</v>
      </c>
      <c r="J94" s="3283" t="s">
        <v>3071</v>
      </c>
    </row>
    <row r="95" spans="1:10">
      <c r="A95" s="3283">
        <v>93</v>
      </c>
      <c r="B95" s="3283" t="s">
        <v>3066</v>
      </c>
      <c r="C95" s="3283" t="s">
        <v>3067</v>
      </c>
      <c r="D95" s="3283"/>
      <c r="E95" s="3283">
        <v>2308</v>
      </c>
      <c r="F95" s="3283" t="s">
        <v>3163</v>
      </c>
      <c r="G95" s="3283">
        <v>51.69</v>
      </c>
      <c r="H95" s="3283" t="s">
        <v>3069</v>
      </c>
      <c r="I95" s="3283" t="s">
        <v>3070</v>
      </c>
      <c r="J95" s="3283" t="s">
        <v>3071</v>
      </c>
    </row>
    <row r="96" spans="1:10">
      <c r="A96" s="3283">
        <v>94</v>
      </c>
      <c r="B96" s="3283" t="s">
        <v>3066</v>
      </c>
      <c r="C96" s="3283" t="s">
        <v>3067</v>
      </c>
      <c r="D96" s="3283"/>
      <c r="E96" s="3283">
        <v>2310</v>
      </c>
      <c r="F96" s="3283" t="s">
        <v>3164</v>
      </c>
      <c r="G96" s="3283">
        <v>51.69</v>
      </c>
      <c r="H96" s="3283" t="s">
        <v>3069</v>
      </c>
      <c r="I96" s="3283" t="s">
        <v>3070</v>
      </c>
      <c r="J96" s="3283" t="s">
        <v>3071</v>
      </c>
    </row>
    <row r="97" spans="1:10">
      <c r="A97" s="3283">
        <v>95</v>
      </c>
      <c r="B97" s="3283" t="s">
        <v>3066</v>
      </c>
      <c r="C97" s="3283" t="s">
        <v>3067</v>
      </c>
      <c r="D97" s="3283"/>
      <c r="E97" s="3283">
        <v>2314</v>
      </c>
      <c r="F97" s="3283" t="s">
        <v>3165</v>
      </c>
      <c r="G97" s="3283">
        <v>52.49</v>
      </c>
      <c r="H97" s="3283" t="s">
        <v>3069</v>
      </c>
      <c r="I97" s="3283" t="s">
        <v>3070</v>
      </c>
      <c r="J97" s="3283" t="s">
        <v>3071</v>
      </c>
    </row>
    <row r="98" spans="1:10">
      <c r="A98" s="3283">
        <v>96</v>
      </c>
      <c r="B98" s="3283" t="s">
        <v>3066</v>
      </c>
      <c r="C98" s="3283" t="s">
        <v>3067</v>
      </c>
      <c r="D98" s="3283"/>
      <c r="E98" s="3283">
        <v>2315</v>
      </c>
      <c r="F98" s="3283" t="s">
        <v>3166</v>
      </c>
      <c r="G98" s="3283">
        <v>52.49</v>
      </c>
      <c r="H98" s="3283" t="s">
        <v>3069</v>
      </c>
      <c r="I98" s="3283" t="s">
        <v>3070</v>
      </c>
      <c r="J98" s="3283" t="s">
        <v>3071</v>
      </c>
    </row>
    <row r="99" spans="1:10">
      <c r="A99" s="3283">
        <v>97</v>
      </c>
      <c r="B99" s="3283" t="s">
        <v>3066</v>
      </c>
      <c r="C99" s="3283" t="s">
        <v>3067</v>
      </c>
      <c r="D99" s="3283"/>
      <c r="E99" s="3283">
        <v>2402</v>
      </c>
      <c r="F99" s="3283" t="s">
        <v>3167</v>
      </c>
      <c r="G99" s="3283">
        <v>52.49</v>
      </c>
      <c r="H99" s="3283" t="s">
        <v>3069</v>
      </c>
      <c r="I99" s="3283" t="s">
        <v>3070</v>
      </c>
      <c r="J99" s="3283" t="s">
        <v>3071</v>
      </c>
    </row>
    <row r="100" spans="1:10">
      <c r="A100" s="3283">
        <v>98</v>
      </c>
      <c r="B100" s="3283" t="s">
        <v>3066</v>
      </c>
      <c r="C100" s="3283" t="s">
        <v>3067</v>
      </c>
      <c r="D100" s="3283"/>
      <c r="E100" s="3283">
        <v>2403</v>
      </c>
      <c r="F100" s="3283" t="s">
        <v>3168</v>
      </c>
      <c r="G100" s="3283">
        <v>52.49</v>
      </c>
      <c r="H100" s="3283" t="s">
        <v>3069</v>
      </c>
      <c r="I100" s="3283" t="s">
        <v>3070</v>
      </c>
      <c r="J100" s="3283" t="s">
        <v>3071</v>
      </c>
    </row>
    <row r="101" spans="1:10">
      <c r="A101" s="3283">
        <v>99</v>
      </c>
      <c r="B101" s="3283" t="s">
        <v>3066</v>
      </c>
      <c r="C101" s="3283" t="s">
        <v>3067</v>
      </c>
      <c r="D101" s="3283"/>
      <c r="E101" s="3283">
        <v>2407</v>
      </c>
      <c r="F101" s="3283" t="s">
        <v>3169</v>
      </c>
      <c r="G101" s="3283">
        <v>51.69</v>
      </c>
      <c r="H101" s="3283" t="s">
        <v>3069</v>
      </c>
      <c r="I101" s="3283" t="s">
        <v>3070</v>
      </c>
      <c r="J101" s="3283" t="s">
        <v>3071</v>
      </c>
    </row>
    <row r="102" spans="1:10">
      <c r="A102" s="3283">
        <v>100</v>
      </c>
      <c r="B102" s="3283" t="s">
        <v>3066</v>
      </c>
      <c r="C102" s="3283" t="s">
        <v>3067</v>
      </c>
      <c r="D102" s="3283"/>
      <c r="E102" s="3283">
        <v>2413</v>
      </c>
      <c r="F102" s="3283" t="s">
        <v>3170</v>
      </c>
      <c r="G102" s="3283">
        <v>86.49</v>
      </c>
      <c r="H102" s="3283" t="s">
        <v>3069</v>
      </c>
      <c r="I102" s="3283" t="s">
        <v>3070</v>
      </c>
      <c r="J102" s="3283" t="s">
        <v>3071</v>
      </c>
    </row>
    <row r="103" spans="1:10">
      <c r="A103" s="3283">
        <v>101</v>
      </c>
      <c r="B103" s="3283" t="s">
        <v>3066</v>
      </c>
      <c r="C103" s="3283" t="s">
        <v>3067</v>
      </c>
      <c r="D103" s="3283"/>
      <c r="E103" s="3283">
        <v>2414</v>
      </c>
      <c r="F103" s="3283" t="s">
        <v>3171</v>
      </c>
      <c r="G103" s="3283">
        <v>52.49</v>
      </c>
      <c r="H103" s="3283" t="s">
        <v>3069</v>
      </c>
      <c r="I103" s="3283" t="s">
        <v>3070</v>
      </c>
      <c r="J103" s="3283" t="s">
        <v>3071</v>
      </c>
    </row>
    <row r="104" spans="1:10">
      <c r="A104" s="3283">
        <v>102</v>
      </c>
      <c r="B104" s="3283" t="s">
        <v>3066</v>
      </c>
      <c r="C104" s="3283" t="s">
        <v>3067</v>
      </c>
      <c r="D104" s="3283"/>
      <c r="E104" s="3283">
        <v>2416</v>
      </c>
      <c r="F104" s="3283" t="s">
        <v>3172</v>
      </c>
      <c r="G104" s="3283">
        <v>52.49</v>
      </c>
      <c r="H104" s="3283" t="s">
        <v>3069</v>
      </c>
      <c r="I104" s="3283" t="s">
        <v>3070</v>
      </c>
      <c r="J104" s="3283" t="s">
        <v>3071</v>
      </c>
    </row>
    <row r="105" spans="1:10">
      <c r="A105" s="3283">
        <v>103</v>
      </c>
      <c r="B105" s="3283" t="s">
        <v>3066</v>
      </c>
      <c r="C105" s="3283" t="s">
        <v>3067</v>
      </c>
      <c r="D105" s="3283"/>
      <c r="E105" s="3283">
        <v>2420</v>
      </c>
      <c r="F105" s="3283" t="s">
        <v>3173</v>
      </c>
      <c r="G105" s="3283">
        <v>51.69</v>
      </c>
      <c r="H105" s="3283" t="s">
        <v>3069</v>
      </c>
      <c r="I105" s="3283" t="s">
        <v>3070</v>
      </c>
      <c r="J105" s="3283" t="s">
        <v>3071</v>
      </c>
    </row>
    <row r="106" spans="1:10">
      <c r="A106" s="3283">
        <v>104</v>
      </c>
      <c r="B106" s="3283" t="s">
        <v>3066</v>
      </c>
      <c r="C106" s="3283" t="s">
        <v>3067</v>
      </c>
      <c r="D106" s="3283"/>
      <c r="E106" s="3283">
        <v>2503</v>
      </c>
      <c r="F106" s="3283" t="s">
        <v>3174</v>
      </c>
      <c r="G106" s="3283">
        <v>52.49</v>
      </c>
      <c r="H106" s="3283" t="s">
        <v>3069</v>
      </c>
      <c r="I106" s="3283" t="s">
        <v>3070</v>
      </c>
      <c r="J106" s="3283" t="s">
        <v>3071</v>
      </c>
    </row>
    <row r="107" spans="1:10">
      <c r="A107" s="3283">
        <v>105</v>
      </c>
      <c r="B107" s="3283" t="s">
        <v>3066</v>
      </c>
      <c r="C107" s="3283" t="s">
        <v>3067</v>
      </c>
      <c r="D107" s="3283"/>
      <c r="E107" s="3283">
        <v>2514</v>
      </c>
      <c r="F107" s="3283" t="s">
        <v>3175</v>
      </c>
      <c r="G107" s="3283">
        <v>52.49</v>
      </c>
      <c r="H107" s="3283" t="s">
        <v>3069</v>
      </c>
      <c r="I107" s="3283" t="s">
        <v>3070</v>
      </c>
      <c r="J107" s="3283" t="s">
        <v>3071</v>
      </c>
    </row>
    <row r="108" spans="1:10">
      <c r="A108" s="3283">
        <v>106</v>
      </c>
      <c r="B108" s="3283" t="s">
        <v>3066</v>
      </c>
      <c r="C108" s="3283" t="s">
        <v>3067</v>
      </c>
      <c r="D108" s="3283"/>
      <c r="E108" s="3283">
        <v>2519</v>
      </c>
      <c r="F108" s="3283" t="s">
        <v>3176</v>
      </c>
      <c r="G108" s="3283">
        <v>51.69</v>
      </c>
      <c r="H108" s="3283" t="s">
        <v>3069</v>
      </c>
      <c r="I108" s="3283" t="s">
        <v>3070</v>
      </c>
      <c r="J108" s="3283" t="s">
        <v>3071</v>
      </c>
    </row>
    <row r="109" spans="1:10">
      <c r="A109" s="3283">
        <v>107</v>
      </c>
      <c r="B109" s="3283" t="s">
        <v>3066</v>
      </c>
      <c r="C109" s="3283" t="s">
        <v>3067</v>
      </c>
      <c r="D109" s="3283"/>
      <c r="E109" s="3283">
        <v>2520</v>
      </c>
      <c r="F109" s="3283" t="s">
        <v>3177</v>
      </c>
      <c r="G109" s="3283">
        <v>51.69</v>
      </c>
      <c r="H109" s="3283" t="s">
        <v>3069</v>
      </c>
      <c r="I109" s="3283" t="s">
        <v>3070</v>
      </c>
      <c r="J109" s="3283" t="s">
        <v>3071</v>
      </c>
    </row>
    <row r="110" spans="1:10">
      <c r="A110" s="3283">
        <v>108</v>
      </c>
      <c r="B110" s="3283" t="s">
        <v>3066</v>
      </c>
      <c r="C110" s="3283" t="s">
        <v>3067</v>
      </c>
      <c r="D110" s="3283"/>
      <c r="E110" s="3283">
        <v>2523</v>
      </c>
      <c r="F110" s="3283" t="s">
        <v>3178</v>
      </c>
      <c r="G110" s="3283">
        <v>51.69</v>
      </c>
      <c r="H110" s="3283" t="s">
        <v>3069</v>
      </c>
      <c r="I110" s="3283" t="s">
        <v>3070</v>
      </c>
      <c r="J110" s="3283" t="s">
        <v>3071</v>
      </c>
    </row>
    <row r="111" spans="1:10">
      <c r="A111" s="3283">
        <v>109</v>
      </c>
      <c r="B111" s="3283" t="s">
        <v>3066</v>
      </c>
      <c r="C111" s="3283" t="s">
        <v>3067</v>
      </c>
      <c r="D111" s="3283"/>
      <c r="E111" s="3283">
        <v>2606</v>
      </c>
      <c r="F111" s="3283" t="s">
        <v>3179</v>
      </c>
      <c r="G111" s="3283">
        <v>51.69</v>
      </c>
      <c r="H111" s="3283" t="s">
        <v>3069</v>
      </c>
      <c r="I111" s="3283" t="s">
        <v>3070</v>
      </c>
      <c r="J111" s="3283" t="s">
        <v>3071</v>
      </c>
    </row>
    <row r="112" spans="1:10">
      <c r="A112" s="3283">
        <v>110</v>
      </c>
      <c r="B112" s="3283" t="s">
        <v>3066</v>
      </c>
      <c r="C112" s="3283" t="s">
        <v>3067</v>
      </c>
      <c r="D112" s="3283"/>
      <c r="E112" s="3283">
        <v>2607</v>
      </c>
      <c r="F112" s="3283" t="s">
        <v>3180</v>
      </c>
      <c r="G112" s="3283">
        <v>51.69</v>
      </c>
      <c r="H112" s="3283" t="s">
        <v>3069</v>
      </c>
      <c r="I112" s="3283" t="s">
        <v>3070</v>
      </c>
      <c r="J112" s="3283" t="s">
        <v>3071</v>
      </c>
    </row>
    <row r="113" spans="1:10">
      <c r="A113" s="3283">
        <v>111</v>
      </c>
      <c r="B113" s="3283" t="s">
        <v>3066</v>
      </c>
      <c r="C113" s="3283" t="s">
        <v>3067</v>
      </c>
      <c r="D113" s="3283"/>
      <c r="E113" s="3283">
        <v>2608</v>
      </c>
      <c r="F113" s="3283" t="s">
        <v>3181</v>
      </c>
      <c r="G113" s="3283">
        <v>51.69</v>
      </c>
      <c r="H113" s="3283" t="s">
        <v>3069</v>
      </c>
      <c r="I113" s="3283" t="s">
        <v>3070</v>
      </c>
      <c r="J113" s="3283" t="s">
        <v>3071</v>
      </c>
    </row>
    <row r="114" spans="1:10">
      <c r="A114" s="3283">
        <v>112</v>
      </c>
      <c r="B114" s="3283" t="s">
        <v>3066</v>
      </c>
      <c r="C114" s="3283" t="s">
        <v>3067</v>
      </c>
      <c r="D114" s="3283"/>
      <c r="E114" s="3283">
        <v>2610</v>
      </c>
      <c r="F114" s="3283" t="s">
        <v>3182</v>
      </c>
      <c r="G114" s="3283">
        <v>51.69</v>
      </c>
      <c r="H114" s="3283" t="s">
        <v>3069</v>
      </c>
      <c r="I114" s="3283" t="s">
        <v>3070</v>
      </c>
      <c r="J114" s="3283" t="s">
        <v>3071</v>
      </c>
    </row>
    <row r="115" spans="1:10">
      <c r="A115" s="3283">
        <v>113</v>
      </c>
      <c r="B115" s="3283" t="s">
        <v>3066</v>
      </c>
      <c r="C115" s="3283" t="s">
        <v>3067</v>
      </c>
      <c r="D115" s="3283"/>
      <c r="E115" s="3283">
        <v>2615</v>
      </c>
      <c r="F115" s="3283" t="s">
        <v>3183</v>
      </c>
      <c r="G115" s="3283">
        <v>52.49</v>
      </c>
      <c r="H115" s="3283" t="s">
        <v>3069</v>
      </c>
      <c r="I115" s="3283" t="s">
        <v>3070</v>
      </c>
      <c r="J115" s="3283" t="s">
        <v>3071</v>
      </c>
    </row>
    <row r="116" spans="1:10">
      <c r="A116" s="3283">
        <v>114</v>
      </c>
      <c r="B116" s="3283" t="s">
        <v>3066</v>
      </c>
      <c r="C116" s="3283" t="s">
        <v>3067</v>
      </c>
      <c r="D116" s="3283"/>
      <c r="E116" s="3283">
        <v>2618</v>
      </c>
      <c r="F116" s="3283" t="s">
        <v>3184</v>
      </c>
      <c r="G116" s="3283">
        <v>51.69</v>
      </c>
      <c r="H116" s="3283" t="s">
        <v>3069</v>
      </c>
      <c r="I116" s="3283" t="s">
        <v>3070</v>
      </c>
      <c r="J116" s="3283" t="s">
        <v>3071</v>
      </c>
    </row>
    <row r="117" spans="1:10">
      <c r="A117" s="3283">
        <v>115</v>
      </c>
      <c r="B117" s="3283" t="s">
        <v>3066</v>
      </c>
      <c r="C117" s="3283" t="s">
        <v>3067</v>
      </c>
      <c r="D117" s="3283"/>
      <c r="E117" s="3283">
        <v>2619</v>
      </c>
      <c r="F117" s="3283" t="s">
        <v>3185</v>
      </c>
      <c r="G117" s="3283">
        <v>51.69</v>
      </c>
      <c r="H117" s="3283" t="s">
        <v>3069</v>
      </c>
      <c r="I117" s="3283" t="s">
        <v>3070</v>
      </c>
      <c r="J117" s="3283" t="s">
        <v>3071</v>
      </c>
    </row>
    <row r="118" spans="1:10">
      <c r="A118" s="3283">
        <v>116</v>
      </c>
      <c r="B118" s="3283" t="s">
        <v>3066</v>
      </c>
      <c r="C118" s="3283" t="s">
        <v>3067</v>
      </c>
      <c r="D118" s="3283"/>
      <c r="E118" s="3283">
        <v>2623</v>
      </c>
      <c r="F118" s="3283" t="s">
        <v>3186</v>
      </c>
      <c r="G118" s="3283">
        <v>51.69</v>
      </c>
      <c r="H118" s="3283" t="s">
        <v>3069</v>
      </c>
      <c r="I118" s="3283" t="s">
        <v>3070</v>
      </c>
      <c r="J118" s="3283" t="s">
        <v>3071</v>
      </c>
    </row>
    <row r="119" spans="1:10">
      <c r="A119" s="3283">
        <v>117</v>
      </c>
      <c r="B119" s="3283" t="s">
        <v>3066</v>
      </c>
      <c r="C119" s="3283" t="s">
        <v>3067</v>
      </c>
      <c r="D119" s="3283"/>
      <c r="E119" s="3283">
        <v>2701</v>
      </c>
      <c r="F119" s="3283" t="s">
        <v>3187</v>
      </c>
      <c r="G119" s="3283">
        <v>52.49</v>
      </c>
      <c r="H119" s="3283" t="s">
        <v>3069</v>
      </c>
      <c r="I119" s="3283" t="s">
        <v>3070</v>
      </c>
      <c r="J119" s="3283" t="s">
        <v>3071</v>
      </c>
    </row>
    <row r="120" spans="1:10">
      <c r="A120" s="3283">
        <v>118</v>
      </c>
      <c r="B120" s="3283" t="s">
        <v>3066</v>
      </c>
      <c r="C120" s="3283" t="s">
        <v>3067</v>
      </c>
      <c r="D120" s="3283"/>
      <c r="E120" s="3283">
        <v>2711</v>
      </c>
      <c r="F120" s="3283" t="s">
        <v>3188</v>
      </c>
      <c r="G120" s="3283">
        <v>51.69</v>
      </c>
      <c r="H120" s="3283" t="s">
        <v>3069</v>
      </c>
      <c r="I120" s="3283" t="s">
        <v>3070</v>
      </c>
      <c r="J120" s="3283" t="s">
        <v>3071</v>
      </c>
    </row>
    <row r="121" spans="1:10">
      <c r="A121" s="3283">
        <v>119</v>
      </c>
      <c r="B121" s="3283" t="s">
        <v>3066</v>
      </c>
      <c r="C121" s="3283" t="s">
        <v>3067</v>
      </c>
      <c r="D121" s="3283"/>
      <c r="E121" s="3283">
        <v>2715</v>
      </c>
      <c r="F121" s="3283" t="s">
        <v>3189</v>
      </c>
      <c r="G121" s="3283">
        <v>52.49</v>
      </c>
      <c r="H121" s="3283" t="s">
        <v>3069</v>
      </c>
      <c r="I121" s="3283" t="s">
        <v>3070</v>
      </c>
      <c r="J121" s="3283" t="s">
        <v>3071</v>
      </c>
    </row>
    <row r="122" spans="1:10">
      <c r="A122" s="3283">
        <v>120</v>
      </c>
      <c r="B122" s="3283" t="s">
        <v>3066</v>
      </c>
      <c r="C122" s="3283" t="s">
        <v>3067</v>
      </c>
      <c r="D122" s="3283"/>
      <c r="E122" s="3283">
        <v>2719</v>
      </c>
      <c r="F122" s="3283" t="s">
        <v>3190</v>
      </c>
      <c r="G122" s="3283">
        <v>51.69</v>
      </c>
      <c r="H122" s="3283" t="s">
        <v>3069</v>
      </c>
      <c r="I122" s="3283" t="s">
        <v>3070</v>
      </c>
      <c r="J122" s="3283" t="s">
        <v>3071</v>
      </c>
    </row>
    <row r="123" spans="1:10">
      <c r="A123" s="3283">
        <v>121</v>
      </c>
      <c r="B123" s="3283" t="s">
        <v>3066</v>
      </c>
      <c r="C123" s="3283" t="s">
        <v>3067</v>
      </c>
      <c r="D123" s="3283"/>
      <c r="E123" s="3283">
        <v>2721</v>
      </c>
      <c r="F123" s="3283" t="s">
        <v>3191</v>
      </c>
      <c r="G123" s="3283">
        <v>51.69</v>
      </c>
      <c r="H123" s="3283" t="s">
        <v>3069</v>
      </c>
      <c r="I123" s="3283" t="s">
        <v>3070</v>
      </c>
      <c r="J123" s="3283" t="s">
        <v>3071</v>
      </c>
    </row>
    <row r="124" spans="1:10">
      <c r="A124" s="3283">
        <v>122</v>
      </c>
      <c r="B124" s="3283" t="s">
        <v>3066</v>
      </c>
      <c r="C124" s="3283" t="s">
        <v>3067</v>
      </c>
      <c r="D124" s="3283"/>
      <c r="E124" s="3283">
        <v>2901</v>
      </c>
      <c r="F124" s="3283" t="s">
        <v>3192</v>
      </c>
      <c r="G124" s="3283">
        <v>52.49</v>
      </c>
      <c r="H124" s="3283" t="s">
        <v>3069</v>
      </c>
      <c r="I124" s="3283" t="s">
        <v>3070</v>
      </c>
      <c r="J124" s="3283" t="s">
        <v>3071</v>
      </c>
    </row>
    <row r="125" spans="1:10">
      <c r="A125" s="3283">
        <v>123</v>
      </c>
      <c r="B125" s="3283" t="s">
        <v>3066</v>
      </c>
      <c r="C125" s="3283" t="s">
        <v>3067</v>
      </c>
      <c r="D125" s="3283"/>
      <c r="E125" s="3283">
        <v>2903</v>
      </c>
      <c r="F125" s="3283" t="s">
        <v>3193</v>
      </c>
      <c r="G125" s="3283">
        <v>52.49</v>
      </c>
      <c r="H125" s="3283" t="s">
        <v>3069</v>
      </c>
      <c r="I125" s="3283" t="s">
        <v>3070</v>
      </c>
      <c r="J125" s="3283" t="s">
        <v>3071</v>
      </c>
    </row>
    <row r="126" spans="1:10">
      <c r="A126" s="3283">
        <v>124</v>
      </c>
      <c r="B126" s="3283" t="s">
        <v>3066</v>
      </c>
      <c r="C126" s="3283" t="s">
        <v>3067</v>
      </c>
      <c r="D126" s="3283"/>
      <c r="E126" s="3283">
        <v>2906</v>
      </c>
      <c r="F126" s="3283" t="s">
        <v>3194</v>
      </c>
      <c r="G126" s="3283">
        <v>51.69</v>
      </c>
      <c r="H126" s="3283" t="s">
        <v>3069</v>
      </c>
      <c r="I126" s="3283" t="s">
        <v>3070</v>
      </c>
      <c r="J126" s="3283" t="s">
        <v>3071</v>
      </c>
    </row>
    <row r="127" spans="1:10">
      <c r="A127" s="3283">
        <v>125</v>
      </c>
      <c r="B127" s="3283" t="s">
        <v>3066</v>
      </c>
      <c r="C127" s="3283" t="s">
        <v>3067</v>
      </c>
      <c r="D127" s="3283"/>
      <c r="E127" s="3283">
        <v>2907</v>
      </c>
      <c r="F127" s="3283" t="s">
        <v>3195</v>
      </c>
      <c r="G127" s="3283">
        <v>51.69</v>
      </c>
      <c r="H127" s="3283" t="s">
        <v>3069</v>
      </c>
      <c r="I127" s="3283" t="s">
        <v>3070</v>
      </c>
      <c r="J127" s="3283" t="s">
        <v>3071</v>
      </c>
    </row>
    <row r="128" spans="1:10">
      <c r="A128" s="3283">
        <v>126</v>
      </c>
      <c r="B128" s="3283" t="s">
        <v>3066</v>
      </c>
      <c r="C128" s="3283" t="s">
        <v>3067</v>
      </c>
      <c r="D128" s="3283"/>
      <c r="E128" s="3283">
        <v>2911</v>
      </c>
      <c r="F128" s="3283" t="s">
        <v>3196</v>
      </c>
      <c r="G128" s="3283">
        <v>51.69</v>
      </c>
      <c r="H128" s="3283" t="s">
        <v>3069</v>
      </c>
      <c r="I128" s="3283" t="s">
        <v>3070</v>
      </c>
      <c r="J128" s="3283" t="s">
        <v>3071</v>
      </c>
    </row>
    <row r="129" spans="1:10">
      <c r="A129" s="3283">
        <v>127</v>
      </c>
      <c r="B129" s="3283" t="s">
        <v>3066</v>
      </c>
      <c r="C129" s="3283" t="s">
        <v>3067</v>
      </c>
      <c r="D129" s="3283"/>
      <c r="E129" s="3283">
        <v>2916</v>
      </c>
      <c r="F129" s="3283" t="s">
        <v>3197</v>
      </c>
      <c r="G129" s="3283">
        <v>52.49</v>
      </c>
      <c r="H129" s="3283" t="s">
        <v>3069</v>
      </c>
      <c r="I129" s="3283" t="s">
        <v>3070</v>
      </c>
      <c r="J129" s="3283" t="s">
        <v>3071</v>
      </c>
    </row>
    <row r="130" spans="1:10">
      <c r="A130" s="3283">
        <v>128</v>
      </c>
      <c r="B130" s="3283" t="s">
        <v>3066</v>
      </c>
      <c r="C130" s="3283" t="s">
        <v>3067</v>
      </c>
      <c r="D130" s="3283"/>
      <c r="E130" s="3283">
        <v>2923</v>
      </c>
      <c r="F130" s="3283" t="s">
        <v>3198</v>
      </c>
      <c r="G130" s="3283">
        <v>51.69</v>
      </c>
      <c r="H130" s="3283" t="s">
        <v>3069</v>
      </c>
      <c r="I130" s="3283" t="s">
        <v>3070</v>
      </c>
      <c r="J130" s="3283" t="s">
        <v>3071</v>
      </c>
    </row>
    <row r="131" spans="1:10">
      <c r="A131" s="3283">
        <v>129</v>
      </c>
      <c r="B131" s="3283" t="s">
        <v>3066</v>
      </c>
      <c r="C131" s="3283" t="s">
        <v>3067</v>
      </c>
      <c r="D131" s="3283"/>
      <c r="E131" s="3283">
        <v>3001</v>
      </c>
      <c r="F131" s="3283" t="s">
        <v>3199</v>
      </c>
      <c r="G131" s="3283">
        <v>52.49</v>
      </c>
      <c r="H131" s="3283" t="s">
        <v>3069</v>
      </c>
      <c r="I131" s="3283" t="s">
        <v>3070</v>
      </c>
      <c r="J131" s="3283" t="s">
        <v>3071</v>
      </c>
    </row>
    <row r="132" spans="1:10">
      <c r="A132" s="3283">
        <v>130</v>
      </c>
      <c r="B132" s="3283" t="s">
        <v>3066</v>
      </c>
      <c r="C132" s="3283" t="s">
        <v>3067</v>
      </c>
      <c r="D132" s="3283"/>
      <c r="E132" s="3283">
        <v>3006</v>
      </c>
      <c r="F132" s="3283" t="s">
        <v>3200</v>
      </c>
      <c r="G132" s="3283">
        <v>51.69</v>
      </c>
      <c r="H132" s="3283" t="s">
        <v>3069</v>
      </c>
      <c r="I132" s="3283" t="s">
        <v>3070</v>
      </c>
      <c r="J132" s="3283" t="s">
        <v>3071</v>
      </c>
    </row>
    <row r="133" spans="1:10">
      <c r="A133" s="3283">
        <v>131</v>
      </c>
      <c r="B133" s="3283" t="s">
        <v>3066</v>
      </c>
      <c r="C133" s="3283" t="s">
        <v>3067</v>
      </c>
      <c r="D133" s="3283"/>
      <c r="E133" s="3283">
        <v>3008</v>
      </c>
      <c r="F133" s="3283" t="s">
        <v>3201</v>
      </c>
      <c r="G133" s="3283">
        <v>51.69</v>
      </c>
      <c r="H133" s="3283" t="s">
        <v>3069</v>
      </c>
      <c r="I133" s="3283" t="s">
        <v>3070</v>
      </c>
      <c r="J133" s="3283" t="s">
        <v>3071</v>
      </c>
    </row>
    <row r="134" spans="1:10">
      <c r="A134" s="3283">
        <v>132</v>
      </c>
      <c r="B134" s="3283" t="s">
        <v>3066</v>
      </c>
      <c r="C134" s="3283" t="s">
        <v>3067</v>
      </c>
      <c r="D134" s="3283"/>
      <c r="E134" s="3283">
        <v>3009</v>
      </c>
      <c r="F134" s="3283" t="s">
        <v>3202</v>
      </c>
      <c r="G134" s="3283">
        <v>51.69</v>
      </c>
      <c r="H134" s="3283" t="s">
        <v>3069</v>
      </c>
      <c r="I134" s="3283" t="s">
        <v>3070</v>
      </c>
      <c r="J134" s="3283" t="s">
        <v>3071</v>
      </c>
    </row>
    <row r="135" spans="1:10">
      <c r="A135" s="3283">
        <v>133</v>
      </c>
      <c r="B135" s="3283" t="s">
        <v>3066</v>
      </c>
      <c r="C135" s="3283" t="s">
        <v>3067</v>
      </c>
      <c r="D135" s="3283"/>
      <c r="E135" s="3283">
        <v>3010</v>
      </c>
      <c r="F135" s="3283" t="s">
        <v>3203</v>
      </c>
      <c r="G135" s="3283">
        <v>51.69</v>
      </c>
      <c r="H135" s="3283" t="s">
        <v>3069</v>
      </c>
      <c r="I135" s="3283" t="s">
        <v>3070</v>
      </c>
      <c r="J135" s="3283" t="s">
        <v>3071</v>
      </c>
    </row>
    <row r="136" spans="1:10">
      <c r="A136" s="3283">
        <v>134</v>
      </c>
      <c r="B136" s="3283" t="s">
        <v>3066</v>
      </c>
      <c r="C136" s="3283" t="s">
        <v>3067</v>
      </c>
      <c r="D136" s="3283"/>
      <c r="E136" s="3283">
        <v>3011</v>
      </c>
      <c r="F136" s="3283" t="s">
        <v>3204</v>
      </c>
      <c r="G136" s="3283">
        <v>51.69</v>
      </c>
      <c r="H136" s="3283" t="s">
        <v>3069</v>
      </c>
      <c r="I136" s="3283" t="s">
        <v>3070</v>
      </c>
      <c r="J136" s="3283" t="s">
        <v>3071</v>
      </c>
    </row>
    <row r="137" spans="1:10">
      <c r="A137" s="3283">
        <v>135</v>
      </c>
      <c r="B137" s="3283" t="s">
        <v>3066</v>
      </c>
      <c r="C137" s="3283" t="s">
        <v>3067</v>
      </c>
      <c r="D137" s="3283"/>
      <c r="E137" s="3283">
        <v>3014</v>
      </c>
      <c r="F137" s="3283" t="s">
        <v>3205</v>
      </c>
      <c r="G137" s="3283">
        <v>52.49</v>
      </c>
      <c r="H137" s="3283" t="s">
        <v>3069</v>
      </c>
      <c r="I137" s="3283" t="s">
        <v>3070</v>
      </c>
      <c r="J137" s="3283" t="s">
        <v>3071</v>
      </c>
    </row>
    <row r="138" spans="1:10">
      <c r="A138" s="3283">
        <v>136</v>
      </c>
      <c r="B138" s="3283" t="s">
        <v>3066</v>
      </c>
      <c r="C138" s="3283" t="s">
        <v>3067</v>
      </c>
      <c r="D138" s="3283"/>
      <c r="E138" s="3283">
        <v>3015</v>
      </c>
      <c r="F138" s="3283" t="s">
        <v>3206</v>
      </c>
      <c r="G138" s="3283">
        <v>52.49</v>
      </c>
      <c r="H138" s="3283" t="s">
        <v>3069</v>
      </c>
      <c r="I138" s="3283" t="s">
        <v>3070</v>
      </c>
      <c r="J138" s="3283" t="s">
        <v>3071</v>
      </c>
    </row>
    <row r="139" spans="1:10">
      <c r="A139" s="3283">
        <v>137</v>
      </c>
      <c r="B139" s="3283" t="s">
        <v>3066</v>
      </c>
      <c r="C139" s="3283" t="s">
        <v>3067</v>
      </c>
      <c r="D139" s="3283"/>
      <c r="E139" s="3283">
        <v>3016</v>
      </c>
      <c r="F139" s="3283" t="s">
        <v>3207</v>
      </c>
      <c r="G139" s="3283">
        <v>52.49</v>
      </c>
      <c r="H139" s="3283" t="s">
        <v>3069</v>
      </c>
      <c r="I139" s="3283" t="s">
        <v>3070</v>
      </c>
      <c r="J139" s="3283" t="s">
        <v>3071</v>
      </c>
    </row>
    <row r="140" spans="1:10">
      <c r="A140" s="3283">
        <v>138</v>
      </c>
      <c r="B140" s="3283" t="s">
        <v>3066</v>
      </c>
      <c r="C140" s="3283" t="s">
        <v>3067</v>
      </c>
      <c r="D140" s="3283"/>
      <c r="E140" s="3283">
        <v>3019</v>
      </c>
      <c r="F140" s="3283" t="s">
        <v>3208</v>
      </c>
      <c r="G140" s="3283">
        <v>51.69</v>
      </c>
      <c r="H140" s="3283" t="s">
        <v>3069</v>
      </c>
      <c r="I140" s="3283" t="s">
        <v>3070</v>
      </c>
      <c r="J140" s="3283" t="s">
        <v>3071</v>
      </c>
    </row>
    <row r="141" spans="1:10">
      <c r="A141" s="3283">
        <v>139</v>
      </c>
      <c r="B141" s="3283" t="s">
        <v>3066</v>
      </c>
      <c r="C141" s="3283" t="s">
        <v>3067</v>
      </c>
      <c r="D141" s="3283"/>
      <c r="E141" s="3283">
        <v>3101</v>
      </c>
      <c r="F141" s="3283" t="s">
        <v>3209</v>
      </c>
      <c r="G141" s="3283">
        <v>52.49</v>
      </c>
      <c r="H141" s="3283" t="s">
        <v>3069</v>
      </c>
      <c r="I141" s="3283" t="s">
        <v>3070</v>
      </c>
      <c r="J141" s="3283" t="s">
        <v>3071</v>
      </c>
    </row>
    <row r="142" spans="1:10">
      <c r="A142" s="3283">
        <v>140</v>
      </c>
      <c r="B142" s="3283" t="s">
        <v>3066</v>
      </c>
      <c r="C142" s="3283" t="s">
        <v>3067</v>
      </c>
      <c r="D142" s="3283"/>
      <c r="E142" s="3283">
        <v>3103</v>
      </c>
      <c r="F142" s="3283" t="s">
        <v>3210</v>
      </c>
      <c r="G142" s="3283">
        <v>52.49</v>
      </c>
      <c r="H142" s="3283" t="s">
        <v>3069</v>
      </c>
      <c r="I142" s="3283" t="s">
        <v>3070</v>
      </c>
      <c r="J142" s="3283" t="s">
        <v>3071</v>
      </c>
    </row>
    <row r="143" spans="1:10">
      <c r="A143" s="3283">
        <v>141</v>
      </c>
      <c r="B143" s="3283" t="s">
        <v>3066</v>
      </c>
      <c r="C143" s="3283" t="s">
        <v>3067</v>
      </c>
      <c r="D143" s="3283"/>
      <c r="E143" s="3283">
        <v>3106</v>
      </c>
      <c r="F143" s="3283" t="s">
        <v>3211</v>
      </c>
      <c r="G143" s="3283">
        <v>51.69</v>
      </c>
      <c r="H143" s="3283" t="s">
        <v>3069</v>
      </c>
      <c r="I143" s="3283" t="s">
        <v>3070</v>
      </c>
      <c r="J143" s="3283" t="s">
        <v>3071</v>
      </c>
    </row>
    <row r="144" spans="1:10">
      <c r="A144" s="3283">
        <v>142</v>
      </c>
      <c r="B144" s="3283" t="s">
        <v>3066</v>
      </c>
      <c r="C144" s="3283" t="s">
        <v>3067</v>
      </c>
      <c r="D144" s="3283"/>
      <c r="E144" s="3283">
        <v>3107</v>
      </c>
      <c r="F144" s="3283" t="s">
        <v>3212</v>
      </c>
      <c r="G144" s="3283">
        <v>51.69</v>
      </c>
      <c r="H144" s="3283" t="s">
        <v>3069</v>
      </c>
      <c r="I144" s="3283" t="s">
        <v>3070</v>
      </c>
      <c r="J144" s="3283" t="s">
        <v>3071</v>
      </c>
    </row>
    <row r="145" spans="1:10">
      <c r="A145" s="3283">
        <v>143</v>
      </c>
      <c r="B145" s="3283" t="s">
        <v>3066</v>
      </c>
      <c r="C145" s="3283" t="s">
        <v>3067</v>
      </c>
      <c r="D145" s="3283"/>
      <c r="E145" s="3283">
        <v>3108</v>
      </c>
      <c r="F145" s="3283" t="s">
        <v>3213</v>
      </c>
      <c r="G145" s="3283">
        <v>51.69</v>
      </c>
      <c r="H145" s="3283" t="s">
        <v>3069</v>
      </c>
      <c r="I145" s="3283" t="s">
        <v>3070</v>
      </c>
      <c r="J145" s="3283" t="s">
        <v>3071</v>
      </c>
    </row>
    <row r="146" spans="1:10">
      <c r="A146" s="3283">
        <v>144</v>
      </c>
      <c r="B146" s="3283" t="s">
        <v>3066</v>
      </c>
      <c r="C146" s="3283" t="s">
        <v>3067</v>
      </c>
      <c r="D146" s="3283"/>
      <c r="E146" s="3283">
        <v>3109</v>
      </c>
      <c r="F146" s="3283" t="s">
        <v>3214</v>
      </c>
      <c r="G146" s="3283">
        <v>51.69</v>
      </c>
      <c r="H146" s="3283" t="s">
        <v>3069</v>
      </c>
      <c r="I146" s="3283" t="s">
        <v>3070</v>
      </c>
      <c r="J146" s="3283" t="s">
        <v>3071</v>
      </c>
    </row>
    <row r="147" spans="1:10">
      <c r="A147" s="3283">
        <v>145</v>
      </c>
      <c r="B147" s="3283" t="s">
        <v>3066</v>
      </c>
      <c r="C147" s="3283" t="s">
        <v>3067</v>
      </c>
      <c r="D147" s="3283"/>
      <c r="E147" s="3283">
        <v>3110</v>
      </c>
      <c r="F147" s="3283" t="s">
        <v>3215</v>
      </c>
      <c r="G147" s="3283">
        <v>51.69</v>
      </c>
      <c r="H147" s="3283" t="s">
        <v>3069</v>
      </c>
      <c r="I147" s="3283" t="s">
        <v>3070</v>
      </c>
      <c r="J147" s="3283" t="s">
        <v>3071</v>
      </c>
    </row>
    <row r="148" spans="1:10">
      <c r="A148" s="3283">
        <v>146</v>
      </c>
      <c r="B148" s="3283" t="s">
        <v>3066</v>
      </c>
      <c r="C148" s="3283" t="s">
        <v>3067</v>
      </c>
      <c r="D148" s="3283"/>
      <c r="E148" s="3283">
        <v>3111</v>
      </c>
      <c r="F148" s="3283" t="s">
        <v>3216</v>
      </c>
      <c r="G148" s="3283">
        <v>51.69</v>
      </c>
      <c r="H148" s="3283" t="s">
        <v>3069</v>
      </c>
      <c r="I148" s="3283" t="s">
        <v>3070</v>
      </c>
      <c r="J148" s="3283" t="s">
        <v>3071</v>
      </c>
    </row>
    <row r="149" spans="1:10">
      <c r="A149" s="3283">
        <v>147</v>
      </c>
      <c r="B149" s="3283" t="s">
        <v>3066</v>
      </c>
      <c r="C149" s="3283" t="s">
        <v>3067</v>
      </c>
      <c r="D149" s="3283"/>
      <c r="E149" s="3283">
        <v>3114</v>
      </c>
      <c r="F149" s="3283" t="s">
        <v>3217</v>
      </c>
      <c r="G149" s="3283">
        <v>52.49</v>
      </c>
      <c r="H149" s="3283" t="s">
        <v>3069</v>
      </c>
      <c r="I149" s="3283" t="s">
        <v>3070</v>
      </c>
      <c r="J149" s="3283" t="s">
        <v>3071</v>
      </c>
    </row>
    <row r="150" spans="1:10">
      <c r="A150" s="3283">
        <v>148</v>
      </c>
      <c r="B150" s="3283" t="s">
        <v>3066</v>
      </c>
      <c r="C150" s="3283" t="s">
        <v>3067</v>
      </c>
      <c r="D150" s="3283"/>
      <c r="E150" s="3283">
        <v>3118</v>
      </c>
      <c r="F150" s="3283" t="s">
        <v>3218</v>
      </c>
      <c r="G150" s="3283">
        <v>51.69</v>
      </c>
      <c r="H150" s="3283" t="s">
        <v>3069</v>
      </c>
      <c r="I150" s="3283" t="s">
        <v>3070</v>
      </c>
      <c r="J150" s="3283" t="s">
        <v>3071</v>
      </c>
    </row>
    <row r="151" spans="1:10">
      <c r="A151" s="3283">
        <v>149</v>
      </c>
      <c r="B151" s="3283" t="s">
        <v>3066</v>
      </c>
      <c r="C151" s="3283" t="s">
        <v>3067</v>
      </c>
      <c r="D151" s="3283"/>
      <c r="E151" s="3283">
        <v>3123</v>
      </c>
      <c r="F151" s="3283" t="s">
        <v>3219</v>
      </c>
      <c r="G151" s="3283">
        <v>51.69</v>
      </c>
      <c r="H151" s="3283" t="s">
        <v>3069</v>
      </c>
      <c r="I151" s="3283" t="s">
        <v>3070</v>
      </c>
      <c r="J151" s="3283" t="s">
        <v>3071</v>
      </c>
    </row>
    <row r="152" spans="1:10">
      <c r="A152" s="3283">
        <v>150</v>
      </c>
      <c r="B152" s="3283" t="s">
        <v>3066</v>
      </c>
      <c r="C152" s="3283" t="s">
        <v>3067</v>
      </c>
      <c r="D152" s="3283"/>
      <c r="E152" s="3283">
        <v>3201</v>
      </c>
      <c r="F152" s="3283" t="s">
        <v>3220</v>
      </c>
      <c r="G152" s="3283">
        <v>52.49</v>
      </c>
      <c r="H152" s="3283" t="s">
        <v>3069</v>
      </c>
      <c r="I152" s="3283" t="s">
        <v>3070</v>
      </c>
      <c r="J152" s="3283" t="s">
        <v>3071</v>
      </c>
    </row>
    <row r="153" spans="1:10">
      <c r="A153" s="3283">
        <v>151</v>
      </c>
      <c r="B153" s="3283" t="s">
        <v>3066</v>
      </c>
      <c r="C153" s="3283" t="s">
        <v>3067</v>
      </c>
      <c r="D153" s="3283"/>
      <c r="E153" s="3283">
        <v>3202</v>
      </c>
      <c r="F153" s="3283" t="s">
        <v>3221</v>
      </c>
      <c r="G153" s="3283">
        <v>52.49</v>
      </c>
      <c r="H153" s="3283" t="s">
        <v>3069</v>
      </c>
      <c r="I153" s="3283" t="s">
        <v>3070</v>
      </c>
      <c r="J153" s="3283" t="s">
        <v>3071</v>
      </c>
    </row>
    <row r="154" spans="1:10">
      <c r="A154" s="3283">
        <v>152</v>
      </c>
      <c r="B154" s="3283" t="s">
        <v>3066</v>
      </c>
      <c r="C154" s="3283" t="s">
        <v>3067</v>
      </c>
      <c r="D154" s="3283"/>
      <c r="E154" s="3283">
        <v>3207</v>
      </c>
      <c r="F154" s="3283" t="s">
        <v>3222</v>
      </c>
      <c r="G154" s="3283">
        <v>51.69</v>
      </c>
      <c r="H154" s="3283" t="s">
        <v>3069</v>
      </c>
      <c r="I154" s="3283" t="s">
        <v>3070</v>
      </c>
      <c r="J154" s="3283" t="s">
        <v>3071</v>
      </c>
    </row>
    <row r="155" spans="1:10">
      <c r="A155" s="3283">
        <v>153</v>
      </c>
      <c r="B155" s="3283" t="s">
        <v>3066</v>
      </c>
      <c r="C155" s="3283" t="s">
        <v>3067</v>
      </c>
      <c r="D155" s="3283"/>
      <c r="E155" s="3283">
        <v>3208</v>
      </c>
      <c r="F155" s="3283" t="s">
        <v>3223</v>
      </c>
      <c r="G155" s="3283">
        <v>51.69</v>
      </c>
      <c r="H155" s="3283" t="s">
        <v>3069</v>
      </c>
      <c r="I155" s="3283" t="s">
        <v>3070</v>
      </c>
      <c r="J155" s="3283" t="s">
        <v>3071</v>
      </c>
    </row>
    <row r="156" spans="1:10">
      <c r="A156" s="3283">
        <v>154</v>
      </c>
      <c r="B156" s="3283" t="s">
        <v>3066</v>
      </c>
      <c r="C156" s="3283" t="s">
        <v>3067</v>
      </c>
      <c r="D156" s="3283"/>
      <c r="E156" s="3283">
        <v>3210</v>
      </c>
      <c r="F156" s="3283" t="s">
        <v>3224</v>
      </c>
      <c r="G156" s="3283">
        <v>51.69</v>
      </c>
      <c r="H156" s="3283" t="s">
        <v>3069</v>
      </c>
      <c r="I156" s="3283" t="s">
        <v>3070</v>
      </c>
      <c r="J156" s="3283" t="s">
        <v>3071</v>
      </c>
    </row>
    <row r="157" spans="1:10">
      <c r="A157" s="3283">
        <v>155</v>
      </c>
      <c r="B157" s="3283" t="s">
        <v>3066</v>
      </c>
      <c r="C157" s="3283" t="s">
        <v>3067</v>
      </c>
      <c r="D157" s="3283"/>
      <c r="E157" s="3283">
        <v>3211</v>
      </c>
      <c r="F157" s="3283" t="s">
        <v>3225</v>
      </c>
      <c r="G157" s="3283">
        <v>51.69</v>
      </c>
      <c r="H157" s="3283" t="s">
        <v>3069</v>
      </c>
      <c r="I157" s="3283" t="s">
        <v>3070</v>
      </c>
      <c r="J157" s="3283" t="s">
        <v>3071</v>
      </c>
    </row>
    <row r="158" spans="1:10">
      <c r="A158" s="3283">
        <v>156</v>
      </c>
      <c r="B158" s="3283" t="s">
        <v>3066</v>
      </c>
      <c r="C158" s="3283" t="s">
        <v>3067</v>
      </c>
      <c r="D158" s="3283"/>
      <c r="E158" s="3283">
        <v>3214</v>
      </c>
      <c r="F158" s="3283" t="s">
        <v>3226</v>
      </c>
      <c r="G158" s="3283">
        <v>52.49</v>
      </c>
      <c r="H158" s="3283" t="s">
        <v>3069</v>
      </c>
      <c r="I158" s="3283" t="s">
        <v>3070</v>
      </c>
      <c r="J158" s="3283" t="s">
        <v>3071</v>
      </c>
    </row>
    <row r="159" spans="1:10">
      <c r="A159" s="3283">
        <v>157</v>
      </c>
      <c r="B159" s="3283" t="s">
        <v>3066</v>
      </c>
      <c r="C159" s="3283" t="s">
        <v>3067</v>
      </c>
      <c r="D159" s="3283"/>
      <c r="E159" s="3283">
        <v>3216</v>
      </c>
      <c r="F159" s="3283" t="s">
        <v>3227</v>
      </c>
      <c r="G159" s="3283">
        <v>52.49</v>
      </c>
      <c r="H159" s="3283" t="s">
        <v>3069</v>
      </c>
      <c r="I159" s="3283" t="s">
        <v>3070</v>
      </c>
      <c r="J159" s="3283" t="s">
        <v>3071</v>
      </c>
    </row>
    <row r="160" spans="1:10">
      <c r="A160" s="3283">
        <v>158</v>
      </c>
      <c r="B160" s="3283" t="s">
        <v>3066</v>
      </c>
      <c r="C160" s="3283" t="s">
        <v>3067</v>
      </c>
      <c r="D160" s="3283"/>
      <c r="E160" s="3283">
        <v>3218</v>
      </c>
      <c r="F160" s="3283" t="s">
        <v>3228</v>
      </c>
      <c r="G160" s="3283">
        <v>51.69</v>
      </c>
      <c r="H160" s="3283" t="s">
        <v>3069</v>
      </c>
      <c r="I160" s="3283" t="s">
        <v>3070</v>
      </c>
      <c r="J160" s="3283" t="s">
        <v>3071</v>
      </c>
    </row>
    <row r="161" spans="1:10">
      <c r="A161" s="3283">
        <v>159</v>
      </c>
      <c r="B161" s="3283" t="s">
        <v>3066</v>
      </c>
      <c r="C161" s="3283" t="s">
        <v>3067</v>
      </c>
      <c r="D161" s="3283"/>
      <c r="E161" s="3283">
        <v>3222</v>
      </c>
      <c r="F161" s="3283" t="s">
        <v>3229</v>
      </c>
      <c r="G161" s="3283">
        <v>51.69</v>
      </c>
      <c r="H161" s="3283" t="s">
        <v>3069</v>
      </c>
      <c r="I161" s="3283" t="s">
        <v>3070</v>
      </c>
      <c r="J161" s="3283" t="s">
        <v>3071</v>
      </c>
    </row>
    <row r="162" spans="1:10">
      <c r="A162" s="3283">
        <v>160</v>
      </c>
      <c r="B162" s="3283" t="s">
        <v>3066</v>
      </c>
      <c r="C162" s="3283" t="s">
        <v>3067</v>
      </c>
      <c r="D162" s="3283"/>
      <c r="E162" s="3283">
        <v>3302</v>
      </c>
      <c r="F162" s="3283" t="s">
        <v>3230</v>
      </c>
      <c r="G162" s="3283">
        <v>52.49</v>
      </c>
      <c r="H162" s="3283" t="s">
        <v>3069</v>
      </c>
      <c r="I162" s="3283" t="s">
        <v>3070</v>
      </c>
      <c r="J162" s="3283" t="s">
        <v>3071</v>
      </c>
    </row>
    <row r="163" spans="1:10">
      <c r="A163" s="3283">
        <v>161</v>
      </c>
      <c r="B163" s="3283" t="s">
        <v>3066</v>
      </c>
      <c r="C163" s="3283" t="s">
        <v>3067</v>
      </c>
      <c r="D163" s="3283"/>
      <c r="E163" s="3283">
        <v>3306</v>
      </c>
      <c r="F163" s="3283" t="s">
        <v>3231</v>
      </c>
      <c r="G163" s="3283">
        <v>51.69</v>
      </c>
      <c r="H163" s="3283" t="s">
        <v>3069</v>
      </c>
      <c r="I163" s="3283" t="s">
        <v>3070</v>
      </c>
      <c r="J163" s="3283" t="s">
        <v>3071</v>
      </c>
    </row>
    <row r="164" spans="1:10">
      <c r="A164" s="3283">
        <v>162</v>
      </c>
      <c r="B164" s="3283" t="s">
        <v>3066</v>
      </c>
      <c r="C164" s="3283" t="s">
        <v>3067</v>
      </c>
      <c r="D164" s="3283"/>
      <c r="E164" s="3283">
        <v>3307</v>
      </c>
      <c r="F164" s="3283" t="s">
        <v>3232</v>
      </c>
      <c r="G164" s="3283">
        <v>51.69</v>
      </c>
      <c r="H164" s="3283" t="s">
        <v>3069</v>
      </c>
      <c r="I164" s="3283" t="s">
        <v>3070</v>
      </c>
      <c r="J164" s="3283" t="s">
        <v>3071</v>
      </c>
    </row>
    <row r="165" spans="1:10">
      <c r="A165" s="3283">
        <v>163</v>
      </c>
      <c r="B165" s="3283" t="s">
        <v>3066</v>
      </c>
      <c r="C165" s="3283" t="s">
        <v>3067</v>
      </c>
      <c r="D165" s="3283"/>
      <c r="E165" s="3283">
        <v>3308</v>
      </c>
      <c r="F165" s="3283" t="s">
        <v>3233</v>
      </c>
      <c r="G165" s="3283">
        <v>51.69</v>
      </c>
      <c r="H165" s="3283" t="s">
        <v>3069</v>
      </c>
      <c r="I165" s="3283" t="s">
        <v>3070</v>
      </c>
      <c r="J165" s="3283" t="s">
        <v>3071</v>
      </c>
    </row>
    <row r="166" spans="1:10">
      <c r="A166" s="3283">
        <v>164</v>
      </c>
      <c r="B166" s="3283" t="s">
        <v>3066</v>
      </c>
      <c r="C166" s="3283" t="s">
        <v>3067</v>
      </c>
      <c r="D166" s="3283"/>
      <c r="E166" s="3283">
        <v>3309</v>
      </c>
      <c r="F166" s="3283" t="s">
        <v>3234</v>
      </c>
      <c r="G166" s="3283">
        <v>51.69</v>
      </c>
      <c r="H166" s="3283" t="s">
        <v>3069</v>
      </c>
      <c r="I166" s="3283" t="s">
        <v>3070</v>
      </c>
      <c r="J166" s="3283" t="s">
        <v>3071</v>
      </c>
    </row>
    <row r="167" spans="1:10">
      <c r="A167" s="3283">
        <v>165</v>
      </c>
      <c r="B167" s="3283" t="s">
        <v>3066</v>
      </c>
      <c r="C167" s="3283" t="s">
        <v>3067</v>
      </c>
      <c r="D167" s="3283"/>
      <c r="E167" s="3283">
        <v>3310</v>
      </c>
      <c r="F167" s="3283" t="s">
        <v>3235</v>
      </c>
      <c r="G167" s="3283">
        <v>51.69</v>
      </c>
      <c r="H167" s="3283" t="s">
        <v>3069</v>
      </c>
      <c r="I167" s="3283" t="s">
        <v>3070</v>
      </c>
      <c r="J167" s="3283" t="s">
        <v>3071</v>
      </c>
    </row>
    <row r="168" spans="1:10">
      <c r="A168" s="3283">
        <v>166</v>
      </c>
      <c r="B168" s="3283" t="s">
        <v>3066</v>
      </c>
      <c r="C168" s="3283" t="s">
        <v>3067</v>
      </c>
      <c r="D168" s="3283"/>
      <c r="E168" s="3283">
        <v>3311</v>
      </c>
      <c r="F168" s="3283" t="s">
        <v>3236</v>
      </c>
      <c r="G168" s="3283">
        <v>51.69</v>
      </c>
      <c r="H168" s="3283" t="s">
        <v>3069</v>
      </c>
      <c r="I168" s="3283" t="s">
        <v>3070</v>
      </c>
      <c r="J168" s="3283" t="s">
        <v>3071</v>
      </c>
    </row>
    <row r="169" spans="1:10">
      <c r="A169" s="3283">
        <v>167</v>
      </c>
      <c r="B169" s="3283" t="s">
        <v>3066</v>
      </c>
      <c r="C169" s="3283" t="s">
        <v>3067</v>
      </c>
      <c r="D169" s="3283"/>
      <c r="E169" s="3283">
        <v>3314</v>
      </c>
      <c r="F169" s="3283" t="s">
        <v>3237</v>
      </c>
      <c r="G169" s="3283">
        <v>52.49</v>
      </c>
      <c r="H169" s="3283" t="s">
        <v>3069</v>
      </c>
      <c r="I169" s="3283" t="s">
        <v>3070</v>
      </c>
      <c r="J169" s="3283" t="s">
        <v>3071</v>
      </c>
    </row>
    <row r="170" spans="1:10">
      <c r="A170" s="3283">
        <v>168</v>
      </c>
      <c r="B170" s="3283" t="s">
        <v>3066</v>
      </c>
      <c r="C170" s="3283" t="s">
        <v>3067</v>
      </c>
      <c r="D170" s="3283"/>
      <c r="E170" s="3283">
        <v>3315</v>
      </c>
      <c r="F170" s="3283" t="s">
        <v>3238</v>
      </c>
      <c r="G170" s="3283">
        <v>52.49</v>
      </c>
      <c r="H170" s="3283" t="s">
        <v>3069</v>
      </c>
      <c r="I170" s="3283" t="s">
        <v>3070</v>
      </c>
      <c r="J170" s="3283" t="s">
        <v>3071</v>
      </c>
    </row>
    <row r="171" spans="1:10">
      <c r="A171" s="3283">
        <v>169</v>
      </c>
      <c r="B171" s="3283" t="s">
        <v>3066</v>
      </c>
      <c r="C171" s="3283" t="s">
        <v>3067</v>
      </c>
      <c r="D171" s="3283"/>
      <c r="E171" s="3283">
        <v>3316</v>
      </c>
      <c r="F171" s="3283" t="s">
        <v>3239</v>
      </c>
      <c r="G171" s="3283">
        <v>52.49</v>
      </c>
      <c r="H171" s="3283" t="s">
        <v>3069</v>
      </c>
      <c r="I171" s="3283" t="s">
        <v>3070</v>
      </c>
      <c r="J171" s="3283" t="s">
        <v>3071</v>
      </c>
    </row>
    <row r="172" spans="1:10">
      <c r="A172" s="3283">
        <v>170</v>
      </c>
      <c r="B172" s="3283" t="s">
        <v>3066</v>
      </c>
      <c r="C172" s="3283" t="s">
        <v>3067</v>
      </c>
      <c r="D172" s="3283"/>
      <c r="E172" s="3283">
        <v>3320</v>
      </c>
      <c r="F172" s="3283" t="s">
        <v>3240</v>
      </c>
      <c r="G172" s="3283">
        <v>51.69</v>
      </c>
      <c r="H172" s="3283" t="s">
        <v>3069</v>
      </c>
      <c r="I172" s="3283" t="s">
        <v>3070</v>
      </c>
      <c r="J172" s="3283" t="s">
        <v>3071</v>
      </c>
    </row>
    <row r="173" spans="1:10">
      <c r="A173" s="3283">
        <v>171</v>
      </c>
      <c r="B173" s="3283" t="s">
        <v>3066</v>
      </c>
      <c r="C173" s="3283" t="s">
        <v>3067</v>
      </c>
      <c r="D173" s="3283"/>
      <c r="E173" s="3283">
        <v>3401</v>
      </c>
      <c r="F173" s="3283" t="s">
        <v>3241</v>
      </c>
      <c r="G173" s="3283">
        <v>52.49</v>
      </c>
      <c r="H173" s="3283" t="s">
        <v>3069</v>
      </c>
      <c r="I173" s="3283" t="s">
        <v>3070</v>
      </c>
      <c r="J173" s="3283" t="s">
        <v>3071</v>
      </c>
    </row>
    <row r="174" spans="1:10">
      <c r="A174" s="3283">
        <v>172</v>
      </c>
      <c r="B174" s="3283" t="s">
        <v>3066</v>
      </c>
      <c r="C174" s="3283" t="s">
        <v>3067</v>
      </c>
      <c r="D174" s="3283"/>
      <c r="E174" s="3283">
        <v>3402</v>
      </c>
      <c r="F174" s="3283" t="s">
        <v>3242</v>
      </c>
      <c r="G174" s="3283">
        <v>52.49</v>
      </c>
      <c r="H174" s="3283" t="s">
        <v>3069</v>
      </c>
      <c r="I174" s="3283" t="s">
        <v>3070</v>
      </c>
      <c r="J174" s="3283" t="s">
        <v>3071</v>
      </c>
    </row>
    <row r="175" spans="1:10">
      <c r="A175" s="3283">
        <v>173</v>
      </c>
      <c r="B175" s="3283" t="s">
        <v>3066</v>
      </c>
      <c r="C175" s="3283" t="s">
        <v>3067</v>
      </c>
      <c r="D175" s="3283"/>
      <c r="E175" s="3283">
        <v>3406</v>
      </c>
      <c r="F175" s="3283" t="s">
        <v>3243</v>
      </c>
      <c r="G175" s="3283">
        <v>51.69</v>
      </c>
      <c r="H175" s="3283" t="s">
        <v>3069</v>
      </c>
      <c r="I175" s="3283" t="s">
        <v>3070</v>
      </c>
      <c r="J175" s="3283" t="s">
        <v>3071</v>
      </c>
    </row>
    <row r="176" spans="1:10">
      <c r="A176" s="3283">
        <v>174</v>
      </c>
      <c r="B176" s="3283" t="s">
        <v>3066</v>
      </c>
      <c r="C176" s="3283" t="s">
        <v>3067</v>
      </c>
      <c r="D176" s="3283"/>
      <c r="E176" s="3283">
        <v>3407</v>
      </c>
      <c r="F176" s="3283" t="s">
        <v>3244</v>
      </c>
      <c r="G176" s="3283">
        <v>51.69</v>
      </c>
      <c r="H176" s="3283" t="s">
        <v>3069</v>
      </c>
      <c r="I176" s="3283" t="s">
        <v>3070</v>
      </c>
      <c r="J176" s="3283" t="s">
        <v>3071</v>
      </c>
    </row>
    <row r="177" spans="1:10">
      <c r="A177" s="3283">
        <v>175</v>
      </c>
      <c r="B177" s="3283" t="s">
        <v>3066</v>
      </c>
      <c r="C177" s="3283" t="s">
        <v>3067</v>
      </c>
      <c r="D177" s="3283"/>
      <c r="E177" s="3283">
        <v>3408</v>
      </c>
      <c r="F177" s="3283" t="s">
        <v>3245</v>
      </c>
      <c r="G177" s="3283">
        <v>51.69</v>
      </c>
      <c r="H177" s="3283" t="s">
        <v>3069</v>
      </c>
      <c r="I177" s="3283" t="s">
        <v>3070</v>
      </c>
      <c r="J177" s="3283" t="s">
        <v>3071</v>
      </c>
    </row>
    <row r="178" spans="1:10">
      <c r="A178" s="3283">
        <v>176</v>
      </c>
      <c r="B178" s="3283" t="s">
        <v>3066</v>
      </c>
      <c r="C178" s="3283" t="s">
        <v>3067</v>
      </c>
      <c r="D178" s="3283"/>
      <c r="E178" s="3283">
        <v>3409</v>
      </c>
      <c r="F178" s="3283" t="s">
        <v>3246</v>
      </c>
      <c r="G178" s="3283">
        <v>51.69</v>
      </c>
      <c r="H178" s="3283" t="s">
        <v>3069</v>
      </c>
      <c r="I178" s="3283" t="s">
        <v>3070</v>
      </c>
      <c r="J178" s="3283" t="s">
        <v>3071</v>
      </c>
    </row>
    <row r="179" spans="1:10">
      <c r="A179" s="3283">
        <v>177</v>
      </c>
      <c r="B179" s="3283" t="s">
        <v>3066</v>
      </c>
      <c r="C179" s="3283" t="s">
        <v>3067</v>
      </c>
      <c r="D179" s="3283"/>
      <c r="E179" s="3283">
        <v>3410</v>
      </c>
      <c r="F179" s="3283" t="s">
        <v>3247</v>
      </c>
      <c r="G179" s="3283">
        <v>51.69</v>
      </c>
      <c r="H179" s="3283" t="s">
        <v>3069</v>
      </c>
      <c r="I179" s="3283" t="s">
        <v>3070</v>
      </c>
      <c r="J179" s="3283" t="s">
        <v>3071</v>
      </c>
    </row>
    <row r="180" spans="1:10">
      <c r="A180" s="3283">
        <v>178</v>
      </c>
      <c r="B180" s="3283" t="s">
        <v>3066</v>
      </c>
      <c r="C180" s="3283" t="s">
        <v>3067</v>
      </c>
      <c r="D180" s="3283"/>
      <c r="E180" s="3283">
        <v>3411</v>
      </c>
      <c r="F180" s="3283" t="s">
        <v>3248</v>
      </c>
      <c r="G180" s="3283">
        <v>51.69</v>
      </c>
      <c r="H180" s="3283" t="s">
        <v>3069</v>
      </c>
      <c r="I180" s="3283" t="s">
        <v>3070</v>
      </c>
      <c r="J180" s="3283" t="s">
        <v>3071</v>
      </c>
    </row>
    <row r="181" spans="1:10">
      <c r="A181" s="3283">
        <v>179</v>
      </c>
      <c r="B181" s="3283" t="s">
        <v>3066</v>
      </c>
      <c r="C181" s="3283" t="s">
        <v>3067</v>
      </c>
      <c r="D181" s="3283"/>
      <c r="E181" s="3283">
        <v>3414</v>
      </c>
      <c r="F181" s="3283" t="s">
        <v>3249</v>
      </c>
      <c r="G181" s="3283">
        <v>52.49</v>
      </c>
      <c r="H181" s="3283" t="s">
        <v>3069</v>
      </c>
      <c r="I181" s="3283" t="s">
        <v>3070</v>
      </c>
      <c r="J181" s="3283" t="s">
        <v>3071</v>
      </c>
    </row>
    <row r="182" spans="1:10">
      <c r="A182" s="3283">
        <v>180</v>
      </c>
      <c r="B182" s="3283" t="s">
        <v>3066</v>
      </c>
      <c r="C182" s="3283" t="s">
        <v>3067</v>
      </c>
      <c r="D182" s="3283"/>
      <c r="E182" s="3283">
        <v>3415</v>
      </c>
      <c r="F182" s="3283" t="s">
        <v>3250</v>
      </c>
      <c r="G182" s="3283">
        <v>52.49</v>
      </c>
      <c r="H182" s="3283" t="s">
        <v>3069</v>
      </c>
      <c r="I182" s="3283" t="s">
        <v>3070</v>
      </c>
      <c r="J182" s="3283" t="s">
        <v>3071</v>
      </c>
    </row>
    <row r="183" spans="1:10">
      <c r="A183" s="3283">
        <v>181</v>
      </c>
      <c r="B183" s="3283" t="s">
        <v>3066</v>
      </c>
      <c r="C183" s="3283" t="s">
        <v>3067</v>
      </c>
      <c r="D183" s="3283"/>
      <c r="E183" s="3283">
        <v>3416</v>
      </c>
      <c r="F183" s="3283" t="s">
        <v>3251</v>
      </c>
      <c r="G183" s="3283">
        <v>52.49</v>
      </c>
      <c r="H183" s="3283" t="s">
        <v>3069</v>
      </c>
      <c r="I183" s="3283" t="s">
        <v>3070</v>
      </c>
      <c r="J183" s="3283" t="s">
        <v>3071</v>
      </c>
    </row>
    <row r="184" spans="1:10">
      <c r="A184" s="3283">
        <v>182</v>
      </c>
      <c r="B184" s="3283" t="s">
        <v>3066</v>
      </c>
      <c r="C184" s="3283" t="s">
        <v>3067</v>
      </c>
      <c r="D184" s="3283"/>
      <c r="E184" s="3283">
        <v>3420</v>
      </c>
      <c r="F184" s="3283" t="s">
        <v>3252</v>
      </c>
      <c r="G184" s="3283">
        <v>51.69</v>
      </c>
      <c r="H184" s="3283" t="s">
        <v>3069</v>
      </c>
      <c r="I184" s="3283" t="s">
        <v>3070</v>
      </c>
      <c r="J184" s="3283" t="s">
        <v>3071</v>
      </c>
    </row>
    <row r="185" spans="1:10">
      <c r="A185" s="3283">
        <v>183</v>
      </c>
      <c r="B185" s="3283" t="s">
        <v>3066</v>
      </c>
      <c r="C185" s="3283" t="s">
        <v>3067</v>
      </c>
      <c r="D185" s="3283"/>
      <c r="E185" s="3283">
        <v>3421</v>
      </c>
      <c r="F185" s="3283" t="s">
        <v>3253</v>
      </c>
      <c r="G185" s="3283">
        <v>51.69</v>
      </c>
      <c r="H185" s="3283" t="s">
        <v>3069</v>
      </c>
      <c r="I185" s="3283" t="s">
        <v>3070</v>
      </c>
      <c r="J185" s="3283" t="s">
        <v>3071</v>
      </c>
    </row>
    <row r="186" spans="1:10">
      <c r="A186" s="3283">
        <v>184</v>
      </c>
      <c r="B186" s="3283" t="s">
        <v>3066</v>
      </c>
      <c r="C186" s="3283" t="s">
        <v>3067</v>
      </c>
      <c r="D186" s="3283"/>
      <c r="E186" s="3283">
        <v>3422</v>
      </c>
      <c r="F186" s="3283" t="s">
        <v>3254</v>
      </c>
      <c r="G186" s="3283">
        <v>51.69</v>
      </c>
      <c r="H186" s="3283" t="s">
        <v>3069</v>
      </c>
      <c r="I186" s="3283" t="s">
        <v>3070</v>
      </c>
      <c r="J186" s="3283" t="s">
        <v>3071</v>
      </c>
    </row>
    <row r="187" spans="1:10">
      <c r="A187" s="3283">
        <v>185</v>
      </c>
      <c r="B187" s="3283" t="s">
        <v>3066</v>
      </c>
      <c r="C187" s="3283" t="s">
        <v>3067</v>
      </c>
      <c r="D187" s="3283"/>
      <c r="E187" s="3283">
        <v>3502</v>
      </c>
      <c r="F187" s="3283" t="s">
        <v>3255</v>
      </c>
      <c r="G187" s="3283">
        <v>52.49</v>
      </c>
      <c r="H187" s="3283" t="s">
        <v>3069</v>
      </c>
      <c r="I187" s="3283" t="s">
        <v>3070</v>
      </c>
      <c r="J187" s="3283" t="s">
        <v>3071</v>
      </c>
    </row>
    <row r="188" spans="1:10">
      <c r="A188" s="3283">
        <v>186</v>
      </c>
      <c r="B188" s="3283" t="s">
        <v>3066</v>
      </c>
      <c r="C188" s="3283" t="s">
        <v>3067</v>
      </c>
      <c r="D188" s="3283"/>
      <c r="E188" s="3283">
        <v>3503</v>
      </c>
      <c r="F188" s="3283" t="s">
        <v>3256</v>
      </c>
      <c r="G188" s="3283">
        <v>52.49</v>
      </c>
      <c r="H188" s="3283" t="s">
        <v>3069</v>
      </c>
      <c r="I188" s="3283" t="s">
        <v>3070</v>
      </c>
      <c r="J188" s="3283" t="s">
        <v>3071</v>
      </c>
    </row>
    <row r="189" spans="1:10">
      <c r="A189" s="3283">
        <v>187</v>
      </c>
      <c r="B189" s="3283" t="s">
        <v>3066</v>
      </c>
      <c r="C189" s="3283" t="s">
        <v>3067</v>
      </c>
      <c r="D189" s="3283"/>
      <c r="E189" s="3283">
        <v>3504</v>
      </c>
      <c r="F189" s="3283" t="s">
        <v>3257</v>
      </c>
      <c r="G189" s="3283">
        <v>86.49</v>
      </c>
      <c r="H189" s="3283" t="s">
        <v>3069</v>
      </c>
      <c r="I189" s="3283" t="s">
        <v>3070</v>
      </c>
      <c r="J189" s="3283" t="s">
        <v>3071</v>
      </c>
    </row>
    <row r="190" spans="1:10">
      <c r="A190" s="3283">
        <v>188</v>
      </c>
      <c r="B190" s="3283" t="s">
        <v>3066</v>
      </c>
      <c r="C190" s="3283" t="s">
        <v>3067</v>
      </c>
      <c r="D190" s="3283"/>
      <c r="E190" s="3283">
        <v>3507</v>
      </c>
      <c r="F190" s="3283" t="s">
        <v>3258</v>
      </c>
      <c r="G190" s="3283">
        <v>51.69</v>
      </c>
      <c r="H190" s="3283" t="s">
        <v>3069</v>
      </c>
      <c r="I190" s="3283" t="s">
        <v>3070</v>
      </c>
      <c r="J190" s="3283" t="s">
        <v>3071</v>
      </c>
    </row>
    <row r="191" spans="1:10">
      <c r="A191" s="3283">
        <v>189</v>
      </c>
      <c r="B191" s="3283" t="s">
        <v>3066</v>
      </c>
      <c r="C191" s="3283" t="s">
        <v>3067</v>
      </c>
      <c r="D191" s="3283"/>
      <c r="E191" s="3283">
        <v>3508</v>
      </c>
      <c r="F191" s="3283" t="s">
        <v>3259</v>
      </c>
      <c r="G191" s="3283">
        <v>51.69</v>
      </c>
      <c r="H191" s="3283" t="s">
        <v>3069</v>
      </c>
      <c r="I191" s="3283" t="s">
        <v>3070</v>
      </c>
      <c r="J191" s="3283" t="s">
        <v>3071</v>
      </c>
    </row>
    <row r="192" spans="1:10">
      <c r="A192" s="3283">
        <v>190</v>
      </c>
      <c r="B192" s="3283" t="s">
        <v>3066</v>
      </c>
      <c r="C192" s="3283" t="s">
        <v>3067</v>
      </c>
      <c r="D192" s="3283"/>
      <c r="E192" s="3283">
        <v>3510</v>
      </c>
      <c r="F192" s="3283" t="s">
        <v>3260</v>
      </c>
      <c r="G192" s="3283">
        <v>51.69</v>
      </c>
      <c r="H192" s="3283" t="s">
        <v>3069</v>
      </c>
      <c r="I192" s="3283" t="s">
        <v>3070</v>
      </c>
      <c r="J192" s="3283" t="s">
        <v>3071</v>
      </c>
    </row>
    <row r="193" spans="1:10">
      <c r="A193" s="3283">
        <v>191</v>
      </c>
      <c r="B193" s="3283" t="s">
        <v>3066</v>
      </c>
      <c r="C193" s="3283" t="s">
        <v>3067</v>
      </c>
      <c r="D193" s="3283"/>
      <c r="E193" s="3283">
        <v>3511</v>
      </c>
      <c r="F193" s="3283" t="s">
        <v>3261</v>
      </c>
      <c r="G193" s="3283">
        <v>51.69</v>
      </c>
      <c r="H193" s="3283" t="s">
        <v>3069</v>
      </c>
      <c r="I193" s="3283" t="s">
        <v>3070</v>
      </c>
      <c r="J193" s="3283" t="s">
        <v>3071</v>
      </c>
    </row>
    <row r="194" spans="1:10">
      <c r="A194" s="3283">
        <v>192</v>
      </c>
      <c r="B194" s="3283" t="s">
        <v>3066</v>
      </c>
      <c r="C194" s="3283" t="s">
        <v>3067</v>
      </c>
      <c r="D194" s="3283"/>
      <c r="E194" s="3283">
        <v>3513</v>
      </c>
      <c r="F194" s="3283" t="s">
        <v>3262</v>
      </c>
      <c r="G194" s="3283">
        <v>86.49</v>
      </c>
      <c r="H194" s="3283" t="s">
        <v>3069</v>
      </c>
      <c r="I194" s="3283" t="s">
        <v>3070</v>
      </c>
      <c r="J194" s="3283" t="s">
        <v>3071</v>
      </c>
    </row>
    <row r="195" spans="1:10">
      <c r="A195" s="3283">
        <v>193</v>
      </c>
      <c r="B195" s="3283" t="s">
        <v>3066</v>
      </c>
      <c r="C195" s="3283" t="s">
        <v>3067</v>
      </c>
      <c r="D195" s="3283"/>
      <c r="E195" s="3283">
        <v>3514</v>
      </c>
      <c r="F195" s="3283" t="s">
        <v>3263</v>
      </c>
      <c r="G195" s="3283">
        <v>52.49</v>
      </c>
      <c r="H195" s="3283" t="s">
        <v>3069</v>
      </c>
      <c r="I195" s="3283" t="s">
        <v>3070</v>
      </c>
      <c r="J195" s="3283" t="s">
        <v>3071</v>
      </c>
    </row>
    <row r="196" spans="1:10">
      <c r="A196" s="3283">
        <v>194</v>
      </c>
      <c r="B196" s="3283" t="s">
        <v>3066</v>
      </c>
      <c r="C196" s="3283" t="s">
        <v>3067</v>
      </c>
      <c r="D196" s="3283"/>
      <c r="E196" s="3283">
        <v>3601</v>
      </c>
      <c r="F196" s="3283" t="s">
        <v>3264</v>
      </c>
      <c r="G196" s="3283">
        <v>52.49</v>
      </c>
      <c r="H196" s="3283" t="s">
        <v>3069</v>
      </c>
      <c r="I196" s="3283" t="s">
        <v>3070</v>
      </c>
      <c r="J196" s="3283" t="s">
        <v>3071</v>
      </c>
    </row>
    <row r="197" spans="1:10">
      <c r="A197" s="3283">
        <v>195</v>
      </c>
      <c r="B197" s="3283" t="s">
        <v>3066</v>
      </c>
      <c r="C197" s="3283" t="s">
        <v>3067</v>
      </c>
      <c r="D197" s="3283"/>
      <c r="E197" s="3283">
        <v>3603</v>
      </c>
      <c r="F197" s="3283" t="s">
        <v>3265</v>
      </c>
      <c r="G197" s="3283">
        <v>52.49</v>
      </c>
      <c r="H197" s="3283" t="s">
        <v>3069</v>
      </c>
      <c r="I197" s="3283" t="s">
        <v>3070</v>
      </c>
      <c r="J197" s="3283" t="s">
        <v>3071</v>
      </c>
    </row>
    <row r="198" spans="1:10">
      <c r="A198" s="3283">
        <v>196</v>
      </c>
      <c r="B198" s="3283" t="s">
        <v>3066</v>
      </c>
      <c r="C198" s="3283" t="s">
        <v>3067</v>
      </c>
      <c r="D198" s="3283"/>
      <c r="E198" s="3283">
        <v>3606</v>
      </c>
      <c r="F198" s="3283" t="s">
        <v>3266</v>
      </c>
      <c r="G198" s="3283">
        <v>51.69</v>
      </c>
      <c r="H198" s="3283" t="s">
        <v>3069</v>
      </c>
      <c r="I198" s="3283" t="s">
        <v>3070</v>
      </c>
      <c r="J198" s="3283" t="s">
        <v>3071</v>
      </c>
    </row>
    <row r="199" spans="1:10">
      <c r="A199" s="3283">
        <v>197</v>
      </c>
      <c r="B199" s="3283" t="s">
        <v>3066</v>
      </c>
      <c r="C199" s="3283" t="s">
        <v>3067</v>
      </c>
      <c r="D199" s="3283"/>
      <c r="E199" s="3283">
        <v>3607</v>
      </c>
      <c r="F199" s="3283" t="s">
        <v>3267</v>
      </c>
      <c r="G199" s="3283">
        <v>51.69</v>
      </c>
      <c r="H199" s="3283" t="s">
        <v>3069</v>
      </c>
      <c r="I199" s="3283" t="s">
        <v>3070</v>
      </c>
      <c r="J199" s="3283" t="s">
        <v>3071</v>
      </c>
    </row>
    <row r="200" spans="1:10">
      <c r="A200" s="3283">
        <v>198</v>
      </c>
      <c r="B200" s="3283" t="s">
        <v>3066</v>
      </c>
      <c r="C200" s="3283" t="s">
        <v>3067</v>
      </c>
      <c r="D200" s="3283"/>
      <c r="E200" s="3283">
        <v>3608</v>
      </c>
      <c r="F200" s="3283" t="s">
        <v>3268</v>
      </c>
      <c r="G200" s="3283">
        <v>51.69</v>
      </c>
      <c r="H200" s="3283" t="s">
        <v>3069</v>
      </c>
      <c r="I200" s="3283" t="s">
        <v>3070</v>
      </c>
      <c r="J200" s="3283" t="s">
        <v>3071</v>
      </c>
    </row>
    <row r="201" spans="1:10">
      <c r="A201" s="3283">
        <v>199</v>
      </c>
      <c r="B201" s="3283" t="s">
        <v>3066</v>
      </c>
      <c r="C201" s="3283" t="s">
        <v>3067</v>
      </c>
      <c r="D201" s="3283"/>
      <c r="E201" s="3283">
        <v>3609</v>
      </c>
      <c r="F201" s="3283" t="s">
        <v>3269</v>
      </c>
      <c r="G201" s="3283">
        <v>51.69</v>
      </c>
      <c r="H201" s="3283" t="s">
        <v>3069</v>
      </c>
      <c r="I201" s="3283" t="s">
        <v>3070</v>
      </c>
      <c r="J201" s="3283" t="s">
        <v>3071</v>
      </c>
    </row>
    <row r="202" spans="1:10">
      <c r="A202" s="3283">
        <v>200</v>
      </c>
      <c r="B202" s="3283" t="s">
        <v>3066</v>
      </c>
      <c r="C202" s="3283" t="s">
        <v>3067</v>
      </c>
      <c r="D202" s="3283"/>
      <c r="E202" s="3283">
        <v>3611</v>
      </c>
      <c r="F202" s="3283" t="s">
        <v>3270</v>
      </c>
      <c r="G202" s="3283">
        <v>51.69</v>
      </c>
      <c r="H202" s="3283" t="s">
        <v>3069</v>
      </c>
      <c r="I202" s="3283" t="s">
        <v>3070</v>
      </c>
      <c r="J202" s="3283" t="s">
        <v>3071</v>
      </c>
    </row>
    <row r="203" spans="1:10">
      <c r="A203" s="3283">
        <v>201</v>
      </c>
      <c r="B203" s="3283" t="s">
        <v>3066</v>
      </c>
      <c r="C203" s="3283" t="s">
        <v>3067</v>
      </c>
      <c r="D203" s="3283"/>
      <c r="E203" s="3283">
        <v>3614</v>
      </c>
      <c r="F203" s="3283" t="s">
        <v>3271</v>
      </c>
      <c r="G203" s="3283">
        <v>52.49</v>
      </c>
      <c r="H203" s="3283" t="s">
        <v>3069</v>
      </c>
      <c r="I203" s="3283" t="s">
        <v>3070</v>
      </c>
      <c r="J203" s="3283" t="s">
        <v>3071</v>
      </c>
    </row>
    <row r="204" spans="1:10">
      <c r="A204" s="3283">
        <v>202</v>
      </c>
      <c r="B204" s="3283" t="s">
        <v>3066</v>
      </c>
      <c r="C204" s="3283" t="s">
        <v>3067</v>
      </c>
      <c r="D204" s="3283"/>
      <c r="E204" s="3283">
        <v>3616</v>
      </c>
      <c r="F204" s="3283" t="s">
        <v>3272</v>
      </c>
      <c r="G204" s="3283">
        <v>52.49</v>
      </c>
      <c r="H204" s="3283" t="s">
        <v>3069</v>
      </c>
      <c r="I204" s="3283" t="s">
        <v>3070</v>
      </c>
      <c r="J204" s="3283" t="s">
        <v>3071</v>
      </c>
    </row>
    <row r="205" spans="1:10">
      <c r="A205" s="3283">
        <v>203</v>
      </c>
      <c r="B205" s="3283" t="s">
        <v>3066</v>
      </c>
      <c r="C205" s="3283" t="s">
        <v>3067</v>
      </c>
      <c r="D205" s="3283"/>
      <c r="E205" s="3283">
        <v>3618</v>
      </c>
      <c r="F205" s="3283" t="s">
        <v>3273</v>
      </c>
      <c r="G205" s="3283">
        <v>51.69</v>
      </c>
      <c r="H205" s="3283" t="s">
        <v>3069</v>
      </c>
      <c r="I205" s="3283" t="s">
        <v>3070</v>
      </c>
      <c r="J205" s="3283" t="s">
        <v>3071</v>
      </c>
    </row>
    <row r="206" spans="1:10">
      <c r="A206" s="3283">
        <v>204</v>
      </c>
      <c r="B206" s="3283" t="s">
        <v>3066</v>
      </c>
      <c r="C206" s="3283" t="s">
        <v>3067</v>
      </c>
      <c r="D206" s="3283"/>
      <c r="E206" s="3283">
        <v>3620</v>
      </c>
      <c r="F206" s="3283" t="s">
        <v>3274</v>
      </c>
      <c r="G206" s="3283">
        <v>51.69</v>
      </c>
      <c r="H206" s="3283" t="s">
        <v>3069</v>
      </c>
      <c r="I206" s="3283" t="s">
        <v>3070</v>
      </c>
      <c r="J206" s="3283" t="s">
        <v>3071</v>
      </c>
    </row>
    <row r="207" spans="1:10">
      <c r="A207" s="3283">
        <v>205</v>
      </c>
      <c r="B207" s="3283" t="s">
        <v>3066</v>
      </c>
      <c r="C207" s="3283" t="s">
        <v>3067</v>
      </c>
      <c r="D207" s="3283"/>
      <c r="E207" s="3283">
        <v>3621</v>
      </c>
      <c r="F207" s="3283" t="s">
        <v>3275</v>
      </c>
      <c r="G207" s="3283">
        <v>51.69</v>
      </c>
      <c r="H207" s="3283" t="s">
        <v>3069</v>
      </c>
      <c r="I207" s="3283" t="s">
        <v>3070</v>
      </c>
      <c r="J207" s="3283" t="s">
        <v>3071</v>
      </c>
    </row>
    <row r="208" spans="1:10">
      <c r="A208" s="3283">
        <v>206</v>
      </c>
      <c r="B208" s="3283" t="s">
        <v>3066</v>
      </c>
      <c r="C208" s="3283" t="s">
        <v>3067</v>
      </c>
      <c r="D208" s="3283"/>
      <c r="E208" s="3283">
        <v>3624</v>
      </c>
      <c r="F208" s="3283" t="s">
        <v>3276</v>
      </c>
      <c r="G208" s="3283">
        <v>94.09</v>
      </c>
      <c r="H208" s="3283" t="s">
        <v>3069</v>
      </c>
      <c r="I208" s="3283" t="s">
        <v>3070</v>
      </c>
      <c r="J208" s="3283" t="s">
        <v>3071</v>
      </c>
    </row>
    <row r="209" spans="1:10">
      <c r="A209" s="3283">
        <v>207</v>
      </c>
      <c r="B209" s="3283" t="s">
        <v>3066</v>
      </c>
      <c r="C209" s="3283" t="s">
        <v>3067</v>
      </c>
      <c r="D209" s="3283"/>
      <c r="E209" s="3283">
        <v>3704</v>
      </c>
      <c r="F209" s="3283" t="s">
        <v>3277</v>
      </c>
      <c r="G209" s="3283">
        <v>86.49</v>
      </c>
      <c r="H209" s="3283" t="s">
        <v>3069</v>
      </c>
      <c r="I209" s="3283" t="s">
        <v>3070</v>
      </c>
      <c r="J209" s="3283" t="s">
        <v>3071</v>
      </c>
    </row>
    <row r="210" spans="1:10">
      <c r="A210" s="3283">
        <v>208</v>
      </c>
      <c r="B210" s="3283" t="s">
        <v>3066</v>
      </c>
      <c r="C210" s="3283" t="s">
        <v>3067</v>
      </c>
      <c r="D210" s="3283"/>
      <c r="E210" s="3283">
        <v>3709</v>
      </c>
      <c r="F210" s="3283" t="s">
        <v>3278</v>
      </c>
      <c r="G210" s="3283">
        <v>51.69</v>
      </c>
      <c r="H210" s="3283" t="s">
        <v>3069</v>
      </c>
      <c r="I210" s="3283" t="s">
        <v>3070</v>
      </c>
      <c r="J210" s="3283" t="s">
        <v>3071</v>
      </c>
    </row>
    <row r="211" spans="1:10">
      <c r="A211" s="3283">
        <v>209</v>
      </c>
      <c r="B211" s="3283" t="s">
        <v>3066</v>
      </c>
      <c r="C211" s="3283" t="s">
        <v>3067</v>
      </c>
      <c r="D211" s="3283"/>
      <c r="E211" s="3283">
        <v>3712</v>
      </c>
      <c r="F211" s="3283" t="s">
        <v>3279</v>
      </c>
      <c r="G211" s="3283">
        <v>89.54</v>
      </c>
      <c r="H211" s="3283" t="s">
        <v>3069</v>
      </c>
      <c r="I211" s="3283" t="s">
        <v>3070</v>
      </c>
      <c r="J211" s="3283" t="s">
        <v>3071</v>
      </c>
    </row>
    <row r="212" spans="1:10">
      <c r="A212" s="3283">
        <v>210</v>
      </c>
      <c r="B212" s="3283" t="s">
        <v>3066</v>
      </c>
      <c r="C212" s="3283" t="s">
        <v>3067</v>
      </c>
      <c r="D212" s="3283"/>
      <c r="E212" s="3283">
        <v>3721</v>
      </c>
      <c r="F212" s="3283" t="s">
        <v>3280</v>
      </c>
      <c r="G212" s="3283">
        <v>51.69</v>
      </c>
      <c r="H212" s="3283" t="s">
        <v>3069</v>
      </c>
      <c r="I212" s="3283" t="s">
        <v>3070</v>
      </c>
      <c r="J212" s="3283" t="s">
        <v>3071</v>
      </c>
    </row>
    <row r="213" spans="1:10">
      <c r="A213" s="3283">
        <v>211</v>
      </c>
      <c r="B213" s="3283" t="s">
        <v>3066</v>
      </c>
      <c r="C213" s="3283" t="s">
        <v>3067</v>
      </c>
      <c r="D213" s="3283"/>
      <c r="E213" s="3283">
        <v>3801</v>
      </c>
      <c r="F213" s="3283" t="s">
        <v>3281</v>
      </c>
      <c r="G213" s="3283">
        <v>52.49</v>
      </c>
      <c r="H213" s="3283" t="s">
        <v>3069</v>
      </c>
      <c r="I213" s="3283" t="s">
        <v>3070</v>
      </c>
      <c r="J213" s="3283" t="s">
        <v>3071</v>
      </c>
    </row>
    <row r="214" spans="1:10">
      <c r="A214" s="3283">
        <v>212</v>
      </c>
      <c r="B214" s="3283" t="s">
        <v>3066</v>
      </c>
      <c r="C214" s="3283" t="s">
        <v>3067</v>
      </c>
      <c r="D214" s="3283"/>
      <c r="E214" s="3283">
        <v>3802</v>
      </c>
      <c r="F214" s="3283" t="s">
        <v>3282</v>
      </c>
      <c r="G214" s="3283">
        <v>52.49</v>
      </c>
      <c r="H214" s="3283" t="s">
        <v>3069</v>
      </c>
      <c r="I214" s="3283" t="s">
        <v>3070</v>
      </c>
      <c r="J214" s="3283" t="s">
        <v>3071</v>
      </c>
    </row>
    <row r="215" spans="1:10">
      <c r="A215" s="3283">
        <v>213</v>
      </c>
      <c r="B215" s="3283" t="s">
        <v>3066</v>
      </c>
      <c r="C215" s="3283" t="s">
        <v>3067</v>
      </c>
      <c r="D215" s="3283"/>
      <c r="E215" s="3283">
        <v>3803</v>
      </c>
      <c r="F215" s="3283" t="s">
        <v>3283</v>
      </c>
      <c r="G215" s="3283">
        <v>52.49</v>
      </c>
      <c r="H215" s="3283" t="s">
        <v>3069</v>
      </c>
      <c r="I215" s="3283" t="s">
        <v>3070</v>
      </c>
      <c r="J215" s="3283" t="s">
        <v>3071</v>
      </c>
    </row>
    <row r="216" spans="1:10">
      <c r="A216" s="3283">
        <v>214</v>
      </c>
      <c r="B216" s="3283" t="s">
        <v>3066</v>
      </c>
      <c r="C216" s="3283" t="s">
        <v>3067</v>
      </c>
      <c r="D216" s="3283"/>
      <c r="E216" s="3283">
        <v>3806</v>
      </c>
      <c r="F216" s="3283" t="s">
        <v>3284</v>
      </c>
      <c r="G216" s="3283">
        <v>51.69</v>
      </c>
      <c r="H216" s="3283" t="s">
        <v>3069</v>
      </c>
      <c r="I216" s="3283" t="s">
        <v>3070</v>
      </c>
      <c r="J216" s="3283" t="s">
        <v>3071</v>
      </c>
    </row>
    <row r="217" spans="1:10">
      <c r="A217" s="3283">
        <v>215</v>
      </c>
      <c r="B217" s="3283" t="s">
        <v>3066</v>
      </c>
      <c r="C217" s="3283" t="s">
        <v>3067</v>
      </c>
      <c r="D217" s="3283"/>
      <c r="E217" s="3283">
        <v>3807</v>
      </c>
      <c r="F217" s="3283" t="s">
        <v>3285</v>
      </c>
      <c r="G217" s="3283">
        <v>51.69</v>
      </c>
      <c r="H217" s="3283" t="s">
        <v>3069</v>
      </c>
      <c r="I217" s="3283" t="s">
        <v>3070</v>
      </c>
      <c r="J217" s="3283" t="s">
        <v>3071</v>
      </c>
    </row>
    <row r="218" spans="1:10">
      <c r="A218" s="3283">
        <v>216</v>
      </c>
      <c r="B218" s="3283" t="s">
        <v>3066</v>
      </c>
      <c r="C218" s="3283" t="s">
        <v>3067</v>
      </c>
      <c r="D218" s="3283"/>
      <c r="E218" s="3283">
        <v>3808</v>
      </c>
      <c r="F218" s="3283" t="s">
        <v>3286</v>
      </c>
      <c r="G218" s="3283">
        <v>51.69</v>
      </c>
      <c r="H218" s="3283" t="s">
        <v>3069</v>
      </c>
      <c r="I218" s="3283" t="s">
        <v>3070</v>
      </c>
      <c r="J218" s="3283" t="s">
        <v>3071</v>
      </c>
    </row>
    <row r="219" spans="1:10">
      <c r="A219" s="3283">
        <v>217</v>
      </c>
      <c r="B219" s="3283" t="s">
        <v>3066</v>
      </c>
      <c r="C219" s="3283" t="s">
        <v>3067</v>
      </c>
      <c r="D219" s="3283"/>
      <c r="E219" s="3283">
        <v>3809</v>
      </c>
      <c r="F219" s="3283" t="s">
        <v>3287</v>
      </c>
      <c r="G219" s="3283">
        <v>51.69</v>
      </c>
      <c r="H219" s="3283" t="s">
        <v>3069</v>
      </c>
      <c r="I219" s="3283" t="s">
        <v>3070</v>
      </c>
      <c r="J219" s="3283" t="s">
        <v>3071</v>
      </c>
    </row>
    <row r="220" spans="1:10">
      <c r="A220" s="3283">
        <v>218</v>
      </c>
      <c r="B220" s="3283" t="s">
        <v>3066</v>
      </c>
      <c r="C220" s="3283" t="s">
        <v>3067</v>
      </c>
      <c r="D220" s="3283"/>
      <c r="E220" s="3283">
        <v>3812</v>
      </c>
      <c r="F220" s="3283" t="s">
        <v>3288</v>
      </c>
      <c r="G220" s="3283">
        <v>89.54</v>
      </c>
      <c r="H220" s="3283" t="s">
        <v>3069</v>
      </c>
      <c r="I220" s="3283" t="s">
        <v>3070</v>
      </c>
      <c r="J220" s="3283" t="s">
        <v>3071</v>
      </c>
    </row>
    <row r="221" spans="1:10">
      <c r="A221" s="3283">
        <v>219</v>
      </c>
      <c r="B221" s="3283" t="s">
        <v>3066</v>
      </c>
      <c r="C221" s="3283" t="s">
        <v>3067</v>
      </c>
      <c r="D221" s="3283"/>
      <c r="E221" s="3283">
        <v>3816</v>
      </c>
      <c r="F221" s="3283" t="s">
        <v>3289</v>
      </c>
      <c r="G221" s="3283">
        <v>52.49</v>
      </c>
      <c r="H221" s="3283" t="s">
        <v>3069</v>
      </c>
      <c r="I221" s="3283" t="s">
        <v>3070</v>
      </c>
      <c r="J221" s="3283" t="s">
        <v>3071</v>
      </c>
    </row>
    <row r="222" spans="1:10">
      <c r="A222" s="3283">
        <v>220</v>
      </c>
      <c r="B222" s="3283" t="s">
        <v>3066</v>
      </c>
      <c r="C222" s="3283" t="s">
        <v>3067</v>
      </c>
      <c r="D222" s="3283"/>
      <c r="E222" s="3283">
        <v>3821</v>
      </c>
      <c r="F222" s="3283" t="s">
        <v>3290</v>
      </c>
      <c r="G222" s="3283">
        <v>51.69</v>
      </c>
      <c r="H222" s="3283" t="s">
        <v>3069</v>
      </c>
      <c r="I222" s="3283" t="s">
        <v>3070</v>
      </c>
      <c r="J222" s="3283" t="s">
        <v>3071</v>
      </c>
    </row>
    <row r="223" spans="1:10">
      <c r="A223" s="3283">
        <v>221</v>
      </c>
      <c r="B223" s="3283" t="s">
        <v>3066</v>
      </c>
      <c r="C223" s="3283" t="s">
        <v>3067</v>
      </c>
      <c r="D223" s="3283"/>
      <c r="E223" s="3283">
        <v>3902</v>
      </c>
      <c r="F223" s="3283" t="s">
        <v>3291</v>
      </c>
      <c r="G223" s="3283">
        <v>52.49</v>
      </c>
      <c r="H223" s="3283" t="s">
        <v>3069</v>
      </c>
      <c r="I223" s="3283" t="s">
        <v>3070</v>
      </c>
      <c r="J223" s="3283" t="s">
        <v>3071</v>
      </c>
    </row>
    <row r="224" spans="1:10">
      <c r="A224" s="3283">
        <v>222</v>
      </c>
      <c r="B224" s="3283" t="s">
        <v>3066</v>
      </c>
      <c r="C224" s="3283" t="s">
        <v>3067</v>
      </c>
      <c r="D224" s="3283"/>
      <c r="E224" s="3283">
        <v>3903</v>
      </c>
      <c r="F224" s="3283" t="s">
        <v>3292</v>
      </c>
      <c r="G224" s="3283">
        <v>52.49</v>
      </c>
      <c r="H224" s="3283" t="s">
        <v>3069</v>
      </c>
      <c r="I224" s="3283" t="s">
        <v>3070</v>
      </c>
      <c r="J224" s="3283" t="s">
        <v>3071</v>
      </c>
    </row>
    <row r="225" spans="1:10">
      <c r="A225" s="3283">
        <v>223</v>
      </c>
      <c r="B225" s="3283" t="s">
        <v>3066</v>
      </c>
      <c r="C225" s="3283" t="s">
        <v>3067</v>
      </c>
      <c r="D225" s="3283"/>
      <c r="E225" s="3283">
        <v>3907</v>
      </c>
      <c r="F225" s="3283" t="s">
        <v>3293</v>
      </c>
      <c r="G225" s="3283">
        <v>51.69</v>
      </c>
      <c r="H225" s="3283" t="s">
        <v>3069</v>
      </c>
      <c r="I225" s="3283" t="s">
        <v>3070</v>
      </c>
      <c r="J225" s="3283" t="s">
        <v>3071</v>
      </c>
    </row>
    <row r="226" spans="1:10">
      <c r="A226" s="3283">
        <v>224</v>
      </c>
      <c r="B226" s="3283" t="s">
        <v>3066</v>
      </c>
      <c r="C226" s="3283" t="s">
        <v>3067</v>
      </c>
      <c r="D226" s="3283"/>
      <c r="E226" s="3283">
        <v>3908</v>
      </c>
      <c r="F226" s="3283" t="s">
        <v>3294</v>
      </c>
      <c r="G226" s="3283">
        <v>51.69</v>
      </c>
      <c r="H226" s="3283" t="s">
        <v>3069</v>
      </c>
      <c r="I226" s="3283" t="s">
        <v>3070</v>
      </c>
      <c r="J226" s="3283" t="s">
        <v>3071</v>
      </c>
    </row>
    <row r="227" spans="1:10">
      <c r="A227" s="3283">
        <v>225</v>
      </c>
      <c r="B227" s="3283" t="s">
        <v>3066</v>
      </c>
      <c r="C227" s="3283" t="s">
        <v>3067</v>
      </c>
      <c r="D227" s="3283"/>
      <c r="E227" s="3283">
        <v>3909</v>
      </c>
      <c r="F227" s="3283" t="s">
        <v>3295</v>
      </c>
      <c r="G227" s="3283">
        <v>51.69</v>
      </c>
      <c r="H227" s="3283" t="s">
        <v>3069</v>
      </c>
      <c r="I227" s="3283" t="s">
        <v>3070</v>
      </c>
      <c r="J227" s="3283" t="s">
        <v>3071</v>
      </c>
    </row>
    <row r="228" spans="1:10">
      <c r="A228" s="3283">
        <v>226</v>
      </c>
      <c r="B228" s="3283" t="s">
        <v>3066</v>
      </c>
      <c r="C228" s="3283" t="s">
        <v>3067</v>
      </c>
      <c r="D228" s="3283"/>
      <c r="E228" s="3283">
        <v>3910</v>
      </c>
      <c r="F228" s="3283" t="s">
        <v>3296</v>
      </c>
      <c r="G228" s="3283">
        <v>51.69</v>
      </c>
      <c r="H228" s="3283" t="s">
        <v>3069</v>
      </c>
      <c r="I228" s="3283" t="s">
        <v>3070</v>
      </c>
      <c r="J228" s="3283" t="s">
        <v>3071</v>
      </c>
    </row>
    <row r="229" spans="1:10">
      <c r="A229" s="3283">
        <v>227</v>
      </c>
      <c r="B229" s="3283" t="s">
        <v>3066</v>
      </c>
      <c r="C229" s="3283" t="s">
        <v>3067</v>
      </c>
      <c r="D229" s="3283"/>
      <c r="E229" s="3283">
        <v>3911</v>
      </c>
      <c r="F229" s="3283" t="s">
        <v>3297</v>
      </c>
      <c r="G229" s="3283">
        <v>51.69</v>
      </c>
      <c r="H229" s="3283" t="s">
        <v>3069</v>
      </c>
      <c r="I229" s="3283" t="s">
        <v>3070</v>
      </c>
      <c r="J229" s="3283" t="s">
        <v>3071</v>
      </c>
    </row>
    <row r="230" spans="1:10">
      <c r="A230" s="3283">
        <v>228</v>
      </c>
      <c r="B230" s="3283" t="s">
        <v>3066</v>
      </c>
      <c r="C230" s="3283" t="s">
        <v>3067</v>
      </c>
      <c r="D230" s="3283"/>
      <c r="E230" s="3283">
        <v>4006</v>
      </c>
      <c r="F230" s="3283" t="s">
        <v>3298</v>
      </c>
      <c r="G230" s="3283">
        <v>51.69</v>
      </c>
      <c r="H230" s="3283" t="s">
        <v>3069</v>
      </c>
      <c r="I230" s="3283" t="s">
        <v>3070</v>
      </c>
      <c r="J230" s="3283" t="s">
        <v>3071</v>
      </c>
    </row>
    <row r="231" spans="1:10">
      <c r="A231" s="3283">
        <v>229</v>
      </c>
      <c r="B231" s="3283" t="s">
        <v>3066</v>
      </c>
      <c r="C231" s="3283" t="s">
        <v>3067</v>
      </c>
      <c r="D231" s="3283"/>
      <c r="E231" s="3283">
        <v>4007</v>
      </c>
      <c r="F231" s="3283" t="s">
        <v>3299</v>
      </c>
      <c r="G231" s="3283">
        <v>51.69</v>
      </c>
      <c r="H231" s="3283" t="s">
        <v>3069</v>
      </c>
      <c r="I231" s="3283" t="s">
        <v>3070</v>
      </c>
      <c r="J231" s="3283" t="s">
        <v>3071</v>
      </c>
    </row>
    <row r="232" spans="1:10">
      <c r="A232" s="3283">
        <v>230</v>
      </c>
      <c r="B232" s="3283" t="s">
        <v>3066</v>
      </c>
      <c r="C232" s="3283" t="s">
        <v>3067</v>
      </c>
      <c r="D232" s="3283"/>
      <c r="E232" s="3283">
        <v>4008</v>
      </c>
      <c r="F232" s="3283" t="s">
        <v>3300</v>
      </c>
      <c r="G232" s="3283">
        <v>51.69</v>
      </c>
      <c r="H232" s="3283" t="s">
        <v>3069</v>
      </c>
      <c r="I232" s="3283" t="s">
        <v>3070</v>
      </c>
      <c r="J232" s="3283" t="s">
        <v>3071</v>
      </c>
    </row>
    <row r="233" spans="1:10">
      <c r="A233" s="3283">
        <v>231</v>
      </c>
      <c r="B233" s="3283" t="s">
        <v>3066</v>
      </c>
      <c r="C233" s="3283" t="s">
        <v>3067</v>
      </c>
      <c r="D233" s="3283"/>
      <c r="E233" s="3283">
        <v>4009</v>
      </c>
      <c r="F233" s="3283" t="s">
        <v>3301</v>
      </c>
      <c r="G233" s="3283">
        <v>51.69</v>
      </c>
      <c r="H233" s="3283" t="s">
        <v>3069</v>
      </c>
      <c r="I233" s="3283" t="s">
        <v>3070</v>
      </c>
      <c r="J233" s="3283" t="s">
        <v>3071</v>
      </c>
    </row>
    <row r="234" spans="1:10">
      <c r="A234" s="3283">
        <v>232</v>
      </c>
      <c r="B234" s="3283" t="s">
        <v>3066</v>
      </c>
      <c r="C234" s="3283" t="s">
        <v>3067</v>
      </c>
      <c r="D234" s="3283"/>
      <c r="E234" s="3283">
        <v>4010</v>
      </c>
      <c r="F234" s="3283" t="s">
        <v>3302</v>
      </c>
      <c r="G234" s="3283">
        <v>51.69</v>
      </c>
      <c r="H234" s="3283" t="s">
        <v>3069</v>
      </c>
      <c r="I234" s="3283" t="s">
        <v>3070</v>
      </c>
      <c r="J234" s="3283" t="s">
        <v>3071</v>
      </c>
    </row>
    <row r="235" spans="1:10">
      <c r="A235" s="3283">
        <v>233</v>
      </c>
      <c r="B235" s="3283" t="s">
        <v>3066</v>
      </c>
      <c r="C235" s="3283" t="s">
        <v>3067</v>
      </c>
      <c r="D235" s="3283"/>
      <c r="E235" s="3283">
        <v>4014</v>
      </c>
      <c r="F235" s="3283" t="s">
        <v>3303</v>
      </c>
      <c r="G235" s="3283">
        <v>52.49</v>
      </c>
      <c r="H235" s="3283" t="s">
        <v>3069</v>
      </c>
      <c r="I235" s="3283" t="s">
        <v>3070</v>
      </c>
      <c r="J235" s="3283" t="s">
        <v>3071</v>
      </c>
    </row>
    <row r="236" spans="1:10">
      <c r="A236" s="3283">
        <v>234</v>
      </c>
      <c r="B236" s="3283" t="s">
        <v>3066</v>
      </c>
      <c r="C236" s="3283" t="s">
        <v>3067</v>
      </c>
      <c r="D236" s="3283"/>
      <c r="E236" s="3283">
        <v>4016</v>
      </c>
      <c r="F236" s="3283" t="s">
        <v>3304</v>
      </c>
      <c r="G236" s="3283">
        <v>52.49</v>
      </c>
      <c r="H236" s="3283" t="s">
        <v>3069</v>
      </c>
      <c r="I236" s="3283" t="s">
        <v>3070</v>
      </c>
      <c r="J236" s="3283" t="s">
        <v>3071</v>
      </c>
    </row>
    <row r="237" spans="1:10">
      <c r="A237" s="3283">
        <v>235</v>
      </c>
      <c r="B237" s="3283" t="s">
        <v>3066</v>
      </c>
      <c r="C237" s="3283" t="s">
        <v>3067</v>
      </c>
      <c r="D237" s="3283"/>
      <c r="E237" s="3283">
        <v>4023</v>
      </c>
      <c r="F237" s="3283" t="s">
        <v>3305</v>
      </c>
      <c r="G237" s="3283">
        <v>51.69</v>
      </c>
      <c r="H237" s="3283" t="s">
        <v>3069</v>
      </c>
      <c r="I237" s="3283" t="s">
        <v>3070</v>
      </c>
      <c r="J237" s="3283" t="s">
        <v>3071</v>
      </c>
    </row>
    <row r="238" spans="1:10">
      <c r="A238" s="3283">
        <v>236</v>
      </c>
      <c r="B238" s="3283" t="s">
        <v>3066</v>
      </c>
      <c r="C238" s="3283" t="s">
        <v>3067</v>
      </c>
      <c r="D238" s="3283"/>
      <c r="E238" s="3283">
        <v>4101</v>
      </c>
      <c r="F238" s="3283" t="s">
        <v>3306</v>
      </c>
      <c r="G238" s="3283">
        <v>52.49</v>
      </c>
      <c r="H238" s="3283" t="s">
        <v>3069</v>
      </c>
      <c r="I238" s="3283" t="s">
        <v>3070</v>
      </c>
      <c r="J238" s="3283" t="s">
        <v>3071</v>
      </c>
    </row>
    <row r="239" spans="1:10">
      <c r="A239" s="3283">
        <v>237</v>
      </c>
      <c r="B239" s="3283" t="s">
        <v>3066</v>
      </c>
      <c r="C239" s="3283" t="s">
        <v>3067</v>
      </c>
      <c r="D239" s="3283"/>
      <c r="E239" s="3283">
        <v>4102</v>
      </c>
      <c r="F239" s="3283" t="s">
        <v>3307</v>
      </c>
      <c r="G239" s="3283">
        <v>52.49</v>
      </c>
      <c r="H239" s="3283" t="s">
        <v>3069</v>
      </c>
      <c r="I239" s="3283" t="s">
        <v>3070</v>
      </c>
      <c r="J239" s="3283" t="s">
        <v>3071</v>
      </c>
    </row>
    <row r="240" spans="1:10">
      <c r="A240" s="3283">
        <v>238</v>
      </c>
      <c r="B240" s="3283" t="s">
        <v>3066</v>
      </c>
      <c r="C240" s="3283" t="s">
        <v>3067</v>
      </c>
      <c r="D240" s="3283"/>
      <c r="E240" s="3283">
        <v>4103</v>
      </c>
      <c r="F240" s="3283" t="s">
        <v>3308</v>
      </c>
      <c r="G240" s="3283">
        <v>52.49</v>
      </c>
      <c r="H240" s="3283" t="s">
        <v>3069</v>
      </c>
      <c r="I240" s="3283" t="s">
        <v>3070</v>
      </c>
      <c r="J240" s="3283" t="s">
        <v>3071</v>
      </c>
    </row>
    <row r="241" spans="1:10">
      <c r="A241" s="3283">
        <v>239</v>
      </c>
      <c r="B241" s="3283" t="s">
        <v>3066</v>
      </c>
      <c r="C241" s="3283" t="s">
        <v>3067</v>
      </c>
      <c r="D241" s="3283"/>
      <c r="E241" s="3283">
        <v>4106</v>
      </c>
      <c r="F241" s="3283" t="s">
        <v>3309</v>
      </c>
      <c r="G241" s="3283">
        <v>51.69</v>
      </c>
      <c r="H241" s="3283" t="s">
        <v>3069</v>
      </c>
      <c r="I241" s="3283" t="s">
        <v>3070</v>
      </c>
      <c r="J241" s="3283" t="s">
        <v>3071</v>
      </c>
    </row>
    <row r="242" spans="1:10">
      <c r="A242" s="3283">
        <v>240</v>
      </c>
      <c r="B242" s="3283" t="s">
        <v>3066</v>
      </c>
      <c r="C242" s="3283" t="s">
        <v>3067</v>
      </c>
      <c r="D242" s="3283"/>
      <c r="E242" s="3283">
        <v>4107</v>
      </c>
      <c r="F242" s="3283" t="s">
        <v>3310</v>
      </c>
      <c r="G242" s="3283">
        <v>51.69</v>
      </c>
      <c r="H242" s="3283" t="s">
        <v>3069</v>
      </c>
      <c r="I242" s="3283" t="s">
        <v>3070</v>
      </c>
      <c r="J242" s="3283" t="s">
        <v>3071</v>
      </c>
    </row>
    <row r="243" spans="1:10">
      <c r="A243" s="3283">
        <v>241</v>
      </c>
      <c r="B243" s="3283" t="s">
        <v>3066</v>
      </c>
      <c r="C243" s="3283" t="s">
        <v>3067</v>
      </c>
      <c r="D243" s="3283"/>
      <c r="E243" s="3283">
        <v>4108</v>
      </c>
      <c r="F243" s="3283" t="s">
        <v>3311</v>
      </c>
      <c r="G243" s="3283">
        <v>51.69</v>
      </c>
      <c r="H243" s="3283" t="s">
        <v>3069</v>
      </c>
      <c r="I243" s="3283" t="s">
        <v>3070</v>
      </c>
      <c r="J243" s="3283" t="s">
        <v>3071</v>
      </c>
    </row>
    <row r="244" spans="1:10">
      <c r="A244" s="3283">
        <v>242</v>
      </c>
      <c r="B244" s="3283" t="s">
        <v>3066</v>
      </c>
      <c r="C244" s="3283" t="s">
        <v>3067</v>
      </c>
      <c r="D244" s="3283"/>
      <c r="E244" s="3283">
        <v>4109</v>
      </c>
      <c r="F244" s="3283" t="s">
        <v>3312</v>
      </c>
      <c r="G244" s="3283">
        <v>51.69</v>
      </c>
      <c r="H244" s="3283" t="s">
        <v>3069</v>
      </c>
      <c r="I244" s="3283" t="s">
        <v>3070</v>
      </c>
      <c r="J244" s="3283" t="s">
        <v>3071</v>
      </c>
    </row>
    <row r="245" spans="1:10">
      <c r="A245" s="3283">
        <v>243</v>
      </c>
      <c r="B245" s="3283" t="s">
        <v>3066</v>
      </c>
      <c r="C245" s="3283" t="s">
        <v>3067</v>
      </c>
      <c r="D245" s="3283"/>
      <c r="E245" s="3283">
        <v>4110</v>
      </c>
      <c r="F245" s="3283" t="s">
        <v>3313</v>
      </c>
      <c r="G245" s="3283">
        <v>51.69</v>
      </c>
      <c r="H245" s="3283" t="s">
        <v>3069</v>
      </c>
      <c r="I245" s="3283" t="s">
        <v>3070</v>
      </c>
      <c r="J245" s="3283" t="s">
        <v>3071</v>
      </c>
    </row>
    <row r="246" spans="1:10">
      <c r="A246" s="3283">
        <v>244</v>
      </c>
      <c r="B246" s="3283" t="s">
        <v>3066</v>
      </c>
      <c r="C246" s="3283" t="s">
        <v>3067</v>
      </c>
      <c r="D246" s="3283"/>
      <c r="E246" s="3283">
        <v>4111</v>
      </c>
      <c r="F246" s="3283" t="s">
        <v>3314</v>
      </c>
      <c r="G246" s="3283">
        <v>51.69</v>
      </c>
      <c r="H246" s="3283" t="s">
        <v>3069</v>
      </c>
      <c r="I246" s="3283" t="s">
        <v>3070</v>
      </c>
      <c r="J246" s="3283" t="s">
        <v>3071</v>
      </c>
    </row>
    <row r="247" spans="1:10">
      <c r="A247" s="3283">
        <v>245</v>
      </c>
      <c r="B247" s="3283" t="s">
        <v>3066</v>
      </c>
      <c r="C247" s="3283" t="s">
        <v>3067</v>
      </c>
      <c r="D247" s="3283"/>
      <c r="E247" s="3283">
        <v>4114</v>
      </c>
      <c r="F247" s="3283" t="s">
        <v>3315</v>
      </c>
      <c r="G247" s="3283">
        <v>52.49</v>
      </c>
      <c r="H247" s="3283" t="s">
        <v>3069</v>
      </c>
      <c r="I247" s="3283" t="s">
        <v>3070</v>
      </c>
      <c r="J247" s="3283" t="s">
        <v>3071</v>
      </c>
    </row>
    <row r="248" spans="1:10">
      <c r="A248" s="3283">
        <v>246</v>
      </c>
      <c r="B248" s="3283" t="s">
        <v>3066</v>
      </c>
      <c r="C248" s="3283" t="s">
        <v>3067</v>
      </c>
      <c r="D248" s="3283"/>
      <c r="E248" s="3283">
        <v>4115</v>
      </c>
      <c r="F248" s="3283" t="s">
        <v>3316</v>
      </c>
      <c r="G248" s="3283">
        <v>52.49</v>
      </c>
      <c r="H248" s="3283" t="s">
        <v>3069</v>
      </c>
      <c r="I248" s="3283" t="s">
        <v>3070</v>
      </c>
      <c r="J248" s="3283" t="s">
        <v>3071</v>
      </c>
    </row>
    <row r="249" spans="1:10">
      <c r="A249" s="3283">
        <v>247</v>
      </c>
      <c r="B249" s="3283" t="s">
        <v>3066</v>
      </c>
      <c r="C249" s="3283" t="s">
        <v>3067</v>
      </c>
      <c r="D249" s="3283"/>
      <c r="E249" s="3283">
        <v>4116</v>
      </c>
      <c r="F249" s="3283" t="s">
        <v>3317</v>
      </c>
      <c r="G249" s="3283">
        <v>52.49</v>
      </c>
      <c r="H249" s="3283" t="s">
        <v>3069</v>
      </c>
      <c r="I249" s="3283" t="s">
        <v>3070</v>
      </c>
      <c r="J249" s="3283" t="s">
        <v>3071</v>
      </c>
    </row>
    <row r="250" spans="1:10">
      <c r="A250" s="3283">
        <v>248</v>
      </c>
      <c r="B250" s="3283" t="s">
        <v>3066</v>
      </c>
      <c r="C250" s="3283" t="s">
        <v>3067</v>
      </c>
      <c r="D250" s="3283"/>
      <c r="E250" s="3283">
        <v>4118</v>
      </c>
      <c r="F250" s="3283" t="s">
        <v>3318</v>
      </c>
      <c r="G250" s="3283">
        <v>52.22</v>
      </c>
      <c r="H250" s="3283" t="s">
        <v>3069</v>
      </c>
      <c r="I250" s="3283" t="s">
        <v>3070</v>
      </c>
      <c r="J250" s="3283" t="s">
        <v>3071</v>
      </c>
    </row>
    <row r="251" spans="1:10">
      <c r="A251" s="3283">
        <v>249</v>
      </c>
      <c r="B251" s="3283" t="s">
        <v>3066</v>
      </c>
      <c r="C251" s="3283" t="s">
        <v>3067</v>
      </c>
      <c r="D251" s="3283"/>
      <c r="E251" s="3283">
        <v>4119</v>
      </c>
      <c r="F251" s="3283" t="s">
        <v>3319</v>
      </c>
      <c r="G251" s="3283">
        <v>52.22</v>
      </c>
      <c r="H251" s="3283" t="s">
        <v>3069</v>
      </c>
      <c r="I251" s="3283" t="s">
        <v>3070</v>
      </c>
      <c r="J251" s="3283" t="s">
        <v>3071</v>
      </c>
    </row>
    <row r="252" spans="1:10">
      <c r="A252" s="3283">
        <v>250</v>
      </c>
      <c r="B252" s="3283" t="s">
        <v>3066</v>
      </c>
      <c r="C252" s="3283" t="s">
        <v>3067</v>
      </c>
      <c r="D252" s="3283"/>
      <c r="E252" s="3283">
        <v>4122</v>
      </c>
      <c r="F252" s="3283" t="s">
        <v>3320</v>
      </c>
      <c r="G252" s="3283">
        <v>52.22</v>
      </c>
      <c r="H252" s="3283" t="s">
        <v>3069</v>
      </c>
      <c r="I252" s="3283" t="s">
        <v>3070</v>
      </c>
      <c r="J252" s="3283" t="s">
        <v>3071</v>
      </c>
    </row>
    <row r="253" spans="1:10">
      <c r="A253" s="3283">
        <v>251</v>
      </c>
      <c r="B253" s="3283" t="s">
        <v>3066</v>
      </c>
      <c r="C253" s="3283" t="s">
        <v>3067</v>
      </c>
      <c r="D253" s="3283"/>
      <c r="E253" s="3283">
        <v>4123</v>
      </c>
      <c r="F253" s="3283" t="s">
        <v>3321</v>
      </c>
      <c r="G253" s="3283">
        <v>52.22</v>
      </c>
      <c r="H253" s="3283" t="s">
        <v>3069</v>
      </c>
      <c r="I253" s="3283" t="s">
        <v>3070</v>
      </c>
      <c r="J253" s="3283" t="s">
        <v>3071</v>
      </c>
    </row>
    <row r="254" spans="1:10">
      <c r="A254" s="3283">
        <v>252</v>
      </c>
      <c r="B254" s="3283" t="s">
        <v>3066</v>
      </c>
      <c r="C254" s="3283" t="s">
        <v>3067</v>
      </c>
      <c r="D254" s="3283"/>
      <c r="E254" s="3283">
        <v>4301</v>
      </c>
      <c r="F254" s="3283" t="s">
        <v>3322</v>
      </c>
      <c r="G254" s="3283">
        <v>52.49</v>
      </c>
      <c r="H254" s="3283" t="s">
        <v>3069</v>
      </c>
      <c r="I254" s="3283" t="s">
        <v>3070</v>
      </c>
      <c r="J254" s="3283" t="s">
        <v>3071</v>
      </c>
    </row>
    <row r="255" spans="1:10">
      <c r="A255" s="3283">
        <v>253</v>
      </c>
      <c r="B255" s="3283" t="s">
        <v>3066</v>
      </c>
      <c r="C255" s="3283" t="s">
        <v>3067</v>
      </c>
      <c r="D255" s="3283"/>
      <c r="E255" s="3283">
        <v>4302</v>
      </c>
      <c r="F255" s="3283" t="s">
        <v>3323</v>
      </c>
      <c r="G255" s="3283">
        <v>52.49</v>
      </c>
      <c r="H255" s="3283" t="s">
        <v>3069</v>
      </c>
      <c r="I255" s="3283" t="s">
        <v>3070</v>
      </c>
      <c r="J255" s="3283" t="s">
        <v>3071</v>
      </c>
    </row>
    <row r="256" spans="1:10">
      <c r="A256" s="3283">
        <v>254</v>
      </c>
      <c r="B256" s="3283" t="s">
        <v>3066</v>
      </c>
      <c r="C256" s="3283" t="s">
        <v>3067</v>
      </c>
      <c r="D256" s="3283"/>
      <c r="E256" s="3283">
        <v>4303</v>
      </c>
      <c r="F256" s="3283" t="s">
        <v>3324</v>
      </c>
      <c r="G256" s="3283">
        <v>52.49</v>
      </c>
      <c r="H256" s="3283" t="s">
        <v>3069</v>
      </c>
      <c r="I256" s="3283" t="s">
        <v>3070</v>
      </c>
      <c r="J256" s="3283" t="s">
        <v>3071</v>
      </c>
    </row>
    <row r="257" spans="1:10">
      <c r="A257" s="3283">
        <v>255</v>
      </c>
      <c r="B257" s="3283" t="s">
        <v>3066</v>
      </c>
      <c r="C257" s="3283" t="s">
        <v>3067</v>
      </c>
      <c r="D257" s="3283"/>
      <c r="E257" s="3283">
        <v>4304</v>
      </c>
      <c r="F257" s="3283" t="s">
        <v>3325</v>
      </c>
      <c r="G257" s="3283">
        <v>86.49</v>
      </c>
      <c r="H257" s="3283" t="s">
        <v>3069</v>
      </c>
      <c r="I257" s="3283" t="s">
        <v>3070</v>
      </c>
      <c r="J257" s="3283" t="s">
        <v>3071</v>
      </c>
    </row>
    <row r="258" spans="1:10">
      <c r="A258" s="3283">
        <v>256</v>
      </c>
      <c r="B258" s="3283" t="s">
        <v>3066</v>
      </c>
      <c r="C258" s="3283" t="s">
        <v>3067</v>
      </c>
      <c r="D258" s="3283"/>
      <c r="E258" s="3283">
        <v>4305</v>
      </c>
      <c r="F258" s="3283" t="s">
        <v>3326</v>
      </c>
      <c r="G258" s="3283">
        <v>89.54</v>
      </c>
      <c r="H258" s="3283" t="s">
        <v>3069</v>
      </c>
      <c r="I258" s="3283" t="s">
        <v>3070</v>
      </c>
      <c r="J258" s="3283" t="s">
        <v>3071</v>
      </c>
    </row>
    <row r="259" spans="1:10">
      <c r="A259" s="3283">
        <v>257</v>
      </c>
      <c r="B259" s="3283" t="s">
        <v>3066</v>
      </c>
      <c r="C259" s="3283" t="s">
        <v>3067</v>
      </c>
      <c r="D259" s="3283"/>
      <c r="E259" s="3283">
        <v>4306</v>
      </c>
      <c r="F259" s="3283" t="s">
        <v>3327</v>
      </c>
      <c r="G259" s="3283">
        <v>51.69</v>
      </c>
      <c r="H259" s="3283" t="s">
        <v>3069</v>
      </c>
      <c r="I259" s="3283" t="s">
        <v>3070</v>
      </c>
      <c r="J259" s="3283" t="s">
        <v>3071</v>
      </c>
    </row>
    <row r="260" spans="1:10">
      <c r="A260" s="3283">
        <v>258</v>
      </c>
      <c r="B260" s="3283" t="s">
        <v>3066</v>
      </c>
      <c r="C260" s="3283" t="s">
        <v>3067</v>
      </c>
      <c r="D260" s="3283"/>
      <c r="E260" s="3283">
        <v>4307</v>
      </c>
      <c r="F260" s="3283" t="s">
        <v>3328</v>
      </c>
      <c r="G260" s="3283">
        <v>51.69</v>
      </c>
      <c r="H260" s="3283" t="s">
        <v>3069</v>
      </c>
      <c r="I260" s="3283" t="s">
        <v>3070</v>
      </c>
      <c r="J260" s="3283" t="s">
        <v>3071</v>
      </c>
    </row>
    <row r="261" spans="1:10">
      <c r="A261" s="3283">
        <v>259</v>
      </c>
      <c r="B261" s="3283" t="s">
        <v>3066</v>
      </c>
      <c r="C261" s="3283" t="s">
        <v>3067</v>
      </c>
      <c r="D261" s="3283"/>
      <c r="E261" s="3283">
        <v>4308</v>
      </c>
      <c r="F261" s="3283" t="s">
        <v>3329</v>
      </c>
      <c r="G261" s="3283">
        <v>51.69</v>
      </c>
      <c r="H261" s="3283" t="s">
        <v>3069</v>
      </c>
      <c r="I261" s="3283" t="s">
        <v>3070</v>
      </c>
      <c r="J261" s="3283" t="s">
        <v>3071</v>
      </c>
    </row>
    <row r="262" spans="1:10">
      <c r="A262" s="3283">
        <v>260</v>
      </c>
      <c r="B262" s="3283" t="s">
        <v>3066</v>
      </c>
      <c r="C262" s="3283" t="s">
        <v>3067</v>
      </c>
      <c r="D262" s="3283"/>
      <c r="E262" s="3283">
        <v>4309</v>
      </c>
      <c r="F262" s="3283" t="s">
        <v>3330</v>
      </c>
      <c r="G262" s="3283">
        <v>51.69</v>
      </c>
      <c r="H262" s="3283" t="s">
        <v>3069</v>
      </c>
      <c r="I262" s="3283" t="s">
        <v>3070</v>
      </c>
      <c r="J262" s="3283" t="s">
        <v>3071</v>
      </c>
    </row>
    <row r="263" spans="1:10">
      <c r="A263" s="3283">
        <v>261</v>
      </c>
      <c r="B263" s="3283" t="s">
        <v>3066</v>
      </c>
      <c r="C263" s="3283" t="s">
        <v>3067</v>
      </c>
      <c r="D263" s="3283"/>
      <c r="E263" s="3283">
        <v>4310</v>
      </c>
      <c r="F263" s="3283" t="s">
        <v>3331</v>
      </c>
      <c r="G263" s="3283">
        <v>51.69</v>
      </c>
      <c r="H263" s="3283" t="s">
        <v>3069</v>
      </c>
      <c r="I263" s="3283" t="s">
        <v>3070</v>
      </c>
      <c r="J263" s="3283" t="s">
        <v>3071</v>
      </c>
    </row>
    <row r="264" spans="1:10">
      <c r="A264" s="3283">
        <v>262</v>
      </c>
      <c r="B264" s="3283" t="s">
        <v>3066</v>
      </c>
      <c r="C264" s="3283" t="s">
        <v>3067</v>
      </c>
      <c r="D264" s="3283"/>
      <c r="E264" s="3283">
        <v>4311</v>
      </c>
      <c r="F264" s="3283" t="s">
        <v>3332</v>
      </c>
      <c r="G264" s="3283">
        <v>51.69</v>
      </c>
      <c r="H264" s="3283" t="s">
        <v>3069</v>
      </c>
      <c r="I264" s="3283" t="s">
        <v>3070</v>
      </c>
      <c r="J264" s="3283" t="s">
        <v>3071</v>
      </c>
    </row>
    <row r="265" spans="1:10">
      <c r="A265" s="3283">
        <v>263</v>
      </c>
      <c r="B265" s="3283" t="s">
        <v>3066</v>
      </c>
      <c r="C265" s="3283" t="s">
        <v>3067</v>
      </c>
      <c r="D265" s="3283"/>
      <c r="E265" s="3283">
        <v>4312</v>
      </c>
      <c r="F265" s="3283" t="s">
        <v>3333</v>
      </c>
      <c r="G265" s="3283">
        <v>89.54</v>
      </c>
      <c r="H265" s="3283" t="s">
        <v>3069</v>
      </c>
      <c r="I265" s="3283" t="s">
        <v>3070</v>
      </c>
      <c r="J265" s="3283" t="s">
        <v>3071</v>
      </c>
    </row>
    <row r="266" spans="1:10">
      <c r="A266" s="3283">
        <v>264</v>
      </c>
      <c r="B266" s="3283" t="s">
        <v>3066</v>
      </c>
      <c r="C266" s="3283" t="s">
        <v>3067</v>
      </c>
      <c r="D266" s="3283"/>
      <c r="E266" s="3283">
        <v>4313</v>
      </c>
      <c r="F266" s="3283" t="s">
        <v>3334</v>
      </c>
      <c r="G266" s="3283">
        <v>86.49</v>
      </c>
      <c r="H266" s="3283" t="s">
        <v>3069</v>
      </c>
      <c r="I266" s="3283" t="s">
        <v>3070</v>
      </c>
      <c r="J266" s="3283" t="s">
        <v>3071</v>
      </c>
    </row>
    <row r="267" spans="1:10">
      <c r="A267" s="3283">
        <v>265</v>
      </c>
      <c r="B267" s="3283" t="s">
        <v>3066</v>
      </c>
      <c r="C267" s="3283" t="s">
        <v>3067</v>
      </c>
      <c r="D267" s="3283"/>
      <c r="E267" s="3283">
        <v>4314</v>
      </c>
      <c r="F267" s="3283" t="s">
        <v>3335</v>
      </c>
      <c r="G267" s="3283">
        <v>52.49</v>
      </c>
      <c r="H267" s="3283" t="s">
        <v>3069</v>
      </c>
      <c r="I267" s="3283" t="s">
        <v>3070</v>
      </c>
      <c r="J267" s="3283" t="s">
        <v>3071</v>
      </c>
    </row>
    <row r="268" spans="1:10">
      <c r="A268" s="3283">
        <v>266</v>
      </c>
      <c r="B268" s="3283" t="s">
        <v>3066</v>
      </c>
      <c r="C268" s="3283" t="s">
        <v>3067</v>
      </c>
      <c r="D268" s="3283"/>
      <c r="E268" s="3283">
        <v>4315</v>
      </c>
      <c r="F268" s="3283" t="s">
        <v>3336</v>
      </c>
      <c r="G268" s="3283">
        <v>52.49</v>
      </c>
      <c r="H268" s="3283" t="s">
        <v>3069</v>
      </c>
      <c r="I268" s="3283" t="s">
        <v>3070</v>
      </c>
      <c r="J268" s="3283" t="s">
        <v>3071</v>
      </c>
    </row>
    <row r="269" spans="1:10">
      <c r="A269" s="3283">
        <v>267</v>
      </c>
      <c r="B269" s="3283" t="s">
        <v>3066</v>
      </c>
      <c r="C269" s="3283" t="s">
        <v>3067</v>
      </c>
      <c r="D269" s="3283"/>
      <c r="E269" s="3283">
        <v>4316</v>
      </c>
      <c r="F269" s="3283" t="s">
        <v>3337</v>
      </c>
      <c r="G269" s="3283">
        <v>52.49</v>
      </c>
      <c r="H269" s="3283" t="s">
        <v>3069</v>
      </c>
      <c r="I269" s="3283" t="s">
        <v>3070</v>
      </c>
      <c r="J269" s="3283" t="s">
        <v>3071</v>
      </c>
    </row>
    <row r="270" spans="1:10">
      <c r="A270" s="3283">
        <v>268</v>
      </c>
      <c r="B270" s="3283" t="s">
        <v>3066</v>
      </c>
      <c r="C270" s="3283" t="s">
        <v>3067</v>
      </c>
      <c r="D270" s="3283"/>
      <c r="E270" s="3283">
        <v>4317</v>
      </c>
      <c r="F270" s="3283" t="s">
        <v>3338</v>
      </c>
      <c r="G270" s="3283">
        <v>94.09</v>
      </c>
      <c r="H270" s="3283" t="s">
        <v>3069</v>
      </c>
      <c r="I270" s="3283" t="s">
        <v>3070</v>
      </c>
      <c r="J270" s="3283" t="s">
        <v>3071</v>
      </c>
    </row>
    <row r="271" spans="1:10">
      <c r="A271" s="3283">
        <v>269</v>
      </c>
      <c r="B271" s="3283" t="s">
        <v>3066</v>
      </c>
      <c r="C271" s="3283" t="s">
        <v>3067</v>
      </c>
      <c r="D271" s="3283"/>
      <c r="E271" s="3283">
        <v>4318</v>
      </c>
      <c r="F271" s="3283" t="s">
        <v>3339</v>
      </c>
      <c r="G271" s="3283">
        <v>52.22</v>
      </c>
      <c r="H271" s="3283" t="s">
        <v>3069</v>
      </c>
      <c r="I271" s="3283" t="s">
        <v>3070</v>
      </c>
      <c r="J271" s="3283" t="s">
        <v>3071</v>
      </c>
    </row>
    <row r="272" spans="1:10">
      <c r="A272" s="3283">
        <v>270</v>
      </c>
      <c r="B272" s="3283" t="s">
        <v>3066</v>
      </c>
      <c r="C272" s="3283" t="s">
        <v>3067</v>
      </c>
      <c r="D272" s="3283"/>
      <c r="E272" s="3283">
        <v>4319</v>
      </c>
      <c r="F272" s="3283" t="s">
        <v>3340</v>
      </c>
      <c r="G272" s="3283">
        <v>52.22</v>
      </c>
      <c r="H272" s="3283" t="s">
        <v>3069</v>
      </c>
      <c r="I272" s="3283" t="s">
        <v>3070</v>
      </c>
      <c r="J272" s="3283" t="s">
        <v>3071</v>
      </c>
    </row>
    <row r="273" spans="1:10">
      <c r="A273" s="3283">
        <v>271</v>
      </c>
      <c r="B273" s="3283" t="s">
        <v>3066</v>
      </c>
      <c r="C273" s="3283" t="s">
        <v>3067</v>
      </c>
      <c r="D273" s="3283"/>
      <c r="E273" s="3283">
        <v>4320</v>
      </c>
      <c r="F273" s="3283" t="s">
        <v>3341</v>
      </c>
      <c r="G273" s="3283">
        <v>52.22</v>
      </c>
      <c r="H273" s="3283" t="s">
        <v>3069</v>
      </c>
      <c r="I273" s="3283" t="s">
        <v>3070</v>
      </c>
      <c r="J273" s="3283" t="s">
        <v>3071</v>
      </c>
    </row>
    <row r="274" spans="1:10">
      <c r="A274" s="3283">
        <v>272</v>
      </c>
      <c r="B274" s="3283" t="s">
        <v>3066</v>
      </c>
      <c r="C274" s="3283" t="s">
        <v>3067</v>
      </c>
      <c r="D274" s="3283"/>
      <c r="E274" s="3283">
        <v>4321</v>
      </c>
      <c r="F274" s="3283" t="s">
        <v>3342</v>
      </c>
      <c r="G274" s="3283">
        <v>52.22</v>
      </c>
      <c r="H274" s="3283" t="s">
        <v>3069</v>
      </c>
      <c r="I274" s="3283" t="s">
        <v>3070</v>
      </c>
      <c r="J274" s="3283" t="s">
        <v>3071</v>
      </c>
    </row>
    <row r="275" spans="1:10">
      <c r="A275" s="3283">
        <v>273</v>
      </c>
      <c r="B275" s="3283" t="s">
        <v>3066</v>
      </c>
      <c r="C275" s="3283" t="s">
        <v>3067</v>
      </c>
      <c r="D275" s="3283"/>
      <c r="E275" s="3283">
        <v>4322</v>
      </c>
      <c r="F275" s="3283" t="s">
        <v>3343</v>
      </c>
      <c r="G275" s="3283">
        <v>52.22</v>
      </c>
      <c r="H275" s="3283" t="s">
        <v>3069</v>
      </c>
      <c r="I275" s="3283" t="s">
        <v>3070</v>
      </c>
      <c r="J275" s="3283" t="s">
        <v>3071</v>
      </c>
    </row>
    <row r="276" spans="1:10">
      <c r="A276" s="3283">
        <v>274</v>
      </c>
      <c r="B276" s="3283" t="s">
        <v>3066</v>
      </c>
      <c r="C276" s="3283" t="s">
        <v>3067</v>
      </c>
      <c r="D276" s="3283"/>
      <c r="E276" s="3283">
        <v>4323</v>
      </c>
      <c r="F276" s="3283" t="s">
        <v>3344</v>
      </c>
      <c r="G276" s="3283">
        <v>52.22</v>
      </c>
      <c r="H276" s="3283" t="s">
        <v>3069</v>
      </c>
      <c r="I276" s="3283" t="s">
        <v>3070</v>
      </c>
      <c r="J276" s="3283" t="s">
        <v>3071</v>
      </c>
    </row>
    <row r="277" spans="1:10">
      <c r="A277" s="3283">
        <v>275</v>
      </c>
      <c r="B277" s="3283" t="s">
        <v>3066</v>
      </c>
      <c r="C277" s="3283" t="s">
        <v>3067</v>
      </c>
      <c r="D277" s="3283"/>
      <c r="E277" s="3283">
        <v>4324</v>
      </c>
      <c r="F277" s="3283" t="s">
        <v>3345</v>
      </c>
      <c r="G277" s="3283">
        <v>94.09</v>
      </c>
      <c r="H277" s="3283" t="s">
        <v>3069</v>
      </c>
      <c r="I277" s="3283" t="s">
        <v>3070</v>
      </c>
      <c r="J277" s="3283" t="s">
        <v>3071</v>
      </c>
    </row>
    <row r="278" spans="1:10">
      <c r="A278" s="3283">
        <v>276</v>
      </c>
      <c r="B278" s="3283" t="s">
        <v>3066</v>
      </c>
      <c r="C278" s="3283" t="s">
        <v>3067</v>
      </c>
      <c r="D278" s="3283"/>
      <c r="E278" s="3283">
        <v>4401</v>
      </c>
      <c r="F278" s="3283" t="s">
        <v>3346</v>
      </c>
      <c r="G278" s="3283">
        <v>52.49</v>
      </c>
      <c r="H278" s="3283" t="s">
        <v>3069</v>
      </c>
      <c r="I278" s="3283" t="s">
        <v>3070</v>
      </c>
      <c r="J278" s="3283" t="s">
        <v>3071</v>
      </c>
    </row>
    <row r="279" spans="1:10">
      <c r="A279" s="3283">
        <v>277</v>
      </c>
      <c r="B279" s="3283" t="s">
        <v>3066</v>
      </c>
      <c r="C279" s="3283" t="s">
        <v>3067</v>
      </c>
      <c r="D279" s="3283"/>
      <c r="E279" s="3283">
        <v>4402</v>
      </c>
      <c r="F279" s="3283" t="s">
        <v>3347</v>
      </c>
      <c r="G279" s="3283">
        <v>52.49</v>
      </c>
      <c r="H279" s="3283" t="s">
        <v>3069</v>
      </c>
      <c r="I279" s="3283" t="s">
        <v>3070</v>
      </c>
      <c r="J279" s="3283" t="s">
        <v>3071</v>
      </c>
    </row>
    <row r="280" spans="1:10">
      <c r="A280" s="3283">
        <v>278</v>
      </c>
      <c r="B280" s="3283" t="s">
        <v>3066</v>
      </c>
      <c r="C280" s="3283" t="s">
        <v>3067</v>
      </c>
      <c r="D280" s="3283"/>
      <c r="E280" s="3283">
        <v>4403</v>
      </c>
      <c r="F280" s="3283" t="s">
        <v>3348</v>
      </c>
      <c r="G280" s="3283">
        <v>52.49</v>
      </c>
      <c r="H280" s="3283" t="s">
        <v>3069</v>
      </c>
      <c r="I280" s="3283" t="s">
        <v>3070</v>
      </c>
      <c r="J280" s="3283" t="s">
        <v>3071</v>
      </c>
    </row>
    <row r="281" spans="1:10">
      <c r="A281" s="3283">
        <v>279</v>
      </c>
      <c r="B281" s="3283" t="s">
        <v>3066</v>
      </c>
      <c r="C281" s="3283" t="s">
        <v>3067</v>
      </c>
      <c r="D281" s="3283"/>
      <c r="E281" s="3283">
        <v>4404</v>
      </c>
      <c r="F281" s="3283" t="s">
        <v>3349</v>
      </c>
      <c r="G281" s="3283">
        <v>86.49</v>
      </c>
      <c r="H281" s="3283" t="s">
        <v>3069</v>
      </c>
      <c r="I281" s="3283" t="s">
        <v>3070</v>
      </c>
      <c r="J281" s="3283" t="s">
        <v>3071</v>
      </c>
    </row>
    <row r="282" spans="1:10">
      <c r="A282" s="3283">
        <v>280</v>
      </c>
      <c r="B282" s="3283" t="s">
        <v>3066</v>
      </c>
      <c r="C282" s="3283" t="s">
        <v>3067</v>
      </c>
      <c r="D282" s="3283"/>
      <c r="E282" s="3283">
        <v>4405</v>
      </c>
      <c r="F282" s="3283" t="s">
        <v>3350</v>
      </c>
      <c r="G282" s="3283">
        <v>89.54</v>
      </c>
      <c r="H282" s="3283" t="s">
        <v>3069</v>
      </c>
      <c r="I282" s="3283" t="s">
        <v>3070</v>
      </c>
      <c r="J282" s="3283" t="s">
        <v>3071</v>
      </c>
    </row>
    <row r="283" spans="1:10">
      <c r="A283" s="3283">
        <v>281</v>
      </c>
      <c r="B283" s="3283" t="s">
        <v>3066</v>
      </c>
      <c r="C283" s="3283" t="s">
        <v>3067</v>
      </c>
      <c r="D283" s="3283"/>
      <c r="E283" s="3283">
        <v>4406</v>
      </c>
      <c r="F283" s="3283" t="s">
        <v>3351</v>
      </c>
      <c r="G283" s="3283">
        <v>51.69</v>
      </c>
      <c r="H283" s="3283" t="s">
        <v>3069</v>
      </c>
      <c r="I283" s="3283" t="s">
        <v>3070</v>
      </c>
      <c r="J283" s="3283" t="s">
        <v>3071</v>
      </c>
    </row>
    <row r="284" spans="1:10">
      <c r="A284" s="3283">
        <v>282</v>
      </c>
      <c r="B284" s="3283" t="s">
        <v>3066</v>
      </c>
      <c r="C284" s="3283" t="s">
        <v>3067</v>
      </c>
      <c r="D284" s="3283"/>
      <c r="E284" s="3283">
        <v>4407</v>
      </c>
      <c r="F284" s="3283" t="s">
        <v>3352</v>
      </c>
      <c r="G284" s="3283">
        <v>51.69</v>
      </c>
      <c r="H284" s="3283" t="s">
        <v>3069</v>
      </c>
      <c r="I284" s="3283" t="s">
        <v>3070</v>
      </c>
      <c r="J284" s="3283" t="s">
        <v>3071</v>
      </c>
    </row>
    <row r="285" spans="1:10">
      <c r="A285" s="3283">
        <v>283</v>
      </c>
      <c r="B285" s="3283" t="s">
        <v>3066</v>
      </c>
      <c r="C285" s="3283" t="s">
        <v>3067</v>
      </c>
      <c r="D285" s="3283"/>
      <c r="E285" s="3283">
        <v>4408</v>
      </c>
      <c r="F285" s="3283" t="s">
        <v>3353</v>
      </c>
      <c r="G285" s="3283">
        <v>51.69</v>
      </c>
      <c r="H285" s="3283" t="s">
        <v>3069</v>
      </c>
      <c r="I285" s="3283" t="s">
        <v>3070</v>
      </c>
      <c r="J285" s="3283" t="s">
        <v>3071</v>
      </c>
    </row>
    <row r="286" spans="1:10">
      <c r="A286" s="3283">
        <v>284</v>
      </c>
      <c r="B286" s="3283" t="s">
        <v>3066</v>
      </c>
      <c r="C286" s="3283" t="s">
        <v>3067</v>
      </c>
      <c r="D286" s="3283"/>
      <c r="E286" s="3283">
        <v>4409</v>
      </c>
      <c r="F286" s="3283" t="s">
        <v>3354</v>
      </c>
      <c r="G286" s="3283">
        <v>51.69</v>
      </c>
      <c r="H286" s="3283" t="s">
        <v>3069</v>
      </c>
      <c r="I286" s="3283" t="s">
        <v>3070</v>
      </c>
      <c r="J286" s="3283" t="s">
        <v>3071</v>
      </c>
    </row>
    <row r="287" spans="1:10">
      <c r="A287" s="3283">
        <v>285</v>
      </c>
      <c r="B287" s="3283" t="s">
        <v>3066</v>
      </c>
      <c r="C287" s="3283" t="s">
        <v>3067</v>
      </c>
      <c r="D287" s="3283"/>
      <c r="E287" s="3283">
        <v>4410</v>
      </c>
      <c r="F287" s="3283" t="s">
        <v>3355</v>
      </c>
      <c r="G287" s="3283">
        <v>51.69</v>
      </c>
      <c r="H287" s="3283" t="s">
        <v>3069</v>
      </c>
      <c r="I287" s="3283" t="s">
        <v>3070</v>
      </c>
      <c r="J287" s="3283" t="s">
        <v>3071</v>
      </c>
    </row>
    <row r="288" spans="1:10">
      <c r="A288" s="3283">
        <v>286</v>
      </c>
      <c r="B288" s="3283" t="s">
        <v>3066</v>
      </c>
      <c r="C288" s="3283" t="s">
        <v>3067</v>
      </c>
      <c r="D288" s="3283"/>
      <c r="E288" s="3283">
        <v>4411</v>
      </c>
      <c r="F288" s="3283" t="s">
        <v>3356</v>
      </c>
      <c r="G288" s="3283">
        <v>51.69</v>
      </c>
      <c r="H288" s="3283" t="s">
        <v>3069</v>
      </c>
      <c r="I288" s="3283" t="s">
        <v>3070</v>
      </c>
      <c r="J288" s="3283" t="s">
        <v>3071</v>
      </c>
    </row>
    <row r="289" spans="1:10">
      <c r="A289" s="3283">
        <v>287</v>
      </c>
      <c r="B289" s="3283" t="s">
        <v>3066</v>
      </c>
      <c r="C289" s="3283" t="s">
        <v>3067</v>
      </c>
      <c r="D289" s="3283"/>
      <c r="E289" s="3283">
        <v>4412</v>
      </c>
      <c r="F289" s="3283" t="s">
        <v>3357</v>
      </c>
      <c r="G289" s="3283">
        <v>89.54</v>
      </c>
      <c r="H289" s="3283" t="s">
        <v>3069</v>
      </c>
      <c r="I289" s="3283" t="s">
        <v>3070</v>
      </c>
      <c r="J289" s="3283" t="s">
        <v>3071</v>
      </c>
    </row>
    <row r="290" spans="1:10">
      <c r="A290" s="3283">
        <v>288</v>
      </c>
      <c r="B290" s="3283" t="s">
        <v>3066</v>
      </c>
      <c r="C290" s="3283" t="s">
        <v>3067</v>
      </c>
      <c r="D290" s="3283"/>
      <c r="E290" s="3283">
        <v>4413</v>
      </c>
      <c r="F290" s="3283" t="s">
        <v>3358</v>
      </c>
      <c r="G290" s="3283">
        <v>86.49</v>
      </c>
      <c r="H290" s="3283" t="s">
        <v>3069</v>
      </c>
      <c r="I290" s="3283" t="s">
        <v>3070</v>
      </c>
      <c r="J290" s="3283" t="s">
        <v>3071</v>
      </c>
    </row>
    <row r="291" spans="1:10">
      <c r="A291" s="3283">
        <v>289</v>
      </c>
      <c r="B291" s="3283" t="s">
        <v>3066</v>
      </c>
      <c r="C291" s="3283" t="s">
        <v>3067</v>
      </c>
      <c r="D291" s="3283"/>
      <c r="E291" s="3283">
        <v>4414</v>
      </c>
      <c r="F291" s="3283" t="s">
        <v>3359</v>
      </c>
      <c r="G291" s="3283">
        <v>52.49</v>
      </c>
      <c r="H291" s="3283" t="s">
        <v>3069</v>
      </c>
      <c r="I291" s="3283" t="s">
        <v>3070</v>
      </c>
      <c r="J291" s="3283" t="s">
        <v>3071</v>
      </c>
    </row>
    <row r="292" spans="1:10">
      <c r="A292" s="3283">
        <v>290</v>
      </c>
      <c r="B292" s="3283" t="s">
        <v>3066</v>
      </c>
      <c r="C292" s="3283" t="s">
        <v>3067</v>
      </c>
      <c r="D292" s="3283"/>
      <c r="E292" s="3283">
        <v>4415</v>
      </c>
      <c r="F292" s="3283" t="s">
        <v>3360</v>
      </c>
      <c r="G292" s="3283">
        <v>52.49</v>
      </c>
      <c r="H292" s="3283" t="s">
        <v>3069</v>
      </c>
      <c r="I292" s="3283" t="s">
        <v>3070</v>
      </c>
      <c r="J292" s="3283" t="s">
        <v>3071</v>
      </c>
    </row>
    <row r="293" spans="1:10">
      <c r="A293" s="3283">
        <v>291</v>
      </c>
      <c r="B293" s="3283" t="s">
        <v>3066</v>
      </c>
      <c r="C293" s="3283" t="s">
        <v>3067</v>
      </c>
      <c r="D293" s="3283"/>
      <c r="E293" s="3283">
        <v>4416</v>
      </c>
      <c r="F293" s="3283" t="s">
        <v>3361</v>
      </c>
      <c r="G293" s="3283">
        <v>52.49</v>
      </c>
      <c r="H293" s="3283" t="s">
        <v>3069</v>
      </c>
      <c r="I293" s="3283" t="s">
        <v>3070</v>
      </c>
      <c r="J293" s="3283" t="s">
        <v>3071</v>
      </c>
    </row>
    <row r="294" spans="1:10">
      <c r="A294" s="3283">
        <v>292</v>
      </c>
      <c r="B294" s="3283" t="s">
        <v>3066</v>
      </c>
      <c r="C294" s="3283" t="s">
        <v>3067</v>
      </c>
      <c r="D294" s="3283"/>
      <c r="E294" s="3283">
        <v>4417</v>
      </c>
      <c r="F294" s="3283" t="s">
        <v>3362</v>
      </c>
      <c r="G294" s="3283">
        <v>94.09</v>
      </c>
      <c r="H294" s="3283" t="s">
        <v>3069</v>
      </c>
      <c r="I294" s="3283" t="s">
        <v>3070</v>
      </c>
      <c r="J294" s="3283" t="s">
        <v>3071</v>
      </c>
    </row>
    <row r="295" spans="1:10">
      <c r="A295" s="3283">
        <v>293</v>
      </c>
      <c r="B295" s="3283" t="s">
        <v>3066</v>
      </c>
      <c r="C295" s="3283" t="s">
        <v>3067</v>
      </c>
      <c r="D295" s="3283"/>
      <c r="E295" s="3283">
        <v>4418</v>
      </c>
      <c r="F295" s="3283" t="s">
        <v>3363</v>
      </c>
      <c r="G295" s="3283">
        <v>52.22</v>
      </c>
      <c r="H295" s="3283" t="s">
        <v>3069</v>
      </c>
      <c r="I295" s="3283" t="s">
        <v>3070</v>
      </c>
      <c r="J295" s="3283" t="s">
        <v>3071</v>
      </c>
    </row>
    <row r="296" spans="1:10">
      <c r="A296" s="3283">
        <v>294</v>
      </c>
      <c r="B296" s="3283" t="s">
        <v>3066</v>
      </c>
      <c r="C296" s="3283" t="s">
        <v>3067</v>
      </c>
      <c r="D296" s="3283"/>
      <c r="E296" s="3283">
        <v>4419</v>
      </c>
      <c r="F296" s="3283" t="s">
        <v>3364</v>
      </c>
      <c r="G296" s="3283">
        <v>52.22</v>
      </c>
      <c r="H296" s="3283" t="s">
        <v>3069</v>
      </c>
      <c r="I296" s="3283" t="s">
        <v>3070</v>
      </c>
      <c r="J296" s="3283" t="s">
        <v>3071</v>
      </c>
    </row>
    <row r="297" spans="1:10">
      <c r="A297" s="3283">
        <v>295</v>
      </c>
      <c r="B297" s="3283" t="s">
        <v>3066</v>
      </c>
      <c r="C297" s="3283" t="s">
        <v>3067</v>
      </c>
      <c r="D297" s="3283"/>
      <c r="E297" s="3283">
        <v>4420</v>
      </c>
      <c r="F297" s="3283" t="s">
        <v>3365</v>
      </c>
      <c r="G297" s="3283">
        <v>52.22</v>
      </c>
      <c r="H297" s="3283" t="s">
        <v>3069</v>
      </c>
      <c r="I297" s="3283" t="s">
        <v>3070</v>
      </c>
      <c r="J297" s="3283" t="s">
        <v>3071</v>
      </c>
    </row>
    <row r="298" spans="1:10">
      <c r="A298" s="3283">
        <v>296</v>
      </c>
      <c r="B298" s="3283" t="s">
        <v>3066</v>
      </c>
      <c r="C298" s="3283" t="s">
        <v>3067</v>
      </c>
      <c r="D298" s="3283"/>
      <c r="E298" s="3283">
        <v>4421</v>
      </c>
      <c r="F298" s="3283" t="s">
        <v>3366</v>
      </c>
      <c r="G298" s="3283">
        <v>52.22</v>
      </c>
      <c r="H298" s="3283" t="s">
        <v>3069</v>
      </c>
      <c r="I298" s="3283" t="s">
        <v>3070</v>
      </c>
      <c r="J298" s="3283" t="s">
        <v>3071</v>
      </c>
    </row>
    <row r="299" spans="1:10">
      <c r="A299" s="3283">
        <v>297</v>
      </c>
      <c r="B299" s="3283" t="s">
        <v>3066</v>
      </c>
      <c r="C299" s="3283" t="s">
        <v>3067</v>
      </c>
      <c r="D299" s="3283"/>
      <c r="E299" s="3283">
        <v>4422</v>
      </c>
      <c r="F299" s="3283" t="s">
        <v>3367</v>
      </c>
      <c r="G299" s="3283">
        <v>52.22</v>
      </c>
      <c r="H299" s="3283" t="s">
        <v>3069</v>
      </c>
      <c r="I299" s="3283" t="s">
        <v>3070</v>
      </c>
      <c r="J299" s="3283" t="s">
        <v>3071</v>
      </c>
    </row>
    <row r="300" spans="1:10">
      <c r="A300" s="3283">
        <v>298</v>
      </c>
      <c r="B300" s="3283" t="s">
        <v>3066</v>
      </c>
      <c r="C300" s="3283" t="s">
        <v>3067</v>
      </c>
      <c r="D300" s="3283"/>
      <c r="E300" s="3283">
        <v>4423</v>
      </c>
      <c r="F300" s="3283" t="s">
        <v>3368</v>
      </c>
      <c r="G300" s="3283">
        <v>52.22</v>
      </c>
      <c r="H300" s="3283" t="s">
        <v>3069</v>
      </c>
      <c r="I300" s="3283" t="s">
        <v>3070</v>
      </c>
      <c r="J300" s="3283" t="s">
        <v>3071</v>
      </c>
    </row>
    <row r="301" spans="1:10">
      <c r="A301" s="3283">
        <v>299</v>
      </c>
      <c r="B301" s="3283" t="s">
        <v>3066</v>
      </c>
      <c r="C301" s="3283" t="s">
        <v>3067</v>
      </c>
      <c r="D301" s="3283"/>
      <c r="E301" s="3283">
        <v>4424</v>
      </c>
      <c r="F301" s="3283" t="s">
        <v>3369</v>
      </c>
      <c r="G301" s="3283">
        <v>94.09</v>
      </c>
      <c r="H301" s="3283" t="s">
        <v>3069</v>
      </c>
      <c r="I301" s="3283" t="s">
        <v>3070</v>
      </c>
      <c r="J301" s="3283" t="s">
        <v>3071</v>
      </c>
    </row>
    <row r="302" spans="1:10">
      <c r="A302" s="3283">
        <v>300</v>
      </c>
      <c r="B302" s="3283" t="s">
        <v>3066</v>
      </c>
      <c r="C302" s="3283" t="s">
        <v>3067</v>
      </c>
      <c r="D302" s="3283"/>
      <c r="E302" s="3283">
        <v>4501</v>
      </c>
      <c r="F302" s="3283" t="s">
        <v>3370</v>
      </c>
      <c r="G302" s="3283">
        <v>52.49</v>
      </c>
      <c r="H302" s="3283" t="s">
        <v>3069</v>
      </c>
      <c r="I302" s="3283" t="s">
        <v>3070</v>
      </c>
      <c r="J302" s="3283" t="s">
        <v>3071</v>
      </c>
    </row>
    <row r="303" spans="1:10">
      <c r="A303" s="3283">
        <v>301</v>
      </c>
      <c r="B303" s="3283" t="s">
        <v>3066</v>
      </c>
      <c r="C303" s="3283" t="s">
        <v>3067</v>
      </c>
      <c r="D303" s="3283"/>
      <c r="E303" s="3283">
        <v>4502</v>
      </c>
      <c r="F303" s="3283" t="s">
        <v>3371</v>
      </c>
      <c r="G303" s="3283">
        <v>52.49</v>
      </c>
      <c r="H303" s="3283" t="s">
        <v>3069</v>
      </c>
      <c r="I303" s="3283" t="s">
        <v>3070</v>
      </c>
      <c r="J303" s="3283" t="s">
        <v>3071</v>
      </c>
    </row>
    <row r="304" spans="1:10">
      <c r="A304" s="3283">
        <v>302</v>
      </c>
      <c r="B304" s="3283" t="s">
        <v>3066</v>
      </c>
      <c r="C304" s="3283" t="s">
        <v>3067</v>
      </c>
      <c r="D304" s="3283"/>
      <c r="E304" s="3283">
        <v>4503</v>
      </c>
      <c r="F304" s="3283" t="s">
        <v>3372</v>
      </c>
      <c r="G304" s="3283">
        <v>52.49</v>
      </c>
      <c r="H304" s="3283" t="s">
        <v>3069</v>
      </c>
      <c r="I304" s="3283" t="s">
        <v>3070</v>
      </c>
      <c r="J304" s="3283" t="s">
        <v>3071</v>
      </c>
    </row>
    <row r="305" spans="1:10">
      <c r="A305" s="3283">
        <v>303</v>
      </c>
      <c r="B305" s="3283" t="s">
        <v>3066</v>
      </c>
      <c r="C305" s="3283" t="s">
        <v>3067</v>
      </c>
      <c r="D305" s="3283"/>
      <c r="E305" s="3283">
        <v>4504</v>
      </c>
      <c r="F305" s="3283" t="s">
        <v>3373</v>
      </c>
      <c r="G305" s="3283">
        <v>86.49</v>
      </c>
      <c r="H305" s="3283" t="s">
        <v>3069</v>
      </c>
      <c r="I305" s="3283" t="s">
        <v>3070</v>
      </c>
      <c r="J305" s="3283" t="s">
        <v>3071</v>
      </c>
    </row>
    <row r="306" spans="1:10">
      <c r="A306" s="3283">
        <v>304</v>
      </c>
      <c r="B306" s="3283" t="s">
        <v>3066</v>
      </c>
      <c r="C306" s="3283" t="s">
        <v>3067</v>
      </c>
      <c r="D306" s="3283"/>
      <c r="E306" s="3283">
        <v>4505</v>
      </c>
      <c r="F306" s="3283" t="s">
        <v>3374</v>
      </c>
      <c r="G306" s="3283">
        <v>89.54</v>
      </c>
      <c r="H306" s="3283" t="s">
        <v>3069</v>
      </c>
      <c r="I306" s="3283" t="s">
        <v>3070</v>
      </c>
      <c r="J306" s="3283" t="s">
        <v>3071</v>
      </c>
    </row>
    <row r="307" spans="1:10">
      <c r="A307" s="3283">
        <v>305</v>
      </c>
      <c r="B307" s="3283" t="s">
        <v>3066</v>
      </c>
      <c r="C307" s="3283" t="s">
        <v>3067</v>
      </c>
      <c r="D307" s="3283"/>
      <c r="E307" s="3283">
        <v>4506</v>
      </c>
      <c r="F307" s="3283" t="s">
        <v>3375</v>
      </c>
      <c r="G307" s="3283">
        <v>51.69</v>
      </c>
      <c r="H307" s="3283" t="s">
        <v>3069</v>
      </c>
      <c r="I307" s="3283" t="s">
        <v>3070</v>
      </c>
      <c r="J307" s="3283" t="s">
        <v>3071</v>
      </c>
    </row>
    <row r="308" spans="1:10">
      <c r="A308" s="3283">
        <v>306</v>
      </c>
      <c r="B308" s="3283" t="s">
        <v>3066</v>
      </c>
      <c r="C308" s="3283" t="s">
        <v>3067</v>
      </c>
      <c r="D308" s="3283"/>
      <c r="E308" s="3283">
        <v>4507</v>
      </c>
      <c r="F308" s="3283" t="s">
        <v>3376</v>
      </c>
      <c r="G308" s="3283">
        <v>51.69</v>
      </c>
      <c r="H308" s="3283" t="s">
        <v>3069</v>
      </c>
      <c r="I308" s="3283" t="s">
        <v>3070</v>
      </c>
      <c r="J308" s="3283" t="s">
        <v>3071</v>
      </c>
    </row>
    <row r="309" spans="1:10">
      <c r="A309" s="3283">
        <v>307</v>
      </c>
      <c r="B309" s="3283" t="s">
        <v>3066</v>
      </c>
      <c r="C309" s="3283" t="s">
        <v>3067</v>
      </c>
      <c r="D309" s="3283"/>
      <c r="E309" s="3283">
        <v>4508</v>
      </c>
      <c r="F309" s="3283" t="s">
        <v>3377</v>
      </c>
      <c r="G309" s="3283">
        <v>51.69</v>
      </c>
      <c r="H309" s="3283" t="s">
        <v>3069</v>
      </c>
      <c r="I309" s="3283" t="s">
        <v>3070</v>
      </c>
      <c r="J309" s="3283" t="s">
        <v>3071</v>
      </c>
    </row>
    <row r="310" spans="1:10">
      <c r="A310" s="3283">
        <v>308</v>
      </c>
      <c r="B310" s="3283" t="s">
        <v>3066</v>
      </c>
      <c r="C310" s="3283" t="s">
        <v>3067</v>
      </c>
      <c r="D310" s="3283"/>
      <c r="E310" s="3283">
        <v>4509</v>
      </c>
      <c r="F310" s="3283" t="s">
        <v>3378</v>
      </c>
      <c r="G310" s="3283">
        <v>51.69</v>
      </c>
      <c r="H310" s="3283" t="s">
        <v>3069</v>
      </c>
      <c r="I310" s="3283" t="s">
        <v>3070</v>
      </c>
      <c r="J310" s="3283" t="s">
        <v>3071</v>
      </c>
    </row>
    <row r="311" spans="1:10">
      <c r="A311" s="3283">
        <v>309</v>
      </c>
      <c r="B311" s="3283" t="s">
        <v>3066</v>
      </c>
      <c r="C311" s="3283" t="s">
        <v>3067</v>
      </c>
      <c r="D311" s="3283"/>
      <c r="E311" s="3283">
        <v>4510</v>
      </c>
      <c r="F311" s="3283" t="s">
        <v>3379</v>
      </c>
      <c r="G311" s="3283">
        <v>51.69</v>
      </c>
      <c r="H311" s="3283" t="s">
        <v>3069</v>
      </c>
      <c r="I311" s="3283" t="s">
        <v>3070</v>
      </c>
      <c r="J311" s="3283" t="s">
        <v>3071</v>
      </c>
    </row>
    <row r="312" spans="1:10">
      <c r="A312" s="3283">
        <v>310</v>
      </c>
      <c r="B312" s="3283" t="s">
        <v>3066</v>
      </c>
      <c r="C312" s="3283" t="s">
        <v>3067</v>
      </c>
      <c r="D312" s="3283"/>
      <c r="E312" s="3283">
        <v>4511</v>
      </c>
      <c r="F312" s="3283" t="s">
        <v>3380</v>
      </c>
      <c r="G312" s="3283">
        <v>51.69</v>
      </c>
      <c r="H312" s="3283" t="s">
        <v>3069</v>
      </c>
      <c r="I312" s="3283" t="s">
        <v>3070</v>
      </c>
      <c r="J312" s="3283" t="s">
        <v>3071</v>
      </c>
    </row>
    <row r="313" spans="1:10">
      <c r="A313" s="3283">
        <v>311</v>
      </c>
      <c r="B313" s="3283" t="s">
        <v>3066</v>
      </c>
      <c r="C313" s="3283" t="s">
        <v>3067</v>
      </c>
      <c r="D313" s="3283"/>
      <c r="E313" s="3283">
        <v>4512</v>
      </c>
      <c r="F313" s="3283" t="s">
        <v>3381</v>
      </c>
      <c r="G313" s="3283">
        <v>89.54</v>
      </c>
      <c r="H313" s="3283" t="s">
        <v>3069</v>
      </c>
      <c r="I313" s="3283" t="s">
        <v>3070</v>
      </c>
      <c r="J313" s="3283" t="s">
        <v>3071</v>
      </c>
    </row>
    <row r="314" spans="1:10">
      <c r="A314" s="3283">
        <v>312</v>
      </c>
      <c r="B314" s="3283" t="s">
        <v>3066</v>
      </c>
      <c r="C314" s="3283" t="s">
        <v>3067</v>
      </c>
      <c r="D314" s="3283"/>
      <c r="E314" s="3283">
        <v>4513</v>
      </c>
      <c r="F314" s="3283" t="s">
        <v>3382</v>
      </c>
      <c r="G314" s="3283">
        <v>86.49</v>
      </c>
      <c r="H314" s="3283" t="s">
        <v>3069</v>
      </c>
      <c r="I314" s="3283" t="s">
        <v>3070</v>
      </c>
      <c r="J314" s="3283" t="s">
        <v>3071</v>
      </c>
    </row>
    <row r="315" spans="1:10">
      <c r="A315" s="3283">
        <v>313</v>
      </c>
      <c r="B315" s="3283" t="s">
        <v>3066</v>
      </c>
      <c r="C315" s="3283" t="s">
        <v>3067</v>
      </c>
      <c r="D315" s="3283"/>
      <c r="E315" s="3283">
        <v>4514</v>
      </c>
      <c r="F315" s="3283" t="s">
        <v>3383</v>
      </c>
      <c r="G315" s="3283">
        <v>52.49</v>
      </c>
      <c r="H315" s="3283" t="s">
        <v>3069</v>
      </c>
      <c r="I315" s="3283" t="s">
        <v>3070</v>
      </c>
      <c r="J315" s="3283" t="s">
        <v>3071</v>
      </c>
    </row>
    <row r="316" spans="1:10">
      <c r="A316" s="3283">
        <v>314</v>
      </c>
      <c r="B316" s="3283" t="s">
        <v>3066</v>
      </c>
      <c r="C316" s="3283" t="s">
        <v>3067</v>
      </c>
      <c r="D316" s="3283"/>
      <c r="E316" s="3283">
        <v>4515</v>
      </c>
      <c r="F316" s="3283" t="s">
        <v>3384</v>
      </c>
      <c r="G316" s="3283">
        <v>52.49</v>
      </c>
      <c r="H316" s="3283" t="s">
        <v>3069</v>
      </c>
      <c r="I316" s="3283" t="s">
        <v>3070</v>
      </c>
      <c r="J316" s="3283" t="s">
        <v>3071</v>
      </c>
    </row>
    <row r="317" spans="1:10">
      <c r="A317" s="3283">
        <v>315</v>
      </c>
      <c r="B317" s="3283" t="s">
        <v>3066</v>
      </c>
      <c r="C317" s="3283" t="s">
        <v>3067</v>
      </c>
      <c r="D317" s="3283"/>
      <c r="E317" s="3283">
        <v>4516</v>
      </c>
      <c r="F317" s="3283" t="s">
        <v>3385</v>
      </c>
      <c r="G317" s="3283">
        <v>52.49</v>
      </c>
      <c r="H317" s="3283" t="s">
        <v>3069</v>
      </c>
      <c r="I317" s="3283" t="s">
        <v>3070</v>
      </c>
      <c r="J317" s="3283" t="s">
        <v>3071</v>
      </c>
    </row>
    <row r="318" spans="1:10">
      <c r="A318" s="3283">
        <v>316</v>
      </c>
      <c r="B318" s="3283" t="s">
        <v>3066</v>
      </c>
      <c r="C318" s="3283" t="s">
        <v>3067</v>
      </c>
      <c r="D318" s="3283"/>
      <c r="E318" s="3283">
        <v>4517</v>
      </c>
      <c r="F318" s="3283" t="s">
        <v>3386</v>
      </c>
      <c r="G318" s="3283">
        <v>94.09</v>
      </c>
      <c r="H318" s="3283" t="s">
        <v>3069</v>
      </c>
      <c r="I318" s="3283" t="s">
        <v>3070</v>
      </c>
      <c r="J318" s="3283" t="s">
        <v>3071</v>
      </c>
    </row>
    <row r="319" spans="1:10">
      <c r="A319" s="3283">
        <v>317</v>
      </c>
      <c r="B319" s="3283" t="s">
        <v>3066</v>
      </c>
      <c r="C319" s="3283" t="s">
        <v>3067</v>
      </c>
      <c r="D319" s="3283"/>
      <c r="E319" s="3283">
        <v>4518</v>
      </c>
      <c r="F319" s="3283" t="s">
        <v>3387</v>
      </c>
      <c r="G319" s="3283">
        <v>52.22</v>
      </c>
      <c r="H319" s="3283" t="s">
        <v>3069</v>
      </c>
      <c r="I319" s="3283" t="s">
        <v>3070</v>
      </c>
      <c r="J319" s="3283" t="s">
        <v>3071</v>
      </c>
    </row>
    <row r="320" spans="1:10">
      <c r="A320" s="3283">
        <v>318</v>
      </c>
      <c r="B320" s="3283" t="s">
        <v>3066</v>
      </c>
      <c r="C320" s="3283" t="s">
        <v>3067</v>
      </c>
      <c r="D320" s="3283"/>
      <c r="E320" s="3283">
        <v>4519</v>
      </c>
      <c r="F320" s="3283" t="s">
        <v>3388</v>
      </c>
      <c r="G320" s="3283">
        <v>52.22</v>
      </c>
      <c r="H320" s="3283" t="s">
        <v>3069</v>
      </c>
      <c r="I320" s="3283" t="s">
        <v>3070</v>
      </c>
      <c r="J320" s="3283" t="s">
        <v>3071</v>
      </c>
    </row>
    <row r="321" spans="1:10">
      <c r="A321" s="3283">
        <v>319</v>
      </c>
      <c r="B321" s="3283" t="s">
        <v>3066</v>
      </c>
      <c r="C321" s="3283" t="s">
        <v>3067</v>
      </c>
      <c r="D321" s="3283"/>
      <c r="E321" s="3283">
        <v>4520</v>
      </c>
      <c r="F321" s="3283" t="s">
        <v>3389</v>
      </c>
      <c r="G321" s="3283">
        <v>52.22</v>
      </c>
      <c r="H321" s="3283" t="s">
        <v>3069</v>
      </c>
      <c r="I321" s="3283" t="s">
        <v>3070</v>
      </c>
      <c r="J321" s="3283" t="s">
        <v>3071</v>
      </c>
    </row>
    <row r="322" spans="1:10">
      <c r="A322" s="3283">
        <v>320</v>
      </c>
      <c r="B322" s="3283" t="s">
        <v>3066</v>
      </c>
      <c r="C322" s="3283" t="s">
        <v>3067</v>
      </c>
      <c r="D322" s="3283"/>
      <c r="E322" s="3283">
        <v>4521</v>
      </c>
      <c r="F322" s="3283" t="s">
        <v>3390</v>
      </c>
      <c r="G322" s="3283">
        <v>52.22</v>
      </c>
      <c r="H322" s="3283" t="s">
        <v>3069</v>
      </c>
      <c r="I322" s="3283" t="s">
        <v>3070</v>
      </c>
      <c r="J322" s="3283" t="s">
        <v>3071</v>
      </c>
    </row>
    <row r="323" spans="1:10">
      <c r="A323" s="3283">
        <v>321</v>
      </c>
      <c r="B323" s="3283" t="s">
        <v>3066</v>
      </c>
      <c r="C323" s="3283" t="s">
        <v>3067</v>
      </c>
      <c r="D323" s="3283"/>
      <c r="E323" s="3283">
        <v>4522</v>
      </c>
      <c r="F323" s="3283" t="s">
        <v>3391</v>
      </c>
      <c r="G323" s="3283">
        <v>52.22</v>
      </c>
      <c r="H323" s="3283" t="s">
        <v>3069</v>
      </c>
      <c r="I323" s="3283" t="s">
        <v>3070</v>
      </c>
      <c r="J323" s="3283" t="s">
        <v>3071</v>
      </c>
    </row>
    <row r="324" spans="1:10">
      <c r="A324" s="3283">
        <v>322</v>
      </c>
      <c r="B324" s="3283" t="s">
        <v>3066</v>
      </c>
      <c r="C324" s="3283" t="s">
        <v>3067</v>
      </c>
      <c r="D324" s="3283"/>
      <c r="E324" s="3283">
        <v>4523</v>
      </c>
      <c r="F324" s="3283" t="s">
        <v>3392</v>
      </c>
      <c r="G324" s="3283">
        <v>52.22</v>
      </c>
      <c r="H324" s="3283" t="s">
        <v>3069</v>
      </c>
      <c r="I324" s="3283" t="s">
        <v>3070</v>
      </c>
      <c r="J324" s="3283" t="s">
        <v>3071</v>
      </c>
    </row>
    <row r="325" spans="1:10">
      <c r="A325" s="3283">
        <v>323</v>
      </c>
      <c r="B325" s="3283" t="s">
        <v>3066</v>
      </c>
      <c r="C325" s="3283" t="s">
        <v>3067</v>
      </c>
      <c r="D325" s="3283"/>
      <c r="E325" s="3283">
        <v>4524</v>
      </c>
      <c r="F325" s="3283" t="s">
        <v>3393</v>
      </c>
      <c r="G325" s="3283">
        <v>94.09</v>
      </c>
      <c r="H325" s="3283" t="s">
        <v>3069</v>
      </c>
      <c r="I325" s="3283" t="s">
        <v>3070</v>
      </c>
      <c r="J325" s="3283" t="s">
        <v>3071</v>
      </c>
    </row>
    <row r="326" spans="1:10">
      <c r="A326" s="3283">
        <v>324</v>
      </c>
      <c r="B326" s="3283" t="s">
        <v>3066</v>
      </c>
      <c r="C326" s="3283" t="s">
        <v>3067</v>
      </c>
      <c r="D326" s="3283"/>
      <c r="E326" s="3283">
        <v>4601</v>
      </c>
      <c r="F326" s="3283" t="s">
        <v>3394</v>
      </c>
      <c r="G326" s="3283">
        <v>52.49</v>
      </c>
      <c r="H326" s="3283" t="s">
        <v>3069</v>
      </c>
      <c r="I326" s="3283" t="s">
        <v>3070</v>
      </c>
      <c r="J326" s="3283" t="s">
        <v>3071</v>
      </c>
    </row>
    <row r="327" spans="1:10">
      <c r="A327" s="3283">
        <v>325</v>
      </c>
      <c r="B327" s="3283" t="s">
        <v>3066</v>
      </c>
      <c r="C327" s="3283" t="s">
        <v>3067</v>
      </c>
      <c r="D327" s="3283"/>
      <c r="E327" s="3283">
        <v>4602</v>
      </c>
      <c r="F327" s="3283" t="s">
        <v>3395</v>
      </c>
      <c r="G327" s="3283">
        <v>52.49</v>
      </c>
      <c r="H327" s="3283" t="s">
        <v>3069</v>
      </c>
      <c r="I327" s="3283" t="s">
        <v>3070</v>
      </c>
      <c r="J327" s="3283" t="s">
        <v>3071</v>
      </c>
    </row>
    <row r="328" spans="1:10">
      <c r="A328" s="3283">
        <v>326</v>
      </c>
      <c r="B328" s="3283" t="s">
        <v>3066</v>
      </c>
      <c r="C328" s="3283" t="s">
        <v>3067</v>
      </c>
      <c r="D328" s="3283"/>
      <c r="E328" s="3283">
        <v>4603</v>
      </c>
      <c r="F328" s="3283" t="s">
        <v>3396</v>
      </c>
      <c r="G328" s="3283">
        <v>52.49</v>
      </c>
      <c r="H328" s="3283" t="s">
        <v>3069</v>
      </c>
      <c r="I328" s="3283" t="s">
        <v>3070</v>
      </c>
      <c r="J328" s="3283" t="s">
        <v>3071</v>
      </c>
    </row>
    <row r="329" spans="1:10">
      <c r="A329" s="3283">
        <v>327</v>
      </c>
      <c r="B329" s="3283" t="s">
        <v>3066</v>
      </c>
      <c r="C329" s="3283" t="s">
        <v>3067</v>
      </c>
      <c r="D329" s="3283"/>
      <c r="E329" s="3283">
        <v>4604</v>
      </c>
      <c r="F329" s="3283" t="s">
        <v>3397</v>
      </c>
      <c r="G329" s="3283">
        <v>86.49</v>
      </c>
      <c r="H329" s="3283" t="s">
        <v>3069</v>
      </c>
      <c r="I329" s="3283" t="s">
        <v>3070</v>
      </c>
      <c r="J329" s="3283" t="s">
        <v>3071</v>
      </c>
    </row>
    <row r="330" spans="1:10">
      <c r="A330" s="3283">
        <v>328</v>
      </c>
      <c r="B330" s="3283" t="s">
        <v>3066</v>
      </c>
      <c r="C330" s="3283" t="s">
        <v>3067</v>
      </c>
      <c r="D330" s="3283"/>
      <c r="E330" s="3283">
        <v>4605</v>
      </c>
      <c r="F330" s="3283" t="s">
        <v>3398</v>
      </c>
      <c r="G330" s="3283">
        <v>89.54</v>
      </c>
      <c r="H330" s="3283" t="s">
        <v>3069</v>
      </c>
      <c r="I330" s="3283" t="s">
        <v>3070</v>
      </c>
      <c r="J330" s="3283" t="s">
        <v>3071</v>
      </c>
    </row>
    <row r="331" spans="1:10">
      <c r="A331" s="3283">
        <v>329</v>
      </c>
      <c r="B331" s="3283" t="s">
        <v>3066</v>
      </c>
      <c r="C331" s="3283" t="s">
        <v>3067</v>
      </c>
      <c r="D331" s="3283"/>
      <c r="E331" s="3283">
        <v>4606</v>
      </c>
      <c r="F331" s="3283" t="s">
        <v>3399</v>
      </c>
      <c r="G331" s="3283">
        <v>51.69</v>
      </c>
      <c r="H331" s="3283" t="s">
        <v>3069</v>
      </c>
      <c r="I331" s="3283" t="s">
        <v>3070</v>
      </c>
      <c r="J331" s="3283" t="s">
        <v>3071</v>
      </c>
    </row>
    <row r="332" spans="1:10">
      <c r="A332" s="3283">
        <v>330</v>
      </c>
      <c r="B332" s="3283" t="s">
        <v>3066</v>
      </c>
      <c r="C332" s="3283" t="s">
        <v>3067</v>
      </c>
      <c r="D332" s="3283"/>
      <c r="E332" s="3283">
        <v>4607</v>
      </c>
      <c r="F332" s="3283" t="s">
        <v>3400</v>
      </c>
      <c r="G332" s="3283">
        <v>51.69</v>
      </c>
      <c r="H332" s="3283" t="s">
        <v>3069</v>
      </c>
      <c r="I332" s="3283" t="s">
        <v>3070</v>
      </c>
      <c r="J332" s="3283" t="s">
        <v>3071</v>
      </c>
    </row>
    <row r="333" spans="1:10">
      <c r="A333" s="3283">
        <v>331</v>
      </c>
      <c r="B333" s="3283" t="s">
        <v>3066</v>
      </c>
      <c r="C333" s="3283" t="s">
        <v>3067</v>
      </c>
      <c r="D333" s="3283"/>
      <c r="E333" s="3283">
        <v>4608</v>
      </c>
      <c r="F333" s="3283" t="s">
        <v>3401</v>
      </c>
      <c r="G333" s="3283">
        <v>51.69</v>
      </c>
      <c r="H333" s="3283" t="s">
        <v>3069</v>
      </c>
      <c r="I333" s="3283" t="s">
        <v>3070</v>
      </c>
      <c r="J333" s="3283" t="s">
        <v>3071</v>
      </c>
    </row>
    <row r="334" spans="1:10">
      <c r="A334" s="3283">
        <v>332</v>
      </c>
      <c r="B334" s="3283" t="s">
        <v>3066</v>
      </c>
      <c r="C334" s="3283" t="s">
        <v>3067</v>
      </c>
      <c r="D334" s="3283"/>
      <c r="E334" s="3283">
        <v>4609</v>
      </c>
      <c r="F334" s="3283" t="s">
        <v>3402</v>
      </c>
      <c r="G334" s="3283">
        <v>51.69</v>
      </c>
      <c r="H334" s="3283" t="s">
        <v>3069</v>
      </c>
      <c r="I334" s="3283" t="s">
        <v>3070</v>
      </c>
      <c r="J334" s="3283" t="s">
        <v>3071</v>
      </c>
    </row>
    <row r="335" spans="1:10">
      <c r="A335" s="3283">
        <v>333</v>
      </c>
      <c r="B335" s="3283" t="s">
        <v>3066</v>
      </c>
      <c r="C335" s="3283" t="s">
        <v>3067</v>
      </c>
      <c r="D335" s="3283"/>
      <c r="E335" s="3283">
        <v>4610</v>
      </c>
      <c r="F335" s="3283" t="s">
        <v>3403</v>
      </c>
      <c r="G335" s="3283">
        <v>51.69</v>
      </c>
      <c r="H335" s="3283" t="s">
        <v>3069</v>
      </c>
      <c r="I335" s="3283" t="s">
        <v>3070</v>
      </c>
      <c r="J335" s="3283" t="s">
        <v>3071</v>
      </c>
    </row>
    <row r="336" spans="1:10">
      <c r="A336" s="3283">
        <v>334</v>
      </c>
      <c r="B336" s="3283" t="s">
        <v>3066</v>
      </c>
      <c r="C336" s="3283" t="s">
        <v>3067</v>
      </c>
      <c r="D336" s="3283"/>
      <c r="E336" s="3283">
        <v>4611</v>
      </c>
      <c r="F336" s="3283" t="s">
        <v>3404</v>
      </c>
      <c r="G336" s="3283">
        <v>51.69</v>
      </c>
      <c r="H336" s="3283" t="s">
        <v>3069</v>
      </c>
      <c r="I336" s="3283" t="s">
        <v>3070</v>
      </c>
      <c r="J336" s="3283" t="s">
        <v>3071</v>
      </c>
    </row>
    <row r="337" spans="1:10">
      <c r="A337" s="3283">
        <v>335</v>
      </c>
      <c r="B337" s="3283" t="s">
        <v>3066</v>
      </c>
      <c r="C337" s="3283" t="s">
        <v>3067</v>
      </c>
      <c r="D337" s="3283"/>
      <c r="E337" s="3283">
        <v>4612</v>
      </c>
      <c r="F337" s="3283" t="s">
        <v>3405</v>
      </c>
      <c r="G337" s="3283">
        <v>89.54</v>
      </c>
      <c r="H337" s="3283" t="s">
        <v>3069</v>
      </c>
      <c r="I337" s="3283" t="s">
        <v>3070</v>
      </c>
      <c r="J337" s="3283" t="s">
        <v>3071</v>
      </c>
    </row>
    <row r="338" spans="1:10">
      <c r="A338" s="3283">
        <v>336</v>
      </c>
      <c r="B338" s="3283" t="s">
        <v>3066</v>
      </c>
      <c r="C338" s="3283" t="s">
        <v>3067</v>
      </c>
      <c r="D338" s="3283"/>
      <c r="E338" s="3283">
        <v>4613</v>
      </c>
      <c r="F338" s="3283" t="s">
        <v>3406</v>
      </c>
      <c r="G338" s="3283">
        <v>86.49</v>
      </c>
      <c r="H338" s="3283" t="s">
        <v>3069</v>
      </c>
      <c r="I338" s="3283" t="s">
        <v>3070</v>
      </c>
      <c r="J338" s="3283" t="s">
        <v>3071</v>
      </c>
    </row>
    <row r="339" spans="1:10">
      <c r="A339" s="3283">
        <v>337</v>
      </c>
      <c r="B339" s="3283" t="s">
        <v>3066</v>
      </c>
      <c r="C339" s="3283" t="s">
        <v>3067</v>
      </c>
      <c r="D339" s="3283"/>
      <c r="E339" s="3283">
        <v>4614</v>
      </c>
      <c r="F339" s="3283" t="s">
        <v>3407</v>
      </c>
      <c r="G339" s="3283">
        <v>52.49</v>
      </c>
      <c r="H339" s="3283" t="s">
        <v>3069</v>
      </c>
      <c r="I339" s="3283" t="s">
        <v>3070</v>
      </c>
      <c r="J339" s="3283" t="s">
        <v>3071</v>
      </c>
    </row>
    <row r="340" spans="1:10">
      <c r="A340" s="3283">
        <v>338</v>
      </c>
      <c r="B340" s="3283" t="s">
        <v>3066</v>
      </c>
      <c r="C340" s="3283" t="s">
        <v>3067</v>
      </c>
      <c r="D340" s="3283"/>
      <c r="E340" s="3283">
        <v>4615</v>
      </c>
      <c r="F340" s="3283" t="s">
        <v>3408</v>
      </c>
      <c r="G340" s="3283">
        <v>52.49</v>
      </c>
      <c r="H340" s="3283" t="s">
        <v>3069</v>
      </c>
      <c r="I340" s="3283" t="s">
        <v>3070</v>
      </c>
      <c r="J340" s="3283" t="s">
        <v>3071</v>
      </c>
    </row>
    <row r="341" spans="1:10">
      <c r="A341" s="3283">
        <v>339</v>
      </c>
      <c r="B341" s="3283" t="s">
        <v>3066</v>
      </c>
      <c r="C341" s="3283" t="s">
        <v>3067</v>
      </c>
      <c r="D341" s="3283"/>
      <c r="E341" s="3283">
        <v>4616</v>
      </c>
      <c r="F341" s="3283" t="s">
        <v>3409</v>
      </c>
      <c r="G341" s="3283">
        <v>52.49</v>
      </c>
      <c r="H341" s="3283" t="s">
        <v>3069</v>
      </c>
      <c r="I341" s="3283" t="s">
        <v>3070</v>
      </c>
      <c r="J341" s="3283" t="s">
        <v>3071</v>
      </c>
    </row>
    <row r="342" spans="1:10">
      <c r="A342" s="3283">
        <v>340</v>
      </c>
      <c r="B342" s="3283" t="s">
        <v>3066</v>
      </c>
      <c r="C342" s="3283" t="s">
        <v>3067</v>
      </c>
      <c r="D342" s="3283"/>
      <c r="E342" s="3283">
        <v>4617</v>
      </c>
      <c r="F342" s="3283" t="s">
        <v>3410</v>
      </c>
      <c r="G342" s="3283">
        <v>94.09</v>
      </c>
      <c r="H342" s="3283" t="s">
        <v>3069</v>
      </c>
      <c r="I342" s="3283" t="s">
        <v>3070</v>
      </c>
      <c r="J342" s="3283" t="s">
        <v>3071</v>
      </c>
    </row>
    <row r="343" spans="1:10">
      <c r="A343" s="3283">
        <v>341</v>
      </c>
      <c r="B343" s="3283" t="s">
        <v>3066</v>
      </c>
      <c r="C343" s="3283" t="s">
        <v>3067</v>
      </c>
      <c r="D343" s="3283"/>
      <c r="E343" s="3283">
        <v>4618</v>
      </c>
      <c r="F343" s="3283" t="s">
        <v>3411</v>
      </c>
      <c r="G343" s="3283">
        <v>52.22</v>
      </c>
      <c r="H343" s="3283" t="s">
        <v>3069</v>
      </c>
      <c r="I343" s="3283" t="s">
        <v>3070</v>
      </c>
      <c r="J343" s="3283" t="s">
        <v>3071</v>
      </c>
    </row>
    <row r="344" spans="1:10">
      <c r="A344" s="3283">
        <v>342</v>
      </c>
      <c r="B344" s="3283" t="s">
        <v>3066</v>
      </c>
      <c r="C344" s="3283" t="s">
        <v>3067</v>
      </c>
      <c r="D344" s="3283"/>
      <c r="E344" s="3283">
        <v>4619</v>
      </c>
      <c r="F344" s="3283" t="s">
        <v>3412</v>
      </c>
      <c r="G344" s="3283">
        <v>52.22</v>
      </c>
      <c r="H344" s="3283" t="s">
        <v>3069</v>
      </c>
      <c r="I344" s="3283" t="s">
        <v>3070</v>
      </c>
      <c r="J344" s="3283" t="s">
        <v>3071</v>
      </c>
    </row>
    <row r="345" spans="1:10">
      <c r="A345" s="3283">
        <v>343</v>
      </c>
      <c r="B345" s="3283" t="s">
        <v>3066</v>
      </c>
      <c r="C345" s="3283" t="s">
        <v>3067</v>
      </c>
      <c r="D345" s="3283"/>
      <c r="E345" s="3283">
        <v>4620</v>
      </c>
      <c r="F345" s="3283" t="s">
        <v>3413</v>
      </c>
      <c r="G345" s="3283">
        <v>52.22</v>
      </c>
      <c r="H345" s="3283" t="s">
        <v>3069</v>
      </c>
      <c r="I345" s="3283" t="s">
        <v>3070</v>
      </c>
      <c r="J345" s="3283" t="s">
        <v>3071</v>
      </c>
    </row>
    <row r="346" spans="1:10">
      <c r="A346" s="3283">
        <v>344</v>
      </c>
      <c r="B346" s="3283" t="s">
        <v>3066</v>
      </c>
      <c r="C346" s="3283" t="s">
        <v>3067</v>
      </c>
      <c r="D346" s="3283"/>
      <c r="E346" s="3283">
        <v>4621</v>
      </c>
      <c r="F346" s="3283" t="s">
        <v>3414</v>
      </c>
      <c r="G346" s="3283">
        <v>52.22</v>
      </c>
      <c r="H346" s="3283" t="s">
        <v>3069</v>
      </c>
      <c r="I346" s="3283" t="s">
        <v>3070</v>
      </c>
      <c r="J346" s="3283" t="s">
        <v>3071</v>
      </c>
    </row>
    <row r="347" spans="1:10">
      <c r="A347" s="3283">
        <v>345</v>
      </c>
      <c r="B347" s="3283" t="s">
        <v>3066</v>
      </c>
      <c r="C347" s="3283" t="s">
        <v>3067</v>
      </c>
      <c r="D347" s="3283"/>
      <c r="E347" s="3283">
        <v>4622</v>
      </c>
      <c r="F347" s="3283" t="s">
        <v>3415</v>
      </c>
      <c r="G347" s="3283">
        <v>52.22</v>
      </c>
      <c r="H347" s="3283" t="s">
        <v>3069</v>
      </c>
      <c r="I347" s="3283" t="s">
        <v>3070</v>
      </c>
      <c r="J347" s="3283" t="s">
        <v>3071</v>
      </c>
    </row>
    <row r="348" spans="1:10">
      <c r="A348" s="3283">
        <v>346</v>
      </c>
      <c r="B348" s="3283" t="s">
        <v>3066</v>
      </c>
      <c r="C348" s="3283" t="s">
        <v>3067</v>
      </c>
      <c r="D348" s="3283"/>
      <c r="E348" s="3283">
        <v>4623</v>
      </c>
      <c r="F348" s="3283" t="s">
        <v>3416</v>
      </c>
      <c r="G348" s="3283">
        <v>52.22</v>
      </c>
      <c r="H348" s="3283" t="s">
        <v>3069</v>
      </c>
      <c r="I348" s="3283" t="s">
        <v>3070</v>
      </c>
      <c r="J348" s="3283" t="s">
        <v>3071</v>
      </c>
    </row>
    <row r="349" spans="1:10">
      <c r="A349" s="3283">
        <v>347</v>
      </c>
      <c r="B349" s="3283" t="s">
        <v>3066</v>
      </c>
      <c r="C349" s="3283" t="s">
        <v>3067</v>
      </c>
      <c r="D349" s="3283"/>
      <c r="E349" s="3283">
        <v>4624</v>
      </c>
      <c r="F349" s="3283" t="s">
        <v>3417</v>
      </c>
      <c r="G349" s="3283">
        <v>94.09</v>
      </c>
      <c r="H349" s="3283" t="s">
        <v>3069</v>
      </c>
      <c r="I349" s="3283" t="s">
        <v>3070</v>
      </c>
      <c r="J349" s="3283" t="s">
        <v>3071</v>
      </c>
    </row>
    <row r="350" spans="1:10">
      <c r="A350" s="3283">
        <v>348</v>
      </c>
      <c r="B350" s="3283" t="s">
        <v>3066</v>
      </c>
      <c r="C350" s="3283" t="s">
        <v>3067</v>
      </c>
      <c r="D350" s="3283"/>
      <c r="E350" s="3283">
        <v>4701</v>
      </c>
      <c r="F350" s="3283" t="s">
        <v>3418</v>
      </c>
      <c r="G350" s="3283">
        <v>52.49</v>
      </c>
      <c r="H350" s="3283" t="s">
        <v>3069</v>
      </c>
      <c r="I350" s="3283" t="s">
        <v>3070</v>
      </c>
      <c r="J350" s="3283" t="s">
        <v>3071</v>
      </c>
    </row>
    <row r="351" spans="1:10">
      <c r="A351" s="3283">
        <v>349</v>
      </c>
      <c r="B351" s="3283" t="s">
        <v>3066</v>
      </c>
      <c r="C351" s="3283" t="s">
        <v>3067</v>
      </c>
      <c r="D351" s="3283"/>
      <c r="E351" s="3283">
        <v>4702</v>
      </c>
      <c r="F351" s="3283" t="s">
        <v>3419</v>
      </c>
      <c r="G351" s="3283">
        <v>52.49</v>
      </c>
      <c r="H351" s="3283" t="s">
        <v>3069</v>
      </c>
      <c r="I351" s="3283" t="s">
        <v>3070</v>
      </c>
      <c r="J351" s="3283" t="s">
        <v>3071</v>
      </c>
    </row>
    <row r="352" spans="1:10">
      <c r="A352" s="3283">
        <v>350</v>
      </c>
      <c r="B352" s="3283" t="s">
        <v>3066</v>
      </c>
      <c r="C352" s="3283" t="s">
        <v>3067</v>
      </c>
      <c r="D352" s="3283"/>
      <c r="E352" s="3283">
        <v>4703</v>
      </c>
      <c r="F352" s="3283" t="s">
        <v>3420</v>
      </c>
      <c r="G352" s="3283">
        <v>52.49</v>
      </c>
      <c r="H352" s="3283" t="s">
        <v>3069</v>
      </c>
      <c r="I352" s="3283" t="s">
        <v>3070</v>
      </c>
      <c r="J352" s="3283" t="s">
        <v>3071</v>
      </c>
    </row>
    <row r="353" spans="1:10">
      <c r="A353" s="3283">
        <v>351</v>
      </c>
      <c r="B353" s="3283" t="s">
        <v>3066</v>
      </c>
      <c r="C353" s="3283" t="s">
        <v>3067</v>
      </c>
      <c r="D353" s="3283"/>
      <c r="E353" s="3283">
        <v>4704</v>
      </c>
      <c r="F353" s="3283" t="s">
        <v>3421</v>
      </c>
      <c r="G353" s="3283">
        <v>86.49</v>
      </c>
      <c r="H353" s="3283" t="s">
        <v>3069</v>
      </c>
      <c r="I353" s="3283" t="s">
        <v>3070</v>
      </c>
      <c r="J353" s="3283" t="s">
        <v>3071</v>
      </c>
    </row>
    <row r="354" spans="1:10">
      <c r="A354" s="3283">
        <v>352</v>
      </c>
      <c r="B354" s="3283" t="s">
        <v>3066</v>
      </c>
      <c r="C354" s="3283" t="s">
        <v>3067</v>
      </c>
      <c r="D354" s="3283"/>
      <c r="E354" s="3283">
        <v>4705</v>
      </c>
      <c r="F354" s="3283" t="s">
        <v>3422</v>
      </c>
      <c r="G354" s="3283">
        <v>89.54</v>
      </c>
      <c r="H354" s="3283" t="s">
        <v>3069</v>
      </c>
      <c r="I354" s="3283" t="s">
        <v>3070</v>
      </c>
      <c r="J354" s="3283" t="s">
        <v>3071</v>
      </c>
    </row>
    <row r="355" spans="1:10">
      <c r="A355" s="3283">
        <v>353</v>
      </c>
      <c r="B355" s="3283" t="s">
        <v>3066</v>
      </c>
      <c r="C355" s="3283" t="s">
        <v>3067</v>
      </c>
      <c r="D355" s="3283"/>
      <c r="E355" s="3283">
        <v>4706</v>
      </c>
      <c r="F355" s="3283" t="s">
        <v>3423</v>
      </c>
      <c r="G355" s="3283">
        <v>51.69</v>
      </c>
      <c r="H355" s="3283" t="s">
        <v>3069</v>
      </c>
      <c r="I355" s="3283" t="s">
        <v>3070</v>
      </c>
      <c r="J355" s="3283" t="s">
        <v>3071</v>
      </c>
    </row>
    <row r="356" spans="1:10">
      <c r="A356" s="3283">
        <v>354</v>
      </c>
      <c r="B356" s="3283" t="s">
        <v>3066</v>
      </c>
      <c r="C356" s="3283" t="s">
        <v>3067</v>
      </c>
      <c r="D356" s="3283"/>
      <c r="E356" s="3283">
        <v>4707</v>
      </c>
      <c r="F356" s="3283" t="s">
        <v>3424</v>
      </c>
      <c r="G356" s="3283">
        <v>51.69</v>
      </c>
      <c r="H356" s="3283" t="s">
        <v>3069</v>
      </c>
      <c r="I356" s="3283" t="s">
        <v>3070</v>
      </c>
      <c r="J356" s="3283" t="s">
        <v>3071</v>
      </c>
    </row>
    <row r="357" spans="1:10">
      <c r="A357" s="3283">
        <v>355</v>
      </c>
      <c r="B357" s="3283" t="s">
        <v>3066</v>
      </c>
      <c r="C357" s="3283" t="s">
        <v>3067</v>
      </c>
      <c r="D357" s="3283"/>
      <c r="E357" s="3283">
        <v>4708</v>
      </c>
      <c r="F357" s="3283" t="s">
        <v>3425</v>
      </c>
      <c r="G357" s="3283">
        <v>51.69</v>
      </c>
      <c r="H357" s="3283" t="s">
        <v>3069</v>
      </c>
      <c r="I357" s="3283" t="s">
        <v>3070</v>
      </c>
      <c r="J357" s="3283" t="s">
        <v>3071</v>
      </c>
    </row>
    <row r="358" spans="1:10">
      <c r="A358" s="3283">
        <v>356</v>
      </c>
      <c r="B358" s="3283" t="s">
        <v>3066</v>
      </c>
      <c r="C358" s="3283" t="s">
        <v>3067</v>
      </c>
      <c r="D358" s="3283"/>
      <c r="E358" s="3283">
        <v>4709</v>
      </c>
      <c r="F358" s="3283" t="s">
        <v>3426</v>
      </c>
      <c r="G358" s="3283">
        <v>51.69</v>
      </c>
      <c r="H358" s="3283" t="s">
        <v>3069</v>
      </c>
      <c r="I358" s="3283" t="s">
        <v>3070</v>
      </c>
      <c r="J358" s="3283" t="s">
        <v>3071</v>
      </c>
    </row>
    <row r="359" spans="1:10">
      <c r="A359" s="3283">
        <v>357</v>
      </c>
      <c r="B359" s="3283" t="s">
        <v>3066</v>
      </c>
      <c r="C359" s="3283" t="s">
        <v>3067</v>
      </c>
      <c r="D359" s="3283"/>
      <c r="E359" s="3283">
        <v>4710</v>
      </c>
      <c r="F359" s="3283" t="s">
        <v>3427</v>
      </c>
      <c r="G359" s="3283">
        <v>51.69</v>
      </c>
      <c r="H359" s="3283" t="s">
        <v>3069</v>
      </c>
      <c r="I359" s="3283" t="s">
        <v>3070</v>
      </c>
      <c r="J359" s="3283" t="s">
        <v>3071</v>
      </c>
    </row>
    <row r="360" spans="1:10">
      <c r="A360" s="3283">
        <v>358</v>
      </c>
      <c r="B360" s="3283" t="s">
        <v>3066</v>
      </c>
      <c r="C360" s="3283" t="s">
        <v>3067</v>
      </c>
      <c r="D360" s="3283"/>
      <c r="E360" s="3283">
        <v>4711</v>
      </c>
      <c r="F360" s="3283" t="s">
        <v>3428</v>
      </c>
      <c r="G360" s="3283">
        <v>51.69</v>
      </c>
      <c r="H360" s="3283" t="s">
        <v>3069</v>
      </c>
      <c r="I360" s="3283" t="s">
        <v>3070</v>
      </c>
      <c r="J360" s="3283" t="s">
        <v>3071</v>
      </c>
    </row>
    <row r="361" spans="1:10">
      <c r="A361" s="3283">
        <v>359</v>
      </c>
      <c r="B361" s="3283" t="s">
        <v>3066</v>
      </c>
      <c r="C361" s="3283" t="s">
        <v>3067</v>
      </c>
      <c r="D361" s="3283"/>
      <c r="E361" s="3283">
        <v>4712</v>
      </c>
      <c r="F361" s="3283" t="s">
        <v>3429</v>
      </c>
      <c r="G361" s="3283">
        <v>89.54</v>
      </c>
      <c r="H361" s="3283" t="s">
        <v>3069</v>
      </c>
      <c r="I361" s="3283" t="s">
        <v>3070</v>
      </c>
      <c r="J361" s="3283" t="s">
        <v>3071</v>
      </c>
    </row>
    <row r="362" spans="1:10">
      <c r="A362" s="3283">
        <v>360</v>
      </c>
      <c r="B362" s="3283" t="s">
        <v>3066</v>
      </c>
      <c r="C362" s="3283" t="s">
        <v>3067</v>
      </c>
      <c r="D362" s="3283"/>
      <c r="E362" s="3283">
        <v>4713</v>
      </c>
      <c r="F362" s="3283" t="s">
        <v>3430</v>
      </c>
      <c r="G362" s="3283">
        <v>86.49</v>
      </c>
      <c r="H362" s="3283" t="s">
        <v>3069</v>
      </c>
      <c r="I362" s="3283" t="s">
        <v>3070</v>
      </c>
      <c r="J362" s="3283" t="s">
        <v>3071</v>
      </c>
    </row>
    <row r="363" spans="1:10">
      <c r="A363" s="3283">
        <v>361</v>
      </c>
      <c r="B363" s="3283" t="s">
        <v>3066</v>
      </c>
      <c r="C363" s="3283" t="s">
        <v>3067</v>
      </c>
      <c r="D363" s="3283"/>
      <c r="E363" s="3283">
        <v>4714</v>
      </c>
      <c r="F363" s="3283" t="s">
        <v>3431</v>
      </c>
      <c r="G363" s="3283">
        <v>52.49</v>
      </c>
      <c r="H363" s="3283" t="s">
        <v>3069</v>
      </c>
      <c r="I363" s="3283" t="s">
        <v>3070</v>
      </c>
      <c r="J363" s="3283" t="s">
        <v>3071</v>
      </c>
    </row>
    <row r="364" spans="1:10">
      <c r="A364" s="3283">
        <v>362</v>
      </c>
      <c r="B364" s="3283" t="s">
        <v>3066</v>
      </c>
      <c r="C364" s="3283" t="s">
        <v>3067</v>
      </c>
      <c r="D364" s="3283"/>
      <c r="E364" s="3283">
        <v>4715</v>
      </c>
      <c r="F364" s="3283" t="s">
        <v>3432</v>
      </c>
      <c r="G364" s="3283">
        <v>52.49</v>
      </c>
      <c r="H364" s="3283" t="s">
        <v>3069</v>
      </c>
      <c r="I364" s="3283" t="s">
        <v>3070</v>
      </c>
      <c r="J364" s="3283" t="s">
        <v>3071</v>
      </c>
    </row>
    <row r="365" spans="1:10">
      <c r="A365" s="3283">
        <v>363</v>
      </c>
      <c r="B365" s="3283" t="s">
        <v>3066</v>
      </c>
      <c r="C365" s="3283" t="s">
        <v>3067</v>
      </c>
      <c r="D365" s="3283"/>
      <c r="E365" s="3283">
        <v>4716</v>
      </c>
      <c r="F365" s="3283" t="s">
        <v>3433</v>
      </c>
      <c r="G365" s="3283">
        <v>52.49</v>
      </c>
      <c r="H365" s="3283" t="s">
        <v>3069</v>
      </c>
      <c r="I365" s="3283" t="s">
        <v>3070</v>
      </c>
      <c r="J365" s="3283" t="s">
        <v>3071</v>
      </c>
    </row>
    <row r="366" spans="1:10">
      <c r="A366" s="3283">
        <v>364</v>
      </c>
      <c r="B366" s="3283" t="s">
        <v>3066</v>
      </c>
      <c r="C366" s="3283" t="s">
        <v>3067</v>
      </c>
      <c r="D366" s="3283"/>
      <c r="E366" s="3283">
        <v>4717</v>
      </c>
      <c r="F366" s="3283" t="s">
        <v>3434</v>
      </c>
      <c r="G366" s="3283">
        <v>94.09</v>
      </c>
      <c r="H366" s="3283" t="s">
        <v>3069</v>
      </c>
      <c r="I366" s="3283" t="s">
        <v>3070</v>
      </c>
      <c r="J366" s="3283" t="s">
        <v>3071</v>
      </c>
    </row>
    <row r="367" spans="1:10">
      <c r="A367" s="3283">
        <v>365</v>
      </c>
      <c r="B367" s="3283" t="s">
        <v>3066</v>
      </c>
      <c r="C367" s="3283" t="s">
        <v>3067</v>
      </c>
      <c r="D367" s="3283"/>
      <c r="E367" s="3283">
        <v>4718</v>
      </c>
      <c r="F367" s="3283" t="s">
        <v>3435</v>
      </c>
      <c r="G367" s="3283">
        <v>52.22</v>
      </c>
      <c r="H367" s="3283" t="s">
        <v>3069</v>
      </c>
      <c r="I367" s="3283" t="s">
        <v>3070</v>
      </c>
      <c r="J367" s="3283" t="s">
        <v>3071</v>
      </c>
    </row>
    <row r="368" spans="1:10">
      <c r="A368" s="3283">
        <v>366</v>
      </c>
      <c r="B368" s="3283" t="s">
        <v>3066</v>
      </c>
      <c r="C368" s="3283" t="s">
        <v>3067</v>
      </c>
      <c r="D368" s="3283"/>
      <c r="E368" s="3283">
        <v>4719</v>
      </c>
      <c r="F368" s="3283" t="s">
        <v>3436</v>
      </c>
      <c r="G368" s="3283">
        <v>52.22</v>
      </c>
      <c r="H368" s="3283" t="s">
        <v>3069</v>
      </c>
      <c r="I368" s="3283" t="s">
        <v>3070</v>
      </c>
      <c r="J368" s="3283" t="s">
        <v>3071</v>
      </c>
    </row>
    <row r="369" spans="1:10">
      <c r="A369" s="3283">
        <v>367</v>
      </c>
      <c r="B369" s="3283" t="s">
        <v>3066</v>
      </c>
      <c r="C369" s="3283" t="s">
        <v>3067</v>
      </c>
      <c r="D369" s="3283"/>
      <c r="E369" s="3283">
        <v>4720</v>
      </c>
      <c r="F369" s="3283" t="s">
        <v>3437</v>
      </c>
      <c r="G369" s="3283">
        <v>52.22</v>
      </c>
      <c r="H369" s="3283" t="s">
        <v>3069</v>
      </c>
      <c r="I369" s="3283" t="s">
        <v>3070</v>
      </c>
      <c r="J369" s="3283" t="s">
        <v>3071</v>
      </c>
    </row>
    <row r="370" spans="1:10">
      <c r="A370" s="3283">
        <v>368</v>
      </c>
      <c r="B370" s="3283" t="s">
        <v>3066</v>
      </c>
      <c r="C370" s="3283" t="s">
        <v>3067</v>
      </c>
      <c r="D370" s="3283"/>
      <c r="E370" s="3283">
        <v>4721</v>
      </c>
      <c r="F370" s="3283" t="s">
        <v>3438</v>
      </c>
      <c r="G370" s="3283">
        <v>52.22</v>
      </c>
      <c r="H370" s="3283" t="s">
        <v>3069</v>
      </c>
      <c r="I370" s="3283" t="s">
        <v>3070</v>
      </c>
      <c r="J370" s="3283" t="s">
        <v>3071</v>
      </c>
    </row>
    <row r="371" spans="1:10">
      <c r="A371" s="3283">
        <v>369</v>
      </c>
      <c r="B371" s="3283" t="s">
        <v>3066</v>
      </c>
      <c r="C371" s="3283" t="s">
        <v>3067</v>
      </c>
      <c r="D371" s="3283"/>
      <c r="E371" s="3283">
        <v>4722</v>
      </c>
      <c r="F371" s="3283" t="s">
        <v>3439</v>
      </c>
      <c r="G371" s="3283">
        <v>52.22</v>
      </c>
      <c r="H371" s="3283" t="s">
        <v>3069</v>
      </c>
      <c r="I371" s="3283" t="s">
        <v>3070</v>
      </c>
      <c r="J371" s="3283" t="s">
        <v>3071</v>
      </c>
    </row>
    <row r="372" spans="1:10">
      <c r="A372" s="3283">
        <v>370</v>
      </c>
      <c r="B372" s="3283" t="s">
        <v>3066</v>
      </c>
      <c r="C372" s="3283" t="s">
        <v>3067</v>
      </c>
      <c r="D372" s="3283"/>
      <c r="E372" s="3283">
        <v>4723</v>
      </c>
      <c r="F372" s="3283" t="s">
        <v>3440</v>
      </c>
      <c r="G372" s="3283">
        <v>52.22</v>
      </c>
      <c r="H372" s="3283" t="s">
        <v>3069</v>
      </c>
      <c r="I372" s="3283" t="s">
        <v>3070</v>
      </c>
      <c r="J372" s="3283" t="s">
        <v>3071</v>
      </c>
    </row>
    <row r="373" spans="1:10">
      <c r="A373" s="3283">
        <v>371</v>
      </c>
      <c r="B373" s="3283" t="s">
        <v>3066</v>
      </c>
      <c r="C373" s="3283" t="s">
        <v>3067</v>
      </c>
      <c r="D373" s="3283"/>
      <c r="E373" s="3283">
        <v>4724</v>
      </c>
      <c r="F373" s="3283" t="s">
        <v>3441</v>
      </c>
      <c r="G373" s="3283">
        <v>94.09</v>
      </c>
      <c r="H373" s="3283" t="s">
        <v>3069</v>
      </c>
      <c r="I373" s="3283" t="s">
        <v>3070</v>
      </c>
      <c r="J373" s="3283" t="s">
        <v>3071</v>
      </c>
    </row>
    <row r="374" spans="1:10">
      <c r="A374" s="3283">
        <v>372</v>
      </c>
      <c r="B374" s="3283" t="s">
        <v>3066</v>
      </c>
      <c r="C374" s="3283" t="s">
        <v>3067</v>
      </c>
      <c r="D374" s="3283"/>
      <c r="E374" s="3283">
        <v>4801</v>
      </c>
      <c r="F374" s="3283" t="s">
        <v>3442</v>
      </c>
      <c r="G374" s="3283">
        <v>52.49</v>
      </c>
      <c r="H374" s="3283" t="s">
        <v>3069</v>
      </c>
      <c r="I374" s="3283" t="s">
        <v>3070</v>
      </c>
      <c r="J374" s="3283" t="s">
        <v>3071</v>
      </c>
    </row>
    <row r="375" spans="1:10">
      <c r="A375" s="3283">
        <v>373</v>
      </c>
      <c r="B375" s="3283" t="s">
        <v>3066</v>
      </c>
      <c r="C375" s="3283" t="s">
        <v>3067</v>
      </c>
      <c r="D375" s="3283"/>
      <c r="E375" s="3283">
        <v>4802</v>
      </c>
      <c r="F375" s="3283" t="s">
        <v>3443</v>
      </c>
      <c r="G375" s="3283">
        <v>52.49</v>
      </c>
      <c r="H375" s="3283" t="s">
        <v>3069</v>
      </c>
      <c r="I375" s="3283" t="s">
        <v>3070</v>
      </c>
      <c r="J375" s="3283" t="s">
        <v>3071</v>
      </c>
    </row>
    <row r="376" spans="1:10">
      <c r="A376" s="3283">
        <v>374</v>
      </c>
      <c r="B376" s="3283" t="s">
        <v>3066</v>
      </c>
      <c r="C376" s="3283" t="s">
        <v>3067</v>
      </c>
      <c r="D376" s="3283"/>
      <c r="E376" s="3283">
        <v>4803</v>
      </c>
      <c r="F376" s="3283" t="s">
        <v>3444</v>
      </c>
      <c r="G376" s="3283">
        <v>52.49</v>
      </c>
      <c r="H376" s="3283" t="s">
        <v>3069</v>
      </c>
      <c r="I376" s="3283" t="s">
        <v>3070</v>
      </c>
      <c r="J376" s="3283" t="s">
        <v>3071</v>
      </c>
    </row>
    <row r="377" spans="1:10">
      <c r="A377" s="3283">
        <v>375</v>
      </c>
      <c r="B377" s="3283" t="s">
        <v>3066</v>
      </c>
      <c r="C377" s="3283" t="s">
        <v>3067</v>
      </c>
      <c r="D377" s="3283"/>
      <c r="E377" s="3283">
        <v>4804</v>
      </c>
      <c r="F377" s="3283" t="s">
        <v>3445</v>
      </c>
      <c r="G377" s="3283">
        <v>86.49</v>
      </c>
      <c r="H377" s="3283" t="s">
        <v>3069</v>
      </c>
      <c r="I377" s="3283" t="s">
        <v>3070</v>
      </c>
      <c r="J377" s="3283" t="s">
        <v>3071</v>
      </c>
    </row>
    <row r="378" spans="1:10">
      <c r="A378" s="3283">
        <v>376</v>
      </c>
      <c r="B378" s="3283" t="s">
        <v>3066</v>
      </c>
      <c r="C378" s="3283" t="s">
        <v>3067</v>
      </c>
      <c r="D378" s="3283"/>
      <c r="E378" s="3283">
        <v>4805</v>
      </c>
      <c r="F378" s="3283" t="s">
        <v>3446</v>
      </c>
      <c r="G378" s="3283">
        <v>89.54</v>
      </c>
      <c r="H378" s="3283" t="s">
        <v>3069</v>
      </c>
      <c r="I378" s="3283" t="s">
        <v>3070</v>
      </c>
      <c r="J378" s="3283" t="s">
        <v>3071</v>
      </c>
    </row>
    <row r="379" spans="1:10">
      <c r="A379" s="3283">
        <v>377</v>
      </c>
      <c r="B379" s="3283" t="s">
        <v>3066</v>
      </c>
      <c r="C379" s="3283" t="s">
        <v>3067</v>
      </c>
      <c r="D379" s="3283"/>
      <c r="E379" s="3283">
        <v>4806</v>
      </c>
      <c r="F379" s="3283" t="s">
        <v>3447</v>
      </c>
      <c r="G379" s="3283">
        <v>51.69</v>
      </c>
      <c r="H379" s="3283" t="s">
        <v>3069</v>
      </c>
      <c r="I379" s="3283" t="s">
        <v>3070</v>
      </c>
      <c r="J379" s="3283" t="s">
        <v>3071</v>
      </c>
    </row>
    <row r="380" spans="1:10">
      <c r="A380" s="3283">
        <v>378</v>
      </c>
      <c r="B380" s="3283" t="s">
        <v>3066</v>
      </c>
      <c r="C380" s="3283" t="s">
        <v>3067</v>
      </c>
      <c r="D380" s="3283"/>
      <c r="E380" s="3283">
        <v>4807</v>
      </c>
      <c r="F380" s="3283" t="s">
        <v>3448</v>
      </c>
      <c r="G380" s="3283">
        <v>51.69</v>
      </c>
      <c r="H380" s="3283" t="s">
        <v>3069</v>
      </c>
      <c r="I380" s="3283" t="s">
        <v>3070</v>
      </c>
      <c r="J380" s="3283" t="s">
        <v>3071</v>
      </c>
    </row>
    <row r="381" spans="1:10">
      <c r="A381" s="3283">
        <v>379</v>
      </c>
      <c r="B381" s="3283" t="s">
        <v>3066</v>
      </c>
      <c r="C381" s="3283" t="s">
        <v>3067</v>
      </c>
      <c r="D381" s="3283"/>
      <c r="E381" s="3283">
        <v>4808</v>
      </c>
      <c r="F381" s="3283" t="s">
        <v>3449</v>
      </c>
      <c r="G381" s="3283">
        <v>51.69</v>
      </c>
      <c r="H381" s="3283" t="s">
        <v>3069</v>
      </c>
      <c r="I381" s="3283" t="s">
        <v>3070</v>
      </c>
      <c r="J381" s="3283" t="s">
        <v>3071</v>
      </c>
    </row>
    <row r="382" spans="1:10">
      <c r="A382" s="3283">
        <v>380</v>
      </c>
      <c r="B382" s="3283" t="s">
        <v>3066</v>
      </c>
      <c r="C382" s="3283" t="s">
        <v>3067</v>
      </c>
      <c r="D382" s="3283"/>
      <c r="E382" s="3283">
        <v>4809</v>
      </c>
      <c r="F382" s="3283" t="s">
        <v>3450</v>
      </c>
      <c r="G382" s="3283">
        <v>51.69</v>
      </c>
      <c r="H382" s="3283" t="s">
        <v>3069</v>
      </c>
      <c r="I382" s="3283" t="s">
        <v>3070</v>
      </c>
      <c r="J382" s="3283" t="s">
        <v>3071</v>
      </c>
    </row>
    <row r="383" spans="1:10">
      <c r="A383" s="3283">
        <v>381</v>
      </c>
      <c r="B383" s="3283" t="s">
        <v>3066</v>
      </c>
      <c r="C383" s="3283" t="s">
        <v>3067</v>
      </c>
      <c r="D383" s="3283"/>
      <c r="E383" s="3283">
        <v>4810</v>
      </c>
      <c r="F383" s="3283" t="s">
        <v>3451</v>
      </c>
      <c r="G383" s="3283">
        <v>51.69</v>
      </c>
      <c r="H383" s="3283" t="s">
        <v>3069</v>
      </c>
      <c r="I383" s="3283" t="s">
        <v>3070</v>
      </c>
      <c r="J383" s="3283" t="s">
        <v>3071</v>
      </c>
    </row>
    <row r="384" spans="1:10">
      <c r="A384" s="3283">
        <v>382</v>
      </c>
      <c r="B384" s="3283" t="s">
        <v>3066</v>
      </c>
      <c r="C384" s="3283" t="s">
        <v>3067</v>
      </c>
      <c r="D384" s="3283"/>
      <c r="E384" s="3283">
        <v>4811</v>
      </c>
      <c r="F384" s="3283" t="s">
        <v>3452</v>
      </c>
      <c r="G384" s="3283">
        <v>51.69</v>
      </c>
      <c r="H384" s="3283" t="s">
        <v>3069</v>
      </c>
      <c r="I384" s="3283" t="s">
        <v>3070</v>
      </c>
      <c r="J384" s="3283" t="s">
        <v>3071</v>
      </c>
    </row>
    <row r="385" spans="1:10">
      <c r="A385" s="3283">
        <v>383</v>
      </c>
      <c r="B385" s="3283" t="s">
        <v>3066</v>
      </c>
      <c r="C385" s="3283" t="s">
        <v>3067</v>
      </c>
      <c r="D385" s="3283"/>
      <c r="E385" s="3283">
        <v>4812</v>
      </c>
      <c r="F385" s="3283" t="s">
        <v>3453</v>
      </c>
      <c r="G385" s="3283">
        <v>89.54</v>
      </c>
      <c r="H385" s="3283" t="s">
        <v>3069</v>
      </c>
      <c r="I385" s="3283" t="s">
        <v>3070</v>
      </c>
      <c r="J385" s="3283" t="s">
        <v>3071</v>
      </c>
    </row>
    <row r="386" spans="1:10">
      <c r="A386" s="3283">
        <v>384</v>
      </c>
      <c r="B386" s="3283" t="s">
        <v>3066</v>
      </c>
      <c r="C386" s="3283" t="s">
        <v>3067</v>
      </c>
      <c r="D386" s="3283"/>
      <c r="E386" s="3283">
        <v>4813</v>
      </c>
      <c r="F386" s="3283" t="s">
        <v>3454</v>
      </c>
      <c r="G386" s="3283">
        <v>86.49</v>
      </c>
      <c r="H386" s="3283" t="s">
        <v>3069</v>
      </c>
      <c r="I386" s="3283" t="s">
        <v>3070</v>
      </c>
      <c r="J386" s="3283" t="s">
        <v>3071</v>
      </c>
    </row>
    <row r="387" spans="1:10">
      <c r="A387" s="3283">
        <v>385</v>
      </c>
      <c r="B387" s="3283" t="s">
        <v>3066</v>
      </c>
      <c r="C387" s="3283" t="s">
        <v>3067</v>
      </c>
      <c r="D387" s="3283"/>
      <c r="E387" s="3283">
        <v>4814</v>
      </c>
      <c r="F387" s="3283" t="s">
        <v>3455</v>
      </c>
      <c r="G387" s="3283">
        <v>52.49</v>
      </c>
      <c r="H387" s="3283" t="s">
        <v>3069</v>
      </c>
      <c r="I387" s="3283" t="s">
        <v>3070</v>
      </c>
      <c r="J387" s="3283" t="s">
        <v>3071</v>
      </c>
    </row>
    <row r="388" spans="1:10">
      <c r="A388" s="3283">
        <v>386</v>
      </c>
      <c r="B388" s="3283" t="s">
        <v>3066</v>
      </c>
      <c r="C388" s="3283" t="s">
        <v>3067</v>
      </c>
      <c r="D388" s="3283"/>
      <c r="E388" s="3283">
        <v>4815</v>
      </c>
      <c r="F388" s="3283" t="s">
        <v>3456</v>
      </c>
      <c r="G388" s="3283">
        <v>52.49</v>
      </c>
      <c r="H388" s="3283" t="s">
        <v>3069</v>
      </c>
      <c r="I388" s="3283" t="s">
        <v>3070</v>
      </c>
      <c r="J388" s="3283" t="s">
        <v>3071</v>
      </c>
    </row>
    <row r="389" spans="1:10">
      <c r="A389" s="3283">
        <v>387</v>
      </c>
      <c r="B389" s="3283" t="s">
        <v>3066</v>
      </c>
      <c r="C389" s="3283" t="s">
        <v>3067</v>
      </c>
      <c r="D389" s="3283"/>
      <c r="E389" s="3283">
        <v>4816</v>
      </c>
      <c r="F389" s="3283" t="s">
        <v>3457</v>
      </c>
      <c r="G389" s="3283">
        <v>52.49</v>
      </c>
      <c r="H389" s="3283" t="s">
        <v>3069</v>
      </c>
      <c r="I389" s="3283" t="s">
        <v>3070</v>
      </c>
      <c r="J389" s="3283" t="s">
        <v>3071</v>
      </c>
    </row>
    <row r="390" spans="1:10">
      <c r="A390" s="3283">
        <v>388</v>
      </c>
      <c r="B390" s="3283" t="s">
        <v>3066</v>
      </c>
      <c r="C390" s="3283" t="s">
        <v>3067</v>
      </c>
      <c r="D390" s="3283"/>
      <c r="E390" s="3283">
        <v>4817</v>
      </c>
      <c r="F390" s="3283" t="s">
        <v>3458</v>
      </c>
      <c r="G390" s="3283">
        <v>94.09</v>
      </c>
      <c r="H390" s="3283" t="s">
        <v>3069</v>
      </c>
      <c r="I390" s="3283" t="s">
        <v>3070</v>
      </c>
      <c r="J390" s="3283" t="s">
        <v>3071</v>
      </c>
    </row>
    <row r="391" spans="1:10">
      <c r="A391" s="3283">
        <v>389</v>
      </c>
      <c r="B391" s="3283" t="s">
        <v>3066</v>
      </c>
      <c r="C391" s="3283" t="s">
        <v>3067</v>
      </c>
      <c r="D391" s="3283"/>
      <c r="E391" s="3283">
        <v>4818</v>
      </c>
      <c r="F391" s="3283" t="s">
        <v>3459</v>
      </c>
      <c r="G391" s="3283">
        <v>52.22</v>
      </c>
      <c r="H391" s="3283" t="s">
        <v>3069</v>
      </c>
      <c r="I391" s="3283" t="s">
        <v>3070</v>
      </c>
      <c r="J391" s="3283" t="s">
        <v>3071</v>
      </c>
    </row>
    <row r="392" spans="1:10">
      <c r="A392" s="3283">
        <v>390</v>
      </c>
      <c r="B392" s="3283" t="s">
        <v>3066</v>
      </c>
      <c r="C392" s="3283" t="s">
        <v>3067</v>
      </c>
      <c r="D392" s="3283"/>
      <c r="E392" s="3283">
        <v>4819</v>
      </c>
      <c r="F392" s="3283" t="s">
        <v>3460</v>
      </c>
      <c r="G392" s="3283">
        <v>52.22</v>
      </c>
      <c r="H392" s="3283" t="s">
        <v>3069</v>
      </c>
      <c r="I392" s="3283" t="s">
        <v>3070</v>
      </c>
      <c r="J392" s="3283" t="s">
        <v>3071</v>
      </c>
    </row>
    <row r="393" spans="1:10">
      <c r="A393" s="3283">
        <v>391</v>
      </c>
      <c r="B393" s="3283" t="s">
        <v>3066</v>
      </c>
      <c r="C393" s="3283" t="s">
        <v>3067</v>
      </c>
      <c r="D393" s="3283"/>
      <c r="E393" s="3283">
        <v>4820</v>
      </c>
      <c r="F393" s="3283" t="s">
        <v>3461</v>
      </c>
      <c r="G393" s="3283">
        <v>52.22</v>
      </c>
      <c r="H393" s="3283" t="s">
        <v>3069</v>
      </c>
      <c r="I393" s="3283" t="s">
        <v>3070</v>
      </c>
      <c r="J393" s="3283" t="s">
        <v>3071</v>
      </c>
    </row>
    <row r="394" spans="1:10">
      <c r="A394" s="3283">
        <v>392</v>
      </c>
      <c r="B394" s="3283" t="s">
        <v>3066</v>
      </c>
      <c r="C394" s="3283" t="s">
        <v>3067</v>
      </c>
      <c r="D394" s="3283"/>
      <c r="E394" s="3283">
        <v>4821</v>
      </c>
      <c r="F394" s="3283" t="s">
        <v>3462</v>
      </c>
      <c r="G394" s="3283">
        <v>52.22</v>
      </c>
      <c r="H394" s="3283" t="s">
        <v>3069</v>
      </c>
      <c r="I394" s="3283" t="s">
        <v>3070</v>
      </c>
      <c r="J394" s="3283" t="s">
        <v>3071</v>
      </c>
    </row>
    <row r="395" spans="1:10">
      <c r="A395" s="3283">
        <v>393</v>
      </c>
      <c r="B395" s="3283" t="s">
        <v>3066</v>
      </c>
      <c r="C395" s="3283" t="s">
        <v>3067</v>
      </c>
      <c r="D395" s="3283"/>
      <c r="E395" s="3283">
        <v>4822</v>
      </c>
      <c r="F395" s="3283" t="s">
        <v>3463</v>
      </c>
      <c r="G395" s="3283">
        <v>52.22</v>
      </c>
      <c r="H395" s="3283" t="s">
        <v>3069</v>
      </c>
      <c r="I395" s="3283" t="s">
        <v>3070</v>
      </c>
      <c r="J395" s="3283" t="s">
        <v>3071</v>
      </c>
    </row>
    <row r="396" spans="1:10">
      <c r="A396" s="3283">
        <v>394</v>
      </c>
      <c r="B396" s="3283" t="s">
        <v>3066</v>
      </c>
      <c r="C396" s="3283" t="s">
        <v>3067</v>
      </c>
      <c r="D396" s="3283"/>
      <c r="E396" s="3283">
        <v>4823</v>
      </c>
      <c r="F396" s="3283" t="s">
        <v>3464</v>
      </c>
      <c r="G396" s="3283">
        <v>52.22</v>
      </c>
      <c r="H396" s="3283" t="s">
        <v>3069</v>
      </c>
      <c r="I396" s="3283" t="s">
        <v>3070</v>
      </c>
      <c r="J396" s="3283" t="s">
        <v>3071</v>
      </c>
    </row>
    <row r="397" spans="1:10">
      <c r="A397" s="3283">
        <v>395</v>
      </c>
      <c r="B397" s="3283" t="s">
        <v>3066</v>
      </c>
      <c r="C397" s="3283" t="s">
        <v>3067</v>
      </c>
      <c r="D397" s="3283"/>
      <c r="E397" s="3283">
        <v>4824</v>
      </c>
      <c r="F397" s="3283" t="s">
        <v>3465</v>
      </c>
      <c r="G397" s="3283">
        <v>94.09</v>
      </c>
      <c r="H397" s="3283" t="s">
        <v>3069</v>
      </c>
      <c r="I397" s="3283" t="s">
        <v>3070</v>
      </c>
      <c r="J397" s="3283" t="s">
        <v>3071</v>
      </c>
    </row>
    <row r="398" spans="1:10">
      <c r="A398" s="3283">
        <v>396</v>
      </c>
      <c r="B398" s="3283" t="s">
        <v>3066</v>
      </c>
      <c r="C398" s="3283" t="s">
        <v>3067</v>
      </c>
      <c r="D398" s="3283"/>
      <c r="E398" s="3283">
        <v>4901</v>
      </c>
      <c r="F398" s="3283" t="s">
        <v>3466</v>
      </c>
      <c r="G398" s="3283">
        <v>52.49</v>
      </c>
      <c r="H398" s="3283" t="s">
        <v>3069</v>
      </c>
      <c r="I398" s="3283" t="s">
        <v>3070</v>
      </c>
      <c r="J398" s="3283" t="s">
        <v>3071</v>
      </c>
    </row>
    <row r="399" spans="1:10">
      <c r="A399" s="3283">
        <v>397</v>
      </c>
      <c r="B399" s="3283" t="s">
        <v>3066</v>
      </c>
      <c r="C399" s="3283" t="s">
        <v>3067</v>
      </c>
      <c r="D399" s="3283"/>
      <c r="E399" s="3283">
        <v>4902</v>
      </c>
      <c r="F399" s="3283" t="s">
        <v>3467</v>
      </c>
      <c r="G399" s="3283">
        <v>52.49</v>
      </c>
      <c r="H399" s="3283" t="s">
        <v>3069</v>
      </c>
      <c r="I399" s="3283" t="s">
        <v>3070</v>
      </c>
      <c r="J399" s="3283" t="s">
        <v>3071</v>
      </c>
    </row>
    <row r="400" spans="1:10">
      <c r="A400" s="3283">
        <v>398</v>
      </c>
      <c r="B400" s="3283" t="s">
        <v>3066</v>
      </c>
      <c r="C400" s="3283" t="s">
        <v>3067</v>
      </c>
      <c r="D400" s="3283"/>
      <c r="E400" s="3283">
        <v>4903</v>
      </c>
      <c r="F400" s="3283" t="s">
        <v>3468</v>
      </c>
      <c r="G400" s="3283">
        <v>52.49</v>
      </c>
      <c r="H400" s="3283" t="s">
        <v>3069</v>
      </c>
      <c r="I400" s="3283" t="s">
        <v>3070</v>
      </c>
      <c r="J400" s="3283" t="s">
        <v>3071</v>
      </c>
    </row>
    <row r="401" spans="1:10">
      <c r="A401" s="3283">
        <v>399</v>
      </c>
      <c r="B401" s="3283" t="s">
        <v>3066</v>
      </c>
      <c r="C401" s="3283" t="s">
        <v>3067</v>
      </c>
      <c r="D401" s="3283"/>
      <c r="E401" s="3283">
        <v>4904</v>
      </c>
      <c r="F401" s="3283" t="s">
        <v>3469</v>
      </c>
      <c r="G401" s="3283">
        <v>86.49</v>
      </c>
      <c r="H401" s="3283" t="s">
        <v>3069</v>
      </c>
      <c r="I401" s="3283" t="s">
        <v>3070</v>
      </c>
      <c r="J401" s="3283" t="s">
        <v>3071</v>
      </c>
    </row>
    <row r="402" spans="1:10">
      <c r="A402" s="3283">
        <v>400</v>
      </c>
      <c r="B402" s="3283" t="s">
        <v>3066</v>
      </c>
      <c r="C402" s="3283" t="s">
        <v>3067</v>
      </c>
      <c r="D402" s="3283"/>
      <c r="E402" s="3283">
        <v>4905</v>
      </c>
      <c r="F402" s="3283" t="s">
        <v>3470</v>
      </c>
      <c r="G402" s="3283">
        <v>89.54</v>
      </c>
      <c r="H402" s="3283" t="s">
        <v>3069</v>
      </c>
      <c r="I402" s="3283" t="s">
        <v>3070</v>
      </c>
      <c r="J402" s="3283" t="s">
        <v>3071</v>
      </c>
    </row>
    <row r="403" spans="1:10">
      <c r="A403" s="3283">
        <v>401</v>
      </c>
      <c r="B403" s="3283" t="s">
        <v>3066</v>
      </c>
      <c r="C403" s="3283" t="s">
        <v>3067</v>
      </c>
      <c r="D403" s="3283"/>
      <c r="E403" s="3283">
        <v>4906</v>
      </c>
      <c r="F403" s="3283" t="s">
        <v>3471</v>
      </c>
      <c r="G403" s="3283">
        <v>51.69</v>
      </c>
      <c r="H403" s="3283" t="s">
        <v>3069</v>
      </c>
      <c r="I403" s="3283" t="s">
        <v>3070</v>
      </c>
      <c r="J403" s="3283" t="s">
        <v>3071</v>
      </c>
    </row>
    <row r="404" spans="1:10">
      <c r="A404" s="3283">
        <v>402</v>
      </c>
      <c r="B404" s="3283" t="s">
        <v>3066</v>
      </c>
      <c r="C404" s="3283" t="s">
        <v>3067</v>
      </c>
      <c r="D404" s="3283"/>
      <c r="E404" s="3283">
        <v>4907</v>
      </c>
      <c r="F404" s="3283" t="s">
        <v>3472</v>
      </c>
      <c r="G404" s="3283">
        <v>51.69</v>
      </c>
      <c r="H404" s="3283" t="s">
        <v>3069</v>
      </c>
      <c r="I404" s="3283" t="s">
        <v>3070</v>
      </c>
      <c r="J404" s="3283" t="s">
        <v>3071</v>
      </c>
    </row>
    <row r="405" spans="1:10">
      <c r="A405" s="3283">
        <v>403</v>
      </c>
      <c r="B405" s="3283" t="s">
        <v>3066</v>
      </c>
      <c r="C405" s="3283" t="s">
        <v>3067</v>
      </c>
      <c r="D405" s="3283"/>
      <c r="E405" s="3283">
        <v>4908</v>
      </c>
      <c r="F405" s="3283" t="s">
        <v>3473</v>
      </c>
      <c r="G405" s="3283">
        <v>51.69</v>
      </c>
      <c r="H405" s="3283" t="s">
        <v>3069</v>
      </c>
      <c r="I405" s="3283" t="s">
        <v>3070</v>
      </c>
      <c r="J405" s="3283" t="s">
        <v>3071</v>
      </c>
    </row>
    <row r="406" spans="1:10">
      <c r="A406" s="3283">
        <v>404</v>
      </c>
      <c r="B406" s="3283" t="s">
        <v>3066</v>
      </c>
      <c r="C406" s="3283" t="s">
        <v>3067</v>
      </c>
      <c r="D406" s="3283"/>
      <c r="E406" s="3283">
        <v>4909</v>
      </c>
      <c r="F406" s="3283" t="s">
        <v>3474</v>
      </c>
      <c r="G406" s="3283">
        <v>51.69</v>
      </c>
      <c r="H406" s="3283" t="s">
        <v>3069</v>
      </c>
      <c r="I406" s="3283" t="s">
        <v>3070</v>
      </c>
      <c r="J406" s="3283" t="s">
        <v>3071</v>
      </c>
    </row>
    <row r="407" spans="1:10">
      <c r="A407" s="3283">
        <v>405</v>
      </c>
      <c r="B407" s="3283" t="s">
        <v>3066</v>
      </c>
      <c r="C407" s="3283" t="s">
        <v>3067</v>
      </c>
      <c r="D407" s="3283"/>
      <c r="E407" s="3283">
        <v>4910</v>
      </c>
      <c r="F407" s="3283" t="s">
        <v>3475</v>
      </c>
      <c r="G407" s="3283">
        <v>51.69</v>
      </c>
      <c r="H407" s="3283" t="s">
        <v>3069</v>
      </c>
      <c r="I407" s="3283" t="s">
        <v>3070</v>
      </c>
      <c r="J407" s="3283" t="s">
        <v>3071</v>
      </c>
    </row>
    <row r="408" spans="1:10">
      <c r="A408" s="3283">
        <v>406</v>
      </c>
      <c r="B408" s="3283" t="s">
        <v>3066</v>
      </c>
      <c r="C408" s="3283" t="s">
        <v>3067</v>
      </c>
      <c r="D408" s="3283"/>
      <c r="E408" s="3283">
        <v>4911</v>
      </c>
      <c r="F408" s="3283" t="s">
        <v>3476</v>
      </c>
      <c r="G408" s="3283">
        <v>51.69</v>
      </c>
      <c r="H408" s="3283" t="s">
        <v>3069</v>
      </c>
      <c r="I408" s="3283" t="s">
        <v>3070</v>
      </c>
      <c r="J408" s="3283" t="s">
        <v>3071</v>
      </c>
    </row>
    <row r="409" spans="1:10">
      <c r="A409" s="3283">
        <v>407</v>
      </c>
      <c r="B409" s="3283" t="s">
        <v>3066</v>
      </c>
      <c r="C409" s="3283" t="s">
        <v>3067</v>
      </c>
      <c r="D409" s="3283"/>
      <c r="E409" s="3283">
        <v>4912</v>
      </c>
      <c r="F409" s="3283" t="s">
        <v>3477</v>
      </c>
      <c r="G409" s="3283">
        <v>89.54</v>
      </c>
      <c r="H409" s="3283" t="s">
        <v>3069</v>
      </c>
      <c r="I409" s="3283" t="s">
        <v>3070</v>
      </c>
      <c r="J409" s="3283" t="s">
        <v>3071</v>
      </c>
    </row>
    <row r="410" spans="1:10">
      <c r="A410" s="3283">
        <v>408</v>
      </c>
      <c r="B410" s="3283" t="s">
        <v>3066</v>
      </c>
      <c r="C410" s="3283" t="s">
        <v>3067</v>
      </c>
      <c r="D410" s="3283"/>
      <c r="E410" s="3283">
        <v>4913</v>
      </c>
      <c r="F410" s="3283" t="s">
        <v>3478</v>
      </c>
      <c r="G410" s="3283">
        <v>86.49</v>
      </c>
      <c r="H410" s="3283" t="s">
        <v>3069</v>
      </c>
      <c r="I410" s="3283" t="s">
        <v>3070</v>
      </c>
      <c r="J410" s="3283" t="s">
        <v>3071</v>
      </c>
    </row>
    <row r="411" spans="1:10">
      <c r="A411" s="3283">
        <v>409</v>
      </c>
      <c r="B411" s="3283" t="s">
        <v>3066</v>
      </c>
      <c r="C411" s="3283" t="s">
        <v>3067</v>
      </c>
      <c r="D411" s="3283"/>
      <c r="E411" s="3283">
        <v>4914</v>
      </c>
      <c r="F411" s="3283" t="s">
        <v>3479</v>
      </c>
      <c r="G411" s="3283">
        <v>52.49</v>
      </c>
      <c r="H411" s="3283" t="s">
        <v>3069</v>
      </c>
      <c r="I411" s="3283" t="s">
        <v>3070</v>
      </c>
      <c r="J411" s="3283" t="s">
        <v>3071</v>
      </c>
    </row>
    <row r="412" spans="1:10">
      <c r="A412" s="3283">
        <v>410</v>
      </c>
      <c r="B412" s="3283" t="s">
        <v>3066</v>
      </c>
      <c r="C412" s="3283" t="s">
        <v>3067</v>
      </c>
      <c r="D412" s="3283"/>
      <c r="E412" s="3283">
        <v>4915</v>
      </c>
      <c r="F412" s="3283" t="s">
        <v>3480</v>
      </c>
      <c r="G412" s="3283">
        <v>52.49</v>
      </c>
      <c r="H412" s="3283" t="s">
        <v>3069</v>
      </c>
      <c r="I412" s="3283" t="s">
        <v>3070</v>
      </c>
      <c r="J412" s="3283" t="s">
        <v>3071</v>
      </c>
    </row>
    <row r="413" spans="1:10">
      <c r="A413" s="3283">
        <v>411</v>
      </c>
      <c r="B413" s="3283" t="s">
        <v>3066</v>
      </c>
      <c r="C413" s="3283" t="s">
        <v>3067</v>
      </c>
      <c r="D413" s="3283"/>
      <c r="E413" s="3283">
        <v>4916</v>
      </c>
      <c r="F413" s="3283" t="s">
        <v>3481</v>
      </c>
      <c r="G413" s="3283">
        <v>52.49</v>
      </c>
      <c r="H413" s="3283" t="s">
        <v>3069</v>
      </c>
      <c r="I413" s="3283" t="s">
        <v>3070</v>
      </c>
      <c r="J413" s="3283" t="s">
        <v>3071</v>
      </c>
    </row>
    <row r="414" spans="1:10">
      <c r="A414" s="3283">
        <v>412</v>
      </c>
      <c r="B414" s="3283" t="s">
        <v>3066</v>
      </c>
      <c r="C414" s="3283" t="s">
        <v>3067</v>
      </c>
      <c r="D414" s="3283"/>
      <c r="E414" s="3283">
        <v>4917</v>
      </c>
      <c r="F414" s="3283" t="s">
        <v>3482</v>
      </c>
      <c r="G414" s="3283">
        <v>94.09</v>
      </c>
      <c r="H414" s="3283" t="s">
        <v>3069</v>
      </c>
      <c r="I414" s="3283" t="s">
        <v>3070</v>
      </c>
      <c r="J414" s="3283" t="s">
        <v>3071</v>
      </c>
    </row>
    <row r="415" spans="1:10">
      <c r="A415" s="3283">
        <v>413</v>
      </c>
      <c r="B415" s="3283" t="s">
        <v>3066</v>
      </c>
      <c r="C415" s="3283" t="s">
        <v>3067</v>
      </c>
      <c r="D415" s="3283"/>
      <c r="E415" s="3283">
        <v>4918</v>
      </c>
      <c r="F415" s="3283" t="s">
        <v>3483</v>
      </c>
      <c r="G415" s="3283">
        <v>52.22</v>
      </c>
      <c r="H415" s="3283" t="s">
        <v>3069</v>
      </c>
      <c r="I415" s="3283" t="s">
        <v>3070</v>
      </c>
      <c r="J415" s="3283" t="s">
        <v>3071</v>
      </c>
    </row>
    <row r="416" spans="1:10">
      <c r="A416" s="3283">
        <v>414</v>
      </c>
      <c r="B416" s="3283" t="s">
        <v>3066</v>
      </c>
      <c r="C416" s="3283" t="s">
        <v>3067</v>
      </c>
      <c r="D416" s="3283"/>
      <c r="E416" s="3283">
        <v>4919</v>
      </c>
      <c r="F416" s="3283" t="s">
        <v>3484</v>
      </c>
      <c r="G416" s="3283">
        <v>52.22</v>
      </c>
      <c r="H416" s="3283" t="s">
        <v>3069</v>
      </c>
      <c r="I416" s="3283" t="s">
        <v>3070</v>
      </c>
      <c r="J416" s="3283" t="s">
        <v>3071</v>
      </c>
    </row>
    <row r="417" spans="1:10">
      <c r="A417" s="3283">
        <v>415</v>
      </c>
      <c r="B417" s="3283" t="s">
        <v>3066</v>
      </c>
      <c r="C417" s="3283" t="s">
        <v>3067</v>
      </c>
      <c r="D417" s="3283"/>
      <c r="E417" s="3283">
        <v>4920</v>
      </c>
      <c r="F417" s="3283" t="s">
        <v>3485</v>
      </c>
      <c r="G417" s="3283">
        <v>52.22</v>
      </c>
      <c r="H417" s="3283" t="s">
        <v>3069</v>
      </c>
      <c r="I417" s="3283" t="s">
        <v>3070</v>
      </c>
      <c r="J417" s="3283" t="s">
        <v>3071</v>
      </c>
    </row>
    <row r="418" spans="1:10">
      <c r="A418" s="3283">
        <v>416</v>
      </c>
      <c r="B418" s="3283" t="s">
        <v>3066</v>
      </c>
      <c r="C418" s="3283" t="s">
        <v>3067</v>
      </c>
      <c r="D418" s="3283"/>
      <c r="E418" s="3283">
        <v>4921</v>
      </c>
      <c r="F418" s="3283" t="s">
        <v>3486</v>
      </c>
      <c r="G418" s="3283">
        <v>52.22</v>
      </c>
      <c r="H418" s="3283" t="s">
        <v>3069</v>
      </c>
      <c r="I418" s="3283" t="s">
        <v>3070</v>
      </c>
      <c r="J418" s="3283" t="s">
        <v>3071</v>
      </c>
    </row>
    <row r="419" spans="1:10">
      <c r="A419" s="3283">
        <v>417</v>
      </c>
      <c r="B419" s="3283" t="s">
        <v>3066</v>
      </c>
      <c r="C419" s="3283" t="s">
        <v>3067</v>
      </c>
      <c r="D419" s="3283"/>
      <c r="E419" s="3283">
        <v>4922</v>
      </c>
      <c r="F419" s="3283" t="s">
        <v>3487</v>
      </c>
      <c r="G419" s="3283">
        <v>52.22</v>
      </c>
      <c r="H419" s="3283" t="s">
        <v>3069</v>
      </c>
      <c r="I419" s="3283" t="s">
        <v>3070</v>
      </c>
      <c r="J419" s="3283" t="s">
        <v>3071</v>
      </c>
    </row>
    <row r="420" spans="1:10">
      <c r="A420" s="3283">
        <v>418</v>
      </c>
      <c r="B420" s="3283" t="s">
        <v>3066</v>
      </c>
      <c r="C420" s="3283" t="s">
        <v>3067</v>
      </c>
      <c r="D420" s="3283"/>
      <c r="E420" s="3283">
        <v>4923</v>
      </c>
      <c r="F420" s="3283" t="s">
        <v>3488</v>
      </c>
      <c r="G420" s="3283">
        <v>52.22</v>
      </c>
      <c r="H420" s="3283" t="s">
        <v>3069</v>
      </c>
      <c r="I420" s="3283" t="s">
        <v>3070</v>
      </c>
      <c r="J420" s="3283" t="s">
        <v>3071</v>
      </c>
    </row>
    <row r="421" spans="1:10">
      <c r="A421" s="3283">
        <v>419</v>
      </c>
      <c r="B421" s="3283" t="s">
        <v>3066</v>
      </c>
      <c r="C421" s="3283" t="s">
        <v>3067</v>
      </c>
      <c r="D421" s="3283"/>
      <c r="E421" s="3283">
        <v>4924</v>
      </c>
      <c r="F421" s="3283" t="s">
        <v>3489</v>
      </c>
      <c r="G421" s="3283">
        <v>94.09</v>
      </c>
      <c r="H421" s="3283" t="s">
        <v>3069</v>
      </c>
      <c r="I421" s="3283" t="s">
        <v>3070</v>
      </c>
      <c r="J421" s="3283" t="s">
        <v>3071</v>
      </c>
    </row>
    <row r="422" spans="1:10">
      <c r="A422" s="3283">
        <v>420</v>
      </c>
      <c r="B422" s="3283" t="s">
        <v>3066</v>
      </c>
      <c r="C422" s="3283" t="s">
        <v>3067</v>
      </c>
      <c r="D422" s="3283"/>
      <c r="E422" s="3283">
        <v>5001</v>
      </c>
      <c r="F422" s="3283" t="s">
        <v>3490</v>
      </c>
      <c r="G422" s="3283">
        <v>52.49</v>
      </c>
      <c r="H422" s="3283" t="s">
        <v>3069</v>
      </c>
      <c r="I422" s="3283" t="s">
        <v>3070</v>
      </c>
      <c r="J422" s="3283" t="s">
        <v>3071</v>
      </c>
    </row>
    <row r="423" spans="1:10">
      <c r="A423" s="3283">
        <v>421</v>
      </c>
      <c r="B423" s="3283" t="s">
        <v>3066</v>
      </c>
      <c r="C423" s="3283" t="s">
        <v>3067</v>
      </c>
      <c r="D423" s="3283"/>
      <c r="E423" s="3283">
        <v>5002</v>
      </c>
      <c r="F423" s="3283" t="s">
        <v>3491</v>
      </c>
      <c r="G423" s="3283">
        <v>52.49</v>
      </c>
      <c r="H423" s="3283" t="s">
        <v>3069</v>
      </c>
      <c r="I423" s="3283" t="s">
        <v>3070</v>
      </c>
      <c r="J423" s="3283" t="s">
        <v>3071</v>
      </c>
    </row>
    <row r="424" spans="1:10">
      <c r="A424" s="3283">
        <v>422</v>
      </c>
      <c r="B424" s="3283" t="s">
        <v>3066</v>
      </c>
      <c r="C424" s="3283" t="s">
        <v>3067</v>
      </c>
      <c r="D424" s="3283"/>
      <c r="E424" s="3283">
        <v>5003</v>
      </c>
      <c r="F424" s="3283" t="s">
        <v>3492</v>
      </c>
      <c r="G424" s="3283">
        <v>52.49</v>
      </c>
      <c r="H424" s="3283" t="s">
        <v>3069</v>
      </c>
      <c r="I424" s="3283" t="s">
        <v>3070</v>
      </c>
      <c r="J424" s="3283" t="s">
        <v>3071</v>
      </c>
    </row>
    <row r="425" spans="1:10">
      <c r="A425" s="3283">
        <v>423</v>
      </c>
      <c r="B425" s="3283" t="s">
        <v>3066</v>
      </c>
      <c r="C425" s="3283" t="s">
        <v>3067</v>
      </c>
      <c r="D425" s="3283"/>
      <c r="E425" s="3283">
        <v>5004</v>
      </c>
      <c r="F425" s="3283" t="s">
        <v>3493</v>
      </c>
      <c r="G425" s="3283">
        <v>86.49</v>
      </c>
      <c r="H425" s="3283" t="s">
        <v>3069</v>
      </c>
      <c r="I425" s="3283" t="s">
        <v>3070</v>
      </c>
      <c r="J425" s="3283" t="s">
        <v>3071</v>
      </c>
    </row>
    <row r="426" spans="1:10">
      <c r="A426" s="3283">
        <v>424</v>
      </c>
      <c r="B426" s="3283" t="s">
        <v>3066</v>
      </c>
      <c r="C426" s="3283" t="s">
        <v>3067</v>
      </c>
      <c r="D426" s="3283"/>
      <c r="E426" s="3283">
        <v>5005</v>
      </c>
      <c r="F426" s="3283" t="s">
        <v>3494</v>
      </c>
      <c r="G426" s="3283">
        <v>89.54</v>
      </c>
      <c r="H426" s="3283" t="s">
        <v>3069</v>
      </c>
      <c r="I426" s="3283" t="s">
        <v>3070</v>
      </c>
      <c r="J426" s="3283" t="s">
        <v>3071</v>
      </c>
    </row>
    <row r="427" spans="1:10">
      <c r="A427" s="3283">
        <v>425</v>
      </c>
      <c r="B427" s="3283" t="s">
        <v>3066</v>
      </c>
      <c r="C427" s="3283" t="s">
        <v>3067</v>
      </c>
      <c r="D427" s="3283"/>
      <c r="E427" s="3283">
        <v>5006</v>
      </c>
      <c r="F427" s="3283" t="s">
        <v>3495</v>
      </c>
      <c r="G427" s="3283">
        <v>51.69</v>
      </c>
      <c r="H427" s="3283" t="s">
        <v>3069</v>
      </c>
      <c r="I427" s="3283" t="s">
        <v>3070</v>
      </c>
      <c r="J427" s="3283" t="s">
        <v>3071</v>
      </c>
    </row>
    <row r="428" spans="1:10">
      <c r="A428" s="3283">
        <v>426</v>
      </c>
      <c r="B428" s="3283" t="s">
        <v>3066</v>
      </c>
      <c r="C428" s="3283" t="s">
        <v>3067</v>
      </c>
      <c r="D428" s="3283"/>
      <c r="E428" s="3283">
        <v>5007</v>
      </c>
      <c r="F428" s="3283" t="s">
        <v>3496</v>
      </c>
      <c r="G428" s="3283">
        <v>51.69</v>
      </c>
      <c r="H428" s="3283" t="s">
        <v>3069</v>
      </c>
      <c r="I428" s="3283" t="s">
        <v>3070</v>
      </c>
      <c r="J428" s="3283" t="s">
        <v>3071</v>
      </c>
    </row>
    <row r="429" spans="1:10">
      <c r="A429" s="3283">
        <v>427</v>
      </c>
      <c r="B429" s="3283" t="s">
        <v>3066</v>
      </c>
      <c r="C429" s="3283" t="s">
        <v>3067</v>
      </c>
      <c r="D429" s="3283"/>
      <c r="E429" s="3283">
        <v>5008</v>
      </c>
      <c r="F429" s="3283" t="s">
        <v>3497</v>
      </c>
      <c r="G429" s="3283">
        <v>51.69</v>
      </c>
      <c r="H429" s="3283" t="s">
        <v>3069</v>
      </c>
      <c r="I429" s="3283" t="s">
        <v>3070</v>
      </c>
      <c r="J429" s="3283" t="s">
        <v>3071</v>
      </c>
    </row>
    <row r="430" spans="1:10">
      <c r="A430" s="3283">
        <v>428</v>
      </c>
      <c r="B430" s="3283" t="s">
        <v>3066</v>
      </c>
      <c r="C430" s="3283" t="s">
        <v>3067</v>
      </c>
      <c r="D430" s="3283"/>
      <c r="E430" s="3283">
        <v>5009</v>
      </c>
      <c r="F430" s="3283" t="s">
        <v>3498</v>
      </c>
      <c r="G430" s="3283">
        <v>51.69</v>
      </c>
      <c r="H430" s="3283" t="s">
        <v>3069</v>
      </c>
      <c r="I430" s="3283" t="s">
        <v>3070</v>
      </c>
      <c r="J430" s="3283" t="s">
        <v>3071</v>
      </c>
    </row>
    <row r="431" spans="1:10">
      <c r="A431" s="3283">
        <v>429</v>
      </c>
      <c r="B431" s="3283" t="s">
        <v>3066</v>
      </c>
      <c r="C431" s="3283" t="s">
        <v>3067</v>
      </c>
      <c r="D431" s="3283"/>
      <c r="E431" s="3283">
        <v>5010</v>
      </c>
      <c r="F431" s="3283" t="s">
        <v>3499</v>
      </c>
      <c r="G431" s="3283">
        <v>51.69</v>
      </c>
      <c r="H431" s="3283" t="s">
        <v>3069</v>
      </c>
      <c r="I431" s="3283" t="s">
        <v>3070</v>
      </c>
      <c r="J431" s="3283" t="s">
        <v>3071</v>
      </c>
    </row>
    <row r="432" spans="1:10">
      <c r="A432" s="3283">
        <v>430</v>
      </c>
      <c r="B432" s="3283" t="s">
        <v>3066</v>
      </c>
      <c r="C432" s="3283" t="s">
        <v>3067</v>
      </c>
      <c r="D432" s="3283"/>
      <c r="E432" s="3283">
        <v>5011</v>
      </c>
      <c r="F432" s="3283" t="s">
        <v>3500</v>
      </c>
      <c r="G432" s="3283">
        <v>51.69</v>
      </c>
      <c r="H432" s="3283" t="s">
        <v>3069</v>
      </c>
      <c r="I432" s="3283" t="s">
        <v>3070</v>
      </c>
      <c r="J432" s="3283" t="s">
        <v>3071</v>
      </c>
    </row>
    <row r="433" spans="1:10">
      <c r="A433" s="3283">
        <v>431</v>
      </c>
      <c r="B433" s="3283" t="s">
        <v>3066</v>
      </c>
      <c r="C433" s="3283" t="s">
        <v>3067</v>
      </c>
      <c r="D433" s="3283"/>
      <c r="E433" s="3283">
        <v>5012</v>
      </c>
      <c r="F433" s="3283" t="s">
        <v>3501</v>
      </c>
      <c r="G433" s="3283">
        <v>89.54</v>
      </c>
      <c r="H433" s="3283" t="s">
        <v>3069</v>
      </c>
      <c r="I433" s="3283" t="s">
        <v>3070</v>
      </c>
      <c r="J433" s="3283" t="s">
        <v>3071</v>
      </c>
    </row>
    <row r="434" spans="1:10">
      <c r="A434" s="3283">
        <v>432</v>
      </c>
      <c r="B434" s="3283" t="s">
        <v>3066</v>
      </c>
      <c r="C434" s="3283" t="s">
        <v>3067</v>
      </c>
      <c r="D434" s="3283"/>
      <c r="E434" s="3283">
        <v>5013</v>
      </c>
      <c r="F434" s="3283" t="s">
        <v>3502</v>
      </c>
      <c r="G434" s="3283">
        <v>86.49</v>
      </c>
      <c r="H434" s="3283" t="s">
        <v>3069</v>
      </c>
      <c r="I434" s="3283" t="s">
        <v>3070</v>
      </c>
      <c r="J434" s="3283" t="s">
        <v>3071</v>
      </c>
    </row>
    <row r="435" spans="1:10">
      <c r="A435" s="3283">
        <v>433</v>
      </c>
      <c r="B435" s="3283" t="s">
        <v>3066</v>
      </c>
      <c r="C435" s="3283" t="s">
        <v>3067</v>
      </c>
      <c r="D435" s="3283"/>
      <c r="E435" s="3283">
        <v>5014</v>
      </c>
      <c r="F435" s="3283" t="s">
        <v>3503</v>
      </c>
      <c r="G435" s="3283">
        <v>52.49</v>
      </c>
      <c r="H435" s="3283" t="s">
        <v>3069</v>
      </c>
      <c r="I435" s="3283" t="s">
        <v>3070</v>
      </c>
      <c r="J435" s="3283" t="s">
        <v>3071</v>
      </c>
    </row>
    <row r="436" spans="1:10">
      <c r="A436" s="3283">
        <v>434</v>
      </c>
      <c r="B436" s="3283" t="s">
        <v>3066</v>
      </c>
      <c r="C436" s="3283" t="s">
        <v>3067</v>
      </c>
      <c r="D436" s="3283"/>
      <c r="E436" s="3283">
        <v>5015</v>
      </c>
      <c r="F436" s="3283" t="s">
        <v>3504</v>
      </c>
      <c r="G436" s="3283">
        <v>52.49</v>
      </c>
      <c r="H436" s="3283" t="s">
        <v>3069</v>
      </c>
      <c r="I436" s="3283" t="s">
        <v>3070</v>
      </c>
      <c r="J436" s="3283" t="s">
        <v>3071</v>
      </c>
    </row>
    <row r="437" spans="1:10">
      <c r="A437" s="3283">
        <v>435</v>
      </c>
      <c r="B437" s="3283" t="s">
        <v>3066</v>
      </c>
      <c r="C437" s="3283" t="s">
        <v>3067</v>
      </c>
      <c r="D437" s="3283"/>
      <c r="E437" s="3283">
        <v>5016</v>
      </c>
      <c r="F437" s="3283" t="s">
        <v>3505</v>
      </c>
      <c r="G437" s="3283">
        <v>52.49</v>
      </c>
      <c r="H437" s="3283" t="s">
        <v>3069</v>
      </c>
      <c r="I437" s="3283" t="s">
        <v>3070</v>
      </c>
      <c r="J437" s="3283" t="s">
        <v>3071</v>
      </c>
    </row>
    <row r="438" spans="1:10">
      <c r="A438" s="3283">
        <v>436</v>
      </c>
      <c r="B438" s="3283" t="s">
        <v>3066</v>
      </c>
      <c r="C438" s="3283" t="s">
        <v>3067</v>
      </c>
      <c r="D438" s="3283"/>
      <c r="E438" s="3283">
        <v>5017</v>
      </c>
      <c r="F438" s="3283" t="s">
        <v>3506</v>
      </c>
      <c r="G438" s="3283">
        <v>94.09</v>
      </c>
      <c r="H438" s="3283" t="s">
        <v>3069</v>
      </c>
      <c r="I438" s="3283" t="s">
        <v>3070</v>
      </c>
      <c r="J438" s="3283" t="s">
        <v>3071</v>
      </c>
    </row>
    <row r="439" spans="1:10">
      <c r="A439" s="3283">
        <v>437</v>
      </c>
      <c r="B439" s="3283" t="s">
        <v>3066</v>
      </c>
      <c r="C439" s="3283" t="s">
        <v>3067</v>
      </c>
      <c r="D439" s="3283"/>
      <c r="E439" s="3283">
        <v>5018</v>
      </c>
      <c r="F439" s="3283" t="s">
        <v>3507</v>
      </c>
      <c r="G439" s="3283">
        <v>52.22</v>
      </c>
      <c r="H439" s="3283" t="s">
        <v>3069</v>
      </c>
      <c r="I439" s="3283" t="s">
        <v>3070</v>
      </c>
      <c r="J439" s="3283" t="s">
        <v>3071</v>
      </c>
    </row>
    <row r="440" spans="1:10">
      <c r="A440" s="3283">
        <v>438</v>
      </c>
      <c r="B440" s="3283" t="s">
        <v>3066</v>
      </c>
      <c r="C440" s="3283" t="s">
        <v>3067</v>
      </c>
      <c r="D440" s="3283"/>
      <c r="E440" s="3283">
        <v>5019</v>
      </c>
      <c r="F440" s="3283" t="s">
        <v>3508</v>
      </c>
      <c r="G440" s="3283">
        <v>52.22</v>
      </c>
      <c r="H440" s="3283" t="s">
        <v>3069</v>
      </c>
      <c r="I440" s="3283" t="s">
        <v>3070</v>
      </c>
      <c r="J440" s="3283" t="s">
        <v>3071</v>
      </c>
    </row>
    <row r="441" spans="1:10">
      <c r="A441" s="3283">
        <v>439</v>
      </c>
      <c r="B441" s="3283" t="s">
        <v>3066</v>
      </c>
      <c r="C441" s="3283" t="s">
        <v>3067</v>
      </c>
      <c r="D441" s="3283"/>
      <c r="E441" s="3283">
        <v>5020</v>
      </c>
      <c r="F441" s="3283" t="s">
        <v>3509</v>
      </c>
      <c r="G441" s="3283">
        <v>52.22</v>
      </c>
      <c r="H441" s="3283" t="s">
        <v>3069</v>
      </c>
      <c r="I441" s="3283" t="s">
        <v>3070</v>
      </c>
      <c r="J441" s="3283" t="s">
        <v>3071</v>
      </c>
    </row>
    <row r="442" spans="1:10">
      <c r="A442" s="3283">
        <v>440</v>
      </c>
      <c r="B442" s="3283" t="s">
        <v>3066</v>
      </c>
      <c r="C442" s="3283" t="s">
        <v>3067</v>
      </c>
      <c r="D442" s="3283"/>
      <c r="E442" s="3283">
        <v>5021</v>
      </c>
      <c r="F442" s="3283" t="s">
        <v>3510</v>
      </c>
      <c r="G442" s="3283">
        <v>52.22</v>
      </c>
      <c r="H442" s="3283" t="s">
        <v>3069</v>
      </c>
      <c r="I442" s="3283" t="s">
        <v>3070</v>
      </c>
      <c r="J442" s="3283" t="s">
        <v>3071</v>
      </c>
    </row>
    <row r="443" spans="1:10">
      <c r="A443" s="3283">
        <v>441</v>
      </c>
      <c r="B443" s="3283" t="s">
        <v>3066</v>
      </c>
      <c r="C443" s="3283" t="s">
        <v>3067</v>
      </c>
      <c r="D443" s="3283"/>
      <c r="E443" s="3283">
        <v>5022</v>
      </c>
      <c r="F443" s="3283" t="s">
        <v>3511</v>
      </c>
      <c r="G443" s="3283">
        <v>52.22</v>
      </c>
      <c r="H443" s="3283" t="s">
        <v>3069</v>
      </c>
      <c r="I443" s="3283" t="s">
        <v>3070</v>
      </c>
      <c r="J443" s="3283" t="s">
        <v>3071</v>
      </c>
    </row>
    <row r="444" spans="1:10">
      <c r="A444" s="3283">
        <v>442</v>
      </c>
      <c r="B444" s="3283" t="s">
        <v>3066</v>
      </c>
      <c r="C444" s="3283" t="s">
        <v>3067</v>
      </c>
      <c r="D444" s="3283"/>
      <c r="E444" s="3283">
        <v>5023</v>
      </c>
      <c r="F444" s="3283" t="s">
        <v>3512</v>
      </c>
      <c r="G444" s="3283">
        <v>52.22</v>
      </c>
      <c r="H444" s="3283" t="s">
        <v>3069</v>
      </c>
      <c r="I444" s="3283" t="s">
        <v>3070</v>
      </c>
      <c r="J444" s="3283" t="s">
        <v>3071</v>
      </c>
    </row>
    <row r="445" spans="1:10">
      <c r="A445" s="3283">
        <v>443</v>
      </c>
      <c r="B445" s="3283" t="s">
        <v>3066</v>
      </c>
      <c r="C445" s="3283" t="s">
        <v>3067</v>
      </c>
      <c r="D445" s="3283"/>
      <c r="E445" s="3283">
        <v>5024</v>
      </c>
      <c r="F445" s="3283" t="s">
        <v>3513</v>
      </c>
      <c r="G445" s="3283">
        <v>94.09</v>
      </c>
      <c r="H445" s="3283" t="s">
        <v>3069</v>
      </c>
      <c r="I445" s="3283" t="s">
        <v>3070</v>
      </c>
      <c r="J445" s="3283" t="s">
        <v>3071</v>
      </c>
    </row>
    <row r="446" spans="1:10">
      <c r="A446" s="3283">
        <v>444</v>
      </c>
      <c r="B446" s="3283" t="s">
        <v>3066</v>
      </c>
      <c r="C446" s="3283" t="s">
        <v>3067</v>
      </c>
      <c r="D446" s="3283"/>
      <c r="E446" s="3283">
        <v>5101</v>
      </c>
      <c r="F446" s="3283" t="s">
        <v>3514</v>
      </c>
      <c r="G446" s="3283">
        <v>52.49</v>
      </c>
      <c r="H446" s="3283" t="s">
        <v>3069</v>
      </c>
      <c r="I446" s="3283" t="s">
        <v>3070</v>
      </c>
      <c r="J446" s="3283" t="s">
        <v>3071</v>
      </c>
    </row>
    <row r="447" spans="1:10">
      <c r="A447" s="3283">
        <v>445</v>
      </c>
      <c r="B447" s="3283" t="s">
        <v>3066</v>
      </c>
      <c r="C447" s="3283" t="s">
        <v>3067</v>
      </c>
      <c r="D447" s="3283"/>
      <c r="E447" s="3283">
        <v>5102</v>
      </c>
      <c r="F447" s="3283" t="s">
        <v>3515</v>
      </c>
      <c r="G447" s="3283">
        <v>52.49</v>
      </c>
      <c r="H447" s="3283" t="s">
        <v>3069</v>
      </c>
      <c r="I447" s="3283" t="s">
        <v>3070</v>
      </c>
      <c r="J447" s="3283" t="s">
        <v>3071</v>
      </c>
    </row>
    <row r="448" spans="1:10">
      <c r="A448" s="3283">
        <v>446</v>
      </c>
      <c r="B448" s="3283" t="s">
        <v>3066</v>
      </c>
      <c r="C448" s="3283" t="s">
        <v>3067</v>
      </c>
      <c r="D448" s="3283"/>
      <c r="E448" s="3283">
        <v>5103</v>
      </c>
      <c r="F448" s="3283" t="s">
        <v>3516</v>
      </c>
      <c r="G448" s="3283">
        <v>52.49</v>
      </c>
      <c r="H448" s="3283" t="s">
        <v>3069</v>
      </c>
      <c r="I448" s="3283" t="s">
        <v>3070</v>
      </c>
      <c r="J448" s="3283" t="s">
        <v>3071</v>
      </c>
    </row>
    <row r="449" spans="1:10">
      <c r="A449" s="3283">
        <v>447</v>
      </c>
      <c r="B449" s="3283" t="s">
        <v>3066</v>
      </c>
      <c r="C449" s="3283" t="s">
        <v>3067</v>
      </c>
      <c r="D449" s="3283"/>
      <c r="E449" s="3283">
        <v>5104</v>
      </c>
      <c r="F449" s="3283" t="s">
        <v>3517</v>
      </c>
      <c r="G449" s="3283">
        <v>86.49</v>
      </c>
      <c r="H449" s="3283" t="s">
        <v>3069</v>
      </c>
      <c r="I449" s="3283" t="s">
        <v>3070</v>
      </c>
      <c r="J449" s="3283" t="s">
        <v>3071</v>
      </c>
    </row>
    <row r="450" spans="1:10">
      <c r="A450" s="3283">
        <v>448</v>
      </c>
      <c r="B450" s="3283" t="s">
        <v>3066</v>
      </c>
      <c r="C450" s="3283" t="s">
        <v>3067</v>
      </c>
      <c r="D450" s="3283"/>
      <c r="E450" s="3283">
        <v>5105</v>
      </c>
      <c r="F450" s="3283" t="s">
        <v>3518</v>
      </c>
      <c r="G450" s="3283">
        <v>89.54</v>
      </c>
      <c r="H450" s="3283" t="s">
        <v>3069</v>
      </c>
      <c r="I450" s="3283" t="s">
        <v>3070</v>
      </c>
      <c r="J450" s="3283" t="s">
        <v>3071</v>
      </c>
    </row>
    <row r="451" spans="1:10">
      <c r="A451" s="3283">
        <v>449</v>
      </c>
      <c r="B451" s="3283" t="s">
        <v>3066</v>
      </c>
      <c r="C451" s="3283" t="s">
        <v>3067</v>
      </c>
      <c r="D451" s="3283"/>
      <c r="E451" s="3283">
        <v>5106</v>
      </c>
      <c r="F451" s="3283" t="s">
        <v>3519</v>
      </c>
      <c r="G451" s="3283">
        <v>51.69</v>
      </c>
      <c r="H451" s="3283" t="s">
        <v>3069</v>
      </c>
      <c r="I451" s="3283" t="s">
        <v>3070</v>
      </c>
      <c r="J451" s="3283" t="s">
        <v>3071</v>
      </c>
    </row>
    <row r="452" spans="1:10">
      <c r="A452" s="3283">
        <v>450</v>
      </c>
      <c r="B452" s="3283" t="s">
        <v>3066</v>
      </c>
      <c r="C452" s="3283" t="s">
        <v>3067</v>
      </c>
      <c r="D452" s="3283"/>
      <c r="E452" s="3283">
        <v>5107</v>
      </c>
      <c r="F452" s="3283" t="s">
        <v>3520</v>
      </c>
      <c r="G452" s="3283">
        <v>51.69</v>
      </c>
      <c r="H452" s="3283" t="s">
        <v>3069</v>
      </c>
      <c r="I452" s="3283" t="s">
        <v>3070</v>
      </c>
      <c r="J452" s="3283" t="s">
        <v>3071</v>
      </c>
    </row>
    <row r="453" spans="1:10">
      <c r="A453" s="3283">
        <v>451</v>
      </c>
      <c r="B453" s="3283" t="s">
        <v>3066</v>
      </c>
      <c r="C453" s="3283" t="s">
        <v>3067</v>
      </c>
      <c r="D453" s="3283"/>
      <c r="E453" s="3283">
        <v>5108</v>
      </c>
      <c r="F453" s="3283" t="s">
        <v>3521</v>
      </c>
      <c r="G453" s="3283">
        <v>51.69</v>
      </c>
      <c r="H453" s="3283" t="s">
        <v>3069</v>
      </c>
      <c r="I453" s="3283" t="s">
        <v>3070</v>
      </c>
      <c r="J453" s="3283" t="s">
        <v>3071</v>
      </c>
    </row>
    <row r="454" spans="1:10">
      <c r="A454" s="3283">
        <v>452</v>
      </c>
      <c r="B454" s="3283" t="s">
        <v>3066</v>
      </c>
      <c r="C454" s="3283" t="s">
        <v>3067</v>
      </c>
      <c r="D454" s="3283"/>
      <c r="E454" s="3283">
        <v>5109</v>
      </c>
      <c r="F454" s="3283" t="s">
        <v>3522</v>
      </c>
      <c r="G454" s="3283">
        <v>51.69</v>
      </c>
      <c r="H454" s="3283" t="s">
        <v>3069</v>
      </c>
      <c r="I454" s="3283" t="s">
        <v>3070</v>
      </c>
      <c r="J454" s="3283" t="s">
        <v>3071</v>
      </c>
    </row>
    <row r="455" spans="1:10">
      <c r="A455" s="3283">
        <v>453</v>
      </c>
      <c r="B455" s="3283" t="s">
        <v>3066</v>
      </c>
      <c r="C455" s="3283" t="s">
        <v>3067</v>
      </c>
      <c r="D455" s="3283"/>
      <c r="E455" s="3283">
        <v>5110</v>
      </c>
      <c r="F455" s="3283" t="s">
        <v>3523</v>
      </c>
      <c r="G455" s="3283">
        <v>51.69</v>
      </c>
      <c r="H455" s="3283" t="s">
        <v>3069</v>
      </c>
      <c r="I455" s="3283" t="s">
        <v>3070</v>
      </c>
      <c r="J455" s="3283" t="s">
        <v>3071</v>
      </c>
    </row>
    <row r="456" spans="1:10">
      <c r="A456" s="3283">
        <v>454</v>
      </c>
      <c r="B456" s="3283" t="s">
        <v>3066</v>
      </c>
      <c r="C456" s="3283" t="s">
        <v>3067</v>
      </c>
      <c r="D456" s="3283"/>
      <c r="E456" s="3283">
        <v>5111</v>
      </c>
      <c r="F456" s="3283" t="s">
        <v>3524</v>
      </c>
      <c r="G456" s="3283">
        <v>51.69</v>
      </c>
      <c r="H456" s="3283" t="s">
        <v>3069</v>
      </c>
      <c r="I456" s="3283" t="s">
        <v>3070</v>
      </c>
      <c r="J456" s="3283" t="s">
        <v>3071</v>
      </c>
    </row>
    <row r="457" spans="1:10">
      <c r="A457" s="3283">
        <v>455</v>
      </c>
      <c r="B457" s="3283" t="s">
        <v>3066</v>
      </c>
      <c r="C457" s="3283" t="s">
        <v>3067</v>
      </c>
      <c r="D457" s="3283"/>
      <c r="E457" s="3283">
        <v>5112</v>
      </c>
      <c r="F457" s="3283" t="s">
        <v>3525</v>
      </c>
      <c r="G457" s="3283">
        <v>89.54</v>
      </c>
      <c r="H457" s="3283" t="s">
        <v>3069</v>
      </c>
      <c r="I457" s="3283" t="s">
        <v>3070</v>
      </c>
      <c r="J457" s="3283" t="s">
        <v>3071</v>
      </c>
    </row>
    <row r="458" spans="1:10">
      <c r="A458" s="3283">
        <v>456</v>
      </c>
      <c r="B458" s="3283" t="s">
        <v>3066</v>
      </c>
      <c r="C458" s="3283" t="s">
        <v>3067</v>
      </c>
      <c r="D458" s="3283"/>
      <c r="E458" s="3283">
        <v>5113</v>
      </c>
      <c r="F458" s="3283" t="s">
        <v>3526</v>
      </c>
      <c r="G458" s="3283">
        <v>86.49</v>
      </c>
      <c r="H458" s="3283" t="s">
        <v>3069</v>
      </c>
      <c r="I458" s="3283" t="s">
        <v>3070</v>
      </c>
      <c r="J458" s="3283" t="s">
        <v>3071</v>
      </c>
    </row>
    <row r="459" spans="1:10">
      <c r="A459" s="3283">
        <v>457</v>
      </c>
      <c r="B459" s="3283" t="s">
        <v>3066</v>
      </c>
      <c r="C459" s="3283" t="s">
        <v>3067</v>
      </c>
      <c r="D459" s="3283"/>
      <c r="E459" s="3283">
        <v>5114</v>
      </c>
      <c r="F459" s="3283" t="s">
        <v>3527</v>
      </c>
      <c r="G459" s="3283">
        <v>52.49</v>
      </c>
      <c r="H459" s="3283" t="s">
        <v>3069</v>
      </c>
      <c r="I459" s="3283" t="s">
        <v>3070</v>
      </c>
      <c r="J459" s="3283" t="s">
        <v>3071</v>
      </c>
    </row>
    <row r="460" spans="1:10">
      <c r="A460" s="3283">
        <v>458</v>
      </c>
      <c r="B460" s="3283" t="s">
        <v>3066</v>
      </c>
      <c r="C460" s="3283" t="s">
        <v>3067</v>
      </c>
      <c r="D460" s="3283"/>
      <c r="E460" s="3283">
        <v>5115</v>
      </c>
      <c r="F460" s="3283" t="s">
        <v>3528</v>
      </c>
      <c r="G460" s="3283">
        <v>52.49</v>
      </c>
      <c r="H460" s="3283" t="s">
        <v>3069</v>
      </c>
      <c r="I460" s="3283" t="s">
        <v>3070</v>
      </c>
      <c r="J460" s="3283" t="s">
        <v>3071</v>
      </c>
    </row>
    <row r="461" spans="1:10">
      <c r="A461" s="3283">
        <v>459</v>
      </c>
      <c r="B461" s="3283" t="s">
        <v>3066</v>
      </c>
      <c r="C461" s="3283" t="s">
        <v>3067</v>
      </c>
      <c r="D461" s="3283"/>
      <c r="E461" s="3283">
        <v>5116</v>
      </c>
      <c r="F461" s="3283" t="s">
        <v>3529</v>
      </c>
      <c r="G461" s="3283">
        <v>52.49</v>
      </c>
      <c r="H461" s="3283" t="s">
        <v>3069</v>
      </c>
      <c r="I461" s="3283" t="s">
        <v>3070</v>
      </c>
      <c r="J461" s="3283" t="s">
        <v>3071</v>
      </c>
    </row>
    <row r="462" spans="1:10">
      <c r="A462" s="3283">
        <v>460</v>
      </c>
      <c r="B462" s="3283" t="s">
        <v>3066</v>
      </c>
      <c r="C462" s="3283" t="s">
        <v>3067</v>
      </c>
      <c r="D462" s="3283"/>
      <c r="E462" s="3283">
        <v>5117</v>
      </c>
      <c r="F462" s="3283" t="s">
        <v>3530</v>
      </c>
      <c r="G462" s="3283">
        <v>94.09</v>
      </c>
      <c r="H462" s="3283" t="s">
        <v>3069</v>
      </c>
      <c r="I462" s="3283" t="s">
        <v>3070</v>
      </c>
      <c r="J462" s="3283" t="s">
        <v>3071</v>
      </c>
    </row>
    <row r="463" spans="1:10">
      <c r="A463" s="3283">
        <v>461</v>
      </c>
      <c r="B463" s="3283" t="s">
        <v>3066</v>
      </c>
      <c r="C463" s="3283" t="s">
        <v>3067</v>
      </c>
      <c r="D463" s="3283"/>
      <c r="E463" s="3283">
        <v>5118</v>
      </c>
      <c r="F463" s="3283" t="s">
        <v>3531</v>
      </c>
      <c r="G463" s="3283">
        <v>52.22</v>
      </c>
      <c r="H463" s="3283" t="s">
        <v>3069</v>
      </c>
      <c r="I463" s="3283" t="s">
        <v>3070</v>
      </c>
      <c r="J463" s="3283" t="s">
        <v>3071</v>
      </c>
    </row>
    <row r="464" spans="1:10">
      <c r="A464" s="3283">
        <v>462</v>
      </c>
      <c r="B464" s="3283" t="s">
        <v>3066</v>
      </c>
      <c r="C464" s="3283" t="s">
        <v>3067</v>
      </c>
      <c r="D464" s="3283"/>
      <c r="E464" s="3283">
        <v>5119</v>
      </c>
      <c r="F464" s="3283" t="s">
        <v>3532</v>
      </c>
      <c r="G464" s="3283">
        <v>52.22</v>
      </c>
      <c r="H464" s="3283" t="s">
        <v>3069</v>
      </c>
      <c r="I464" s="3283" t="s">
        <v>3070</v>
      </c>
      <c r="J464" s="3283" t="s">
        <v>3071</v>
      </c>
    </row>
    <row r="465" spans="1:10">
      <c r="A465" s="3283">
        <v>463</v>
      </c>
      <c r="B465" s="3283" t="s">
        <v>3066</v>
      </c>
      <c r="C465" s="3283" t="s">
        <v>3067</v>
      </c>
      <c r="D465" s="3283"/>
      <c r="E465" s="3283">
        <v>5120</v>
      </c>
      <c r="F465" s="3283" t="s">
        <v>3533</v>
      </c>
      <c r="G465" s="3283">
        <v>52.22</v>
      </c>
      <c r="H465" s="3283" t="s">
        <v>3069</v>
      </c>
      <c r="I465" s="3283" t="s">
        <v>3070</v>
      </c>
      <c r="J465" s="3283" t="s">
        <v>3071</v>
      </c>
    </row>
    <row r="466" spans="1:10">
      <c r="A466" s="3283">
        <v>464</v>
      </c>
      <c r="B466" s="3283" t="s">
        <v>3066</v>
      </c>
      <c r="C466" s="3283" t="s">
        <v>3067</v>
      </c>
      <c r="D466" s="3283"/>
      <c r="E466" s="3283">
        <v>5121</v>
      </c>
      <c r="F466" s="3283" t="s">
        <v>3534</v>
      </c>
      <c r="G466" s="3283">
        <v>52.22</v>
      </c>
      <c r="H466" s="3283" t="s">
        <v>3069</v>
      </c>
      <c r="I466" s="3283" t="s">
        <v>3070</v>
      </c>
      <c r="J466" s="3283" t="s">
        <v>3071</v>
      </c>
    </row>
    <row r="467" spans="1:10">
      <c r="A467" s="3283">
        <v>465</v>
      </c>
      <c r="B467" s="3283" t="s">
        <v>3066</v>
      </c>
      <c r="C467" s="3283" t="s">
        <v>3067</v>
      </c>
      <c r="D467" s="3283"/>
      <c r="E467" s="3283">
        <v>5122</v>
      </c>
      <c r="F467" s="3283" t="s">
        <v>3535</v>
      </c>
      <c r="G467" s="3283">
        <v>52.22</v>
      </c>
      <c r="H467" s="3283" t="s">
        <v>3069</v>
      </c>
      <c r="I467" s="3283" t="s">
        <v>3070</v>
      </c>
      <c r="J467" s="3283" t="s">
        <v>3071</v>
      </c>
    </row>
    <row r="468" spans="1:10">
      <c r="A468" s="3283">
        <v>466</v>
      </c>
      <c r="B468" s="3283" t="s">
        <v>3066</v>
      </c>
      <c r="C468" s="3283" t="s">
        <v>3067</v>
      </c>
      <c r="D468" s="3283"/>
      <c r="E468" s="3283">
        <v>5123</v>
      </c>
      <c r="F468" s="3283" t="s">
        <v>3536</v>
      </c>
      <c r="G468" s="3283">
        <v>52.22</v>
      </c>
      <c r="H468" s="3283" t="s">
        <v>3069</v>
      </c>
      <c r="I468" s="3283" t="s">
        <v>3070</v>
      </c>
      <c r="J468" s="3283" t="s">
        <v>3071</v>
      </c>
    </row>
    <row r="469" spans="1:10">
      <c r="A469" s="3283">
        <v>467</v>
      </c>
      <c r="B469" s="3283" t="s">
        <v>3066</v>
      </c>
      <c r="C469" s="3283" t="s">
        <v>3067</v>
      </c>
      <c r="D469" s="3283"/>
      <c r="E469" s="3283">
        <v>5124</v>
      </c>
      <c r="F469" s="3283" t="s">
        <v>3537</v>
      </c>
      <c r="G469" s="3283">
        <v>94.09</v>
      </c>
      <c r="H469" s="3283" t="s">
        <v>3069</v>
      </c>
      <c r="I469" s="3283" t="s">
        <v>3070</v>
      </c>
      <c r="J469" s="3283" t="s">
        <v>3071</v>
      </c>
    </row>
    <row r="470" spans="1:10">
      <c r="A470" s="3283">
        <v>468</v>
      </c>
      <c r="B470" s="3283" t="s">
        <v>3066</v>
      </c>
      <c r="C470" s="3283" t="s">
        <v>3067</v>
      </c>
      <c r="D470" s="3283"/>
      <c r="E470" s="3283">
        <v>5201</v>
      </c>
      <c r="F470" s="3283" t="s">
        <v>3538</v>
      </c>
      <c r="G470" s="3283">
        <v>52.49</v>
      </c>
      <c r="H470" s="3283" t="s">
        <v>3069</v>
      </c>
      <c r="I470" s="3283" t="s">
        <v>3070</v>
      </c>
      <c r="J470" s="3283" t="s">
        <v>3071</v>
      </c>
    </row>
    <row r="471" spans="1:10">
      <c r="A471" s="3283">
        <v>469</v>
      </c>
      <c r="B471" s="3283" t="s">
        <v>3066</v>
      </c>
      <c r="C471" s="3283" t="s">
        <v>3067</v>
      </c>
      <c r="D471" s="3283"/>
      <c r="E471" s="3283">
        <v>5202</v>
      </c>
      <c r="F471" s="3283" t="s">
        <v>3539</v>
      </c>
      <c r="G471" s="3283">
        <v>52.49</v>
      </c>
      <c r="H471" s="3283" t="s">
        <v>3069</v>
      </c>
      <c r="I471" s="3283" t="s">
        <v>3070</v>
      </c>
      <c r="J471" s="3283" t="s">
        <v>3071</v>
      </c>
    </row>
    <row r="472" spans="1:10">
      <c r="A472" s="3283">
        <v>470</v>
      </c>
      <c r="B472" s="3283" t="s">
        <v>3066</v>
      </c>
      <c r="C472" s="3283" t="s">
        <v>3067</v>
      </c>
      <c r="D472" s="3283"/>
      <c r="E472" s="3283">
        <v>5203</v>
      </c>
      <c r="F472" s="3283" t="s">
        <v>3540</v>
      </c>
      <c r="G472" s="3283">
        <v>52.49</v>
      </c>
      <c r="H472" s="3283" t="s">
        <v>3069</v>
      </c>
      <c r="I472" s="3283" t="s">
        <v>3070</v>
      </c>
      <c r="J472" s="3283" t="s">
        <v>3071</v>
      </c>
    </row>
    <row r="473" spans="1:10">
      <c r="A473" s="3283">
        <v>471</v>
      </c>
      <c r="B473" s="3283" t="s">
        <v>3066</v>
      </c>
      <c r="C473" s="3283" t="s">
        <v>3067</v>
      </c>
      <c r="D473" s="3283"/>
      <c r="E473" s="3283">
        <v>5204</v>
      </c>
      <c r="F473" s="3283" t="s">
        <v>3541</v>
      </c>
      <c r="G473" s="3283">
        <v>86.49</v>
      </c>
      <c r="H473" s="3283" t="s">
        <v>3069</v>
      </c>
      <c r="I473" s="3283" t="s">
        <v>3070</v>
      </c>
      <c r="J473" s="3283" t="s">
        <v>3071</v>
      </c>
    </row>
    <row r="474" spans="1:10">
      <c r="A474" s="3283">
        <v>472</v>
      </c>
      <c r="B474" s="3283" t="s">
        <v>3066</v>
      </c>
      <c r="C474" s="3283" t="s">
        <v>3067</v>
      </c>
      <c r="D474" s="3283"/>
      <c r="E474" s="3283">
        <v>5205</v>
      </c>
      <c r="F474" s="3283" t="s">
        <v>3542</v>
      </c>
      <c r="G474" s="3283">
        <v>89.54</v>
      </c>
      <c r="H474" s="3283" t="s">
        <v>3069</v>
      </c>
      <c r="I474" s="3283" t="s">
        <v>3070</v>
      </c>
      <c r="J474" s="3283" t="s">
        <v>3071</v>
      </c>
    </row>
    <row r="475" spans="1:10">
      <c r="A475" s="3283">
        <v>473</v>
      </c>
      <c r="B475" s="3283" t="s">
        <v>3066</v>
      </c>
      <c r="C475" s="3283" t="s">
        <v>3067</v>
      </c>
      <c r="D475" s="3283"/>
      <c r="E475" s="3283">
        <v>5206</v>
      </c>
      <c r="F475" s="3283" t="s">
        <v>3543</v>
      </c>
      <c r="G475" s="3283">
        <v>51.69</v>
      </c>
      <c r="H475" s="3283" t="s">
        <v>3069</v>
      </c>
      <c r="I475" s="3283" t="s">
        <v>3070</v>
      </c>
      <c r="J475" s="3283" t="s">
        <v>3071</v>
      </c>
    </row>
    <row r="476" spans="1:10">
      <c r="A476" s="3283">
        <v>474</v>
      </c>
      <c r="B476" s="3283" t="s">
        <v>3066</v>
      </c>
      <c r="C476" s="3283" t="s">
        <v>3067</v>
      </c>
      <c r="D476" s="3283"/>
      <c r="E476" s="3283">
        <v>5207</v>
      </c>
      <c r="F476" s="3283" t="s">
        <v>3544</v>
      </c>
      <c r="G476" s="3283">
        <v>51.69</v>
      </c>
      <c r="H476" s="3283" t="s">
        <v>3069</v>
      </c>
      <c r="I476" s="3283" t="s">
        <v>3070</v>
      </c>
      <c r="J476" s="3283" t="s">
        <v>3071</v>
      </c>
    </row>
    <row r="477" spans="1:10">
      <c r="A477" s="3283">
        <v>475</v>
      </c>
      <c r="B477" s="3283" t="s">
        <v>3066</v>
      </c>
      <c r="C477" s="3283" t="s">
        <v>3067</v>
      </c>
      <c r="D477" s="3283"/>
      <c r="E477" s="3283">
        <v>5208</v>
      </c>
      <c r="F477" s="3283" t="s">
        <v>3545</v>
      </c>
      <c r="G477" s="3283">
        <v>51.69</v>
      </c>
      <c r="H477" s="3283" t="s">
        <v>3069</v>
      </c>
      <c r="I477" s="3283" t="s">
        <v>3070</v>
      </c>
      <c r="J477" s="3283" t="s">
        <v>3071</v>
      </c>
    </row>
    <row r="478" spans="1:10">
      <c r="A478" s="3283">
        <v>476</v>
      </c>
      <c r="B478" s="3283" t="s">
        <v>3066</v>
      </c>
      <c r="C478" s="3283" t="s">
        <v>3067</v>
      </c>
      <c r="D478" s="3283"/>
      <c r="E478" s="3283">
        <v>5209</v>
      </c>
      <c r="F478" s="3283" t="s">
        <v>3546</v>
      </c>
      <c r="G478" s="3283">
        <v>51.69</v>
      </c>
      <c r="H478" s="3283" t="s">
        <v>3069</v>
      </c>
      <c r="I478" s="3283" t="s">
        <v>3070</v>
      </c>
      <c r="J478" s="3283" t="s">
        <v>3071</v>
      </c>
    </row>
    <row r="479" spans="1:10">
      <c r="A479" s="3283">
        <v>477</v>
      </c>
      <c r="B479" s="3283" t="s">
        <v>3066</v>
      </c>
      <c r="C479" s="3283" t="s">
        <v>3067</v>
      </c>
      <c r="D479" s="3283"/>
      <c r="E479" s="3283">
        <v>5210</v>
      </c>
      <c r="F479" s="3283" t="s">
        <v>3547</v>
      </c>
      <c r="G479" s="3283">
        <v>51.69</v>
      </c>
      <c r="H479" s="3283" t="s">
        <v>3069</v>
      </c>
      <c r="I479" s="3283" t="s">
        <v>3070</v>
      </c>
      <c r="J479" s="3283" t="s">
        <v>3071</v>
      </c>
    </row>
    <row r="480" spans="1:10">
      <c r="A480" s="3283">
        <v>478</v>
      </c>
      <c r="B480" s="3283" t="s">
        <v>3066</v>
      </c>
      <c r="C480" s="3283" t="s">
        <v>3067</v>
      </c>
      <c r="D480" s="3283"/>
      <c r="E480" s="3283">
        <v>5211</v>
      </c>
      <c r="F480" s="3283" t="s">
        <v>3548</v>
      </c>
      <c r="G480" s="3283">
        <v>51.69</v>
      </c>
      <c r="H480" s="3283" t="s">
        <v>3069</v>
      </c>
      <c r="I480" s="3283" t="s">
        <v>3070</v>
      </c>
      <c r="J480" s="3283" t="s">
        <v>3071</v>
      </c>
    </row>
    <row r="481" spans="1:10">
      <c r="A481" s="3283">
        <v>479</v>
      </c>
      <c r="B481" s="3283" t="s">
        <v>3066</v>
      </c>
      <c r="C481" s="3283" t="s">
        <v>3067</v>
      </c>
      <c r="D481" s="3283"/>
      <c r="E481" s="3283">
        <v>5212</v>
      </c>
      <c r="F481" s="3283" t="s">
        <v>3549</v>
      </c>
      <c r="G481" s="3283">
        <v>89.54</v>
      </c>
      <c r="H481" s="3283" t="s">
        <v>3069</v>
      </c>
      <c r="I481" s="3283" t="s">
        <v>3070</v>
      </c>
      <c r="J481" s="3283" t="s">
        <v>3071</v>
      </c>
    </row>
    <row r="482" spans="1:10">
      <c r="A482" s="3283">
        <v>480</v>
      </c>
      <c r="B482" s="3283" t="s">
        <v>3066</v>
      </c>
      <c r="C482" s="3283" t="s">
        <v>3067</v>
      </c>
      <c r="D482" s="3283"/>
      <c r="E482" s="3283">
        <v>5213</v>
      </c>
      <c r="F482" s="3283" t="s">
        <v>3550</v>
      </c>
      <c r="G482" s="3283">
        <v>86.49</v>
      </c>
      <c r="H482" s="3283" t="s">
        <v>3069</v>
      </c>
      <c r="I482" s="3283" t="s">
        <v>3070</v>
      </c>
      <c r="J482" s="3283" t="s">
        <v>3071</v>
      </c>
    </row>
    <row r="483" spans="1:10">
      <c r="A483" s="3283">
        <v>481</v>
      </c>
      <c r="B483" s="3283" t="s">
        <v>3066</v>
      </c>
      <c r="C483" s="3283" t="s">
        <v>3067</v>
      </c>
      <c r="D483" s="3283"/>
      <c r="E483" s="3283">
        <v>5214</v>
      </c>
      <c r="F483" s="3283" t="s">
        <v>3551</v>
      </c>
      <c r="G483" s="3283">
        <v>52.49</v>
      </c>
      <c r="H483" s="3283" t="s">
        <v>3069</v>
      </c>
      <c r="I483" s="3283" t="s">
        <v>3070</v>
      </c>
      <c r="J483" s="3283" t="s">
        <v>3071</v>
      </c>
    </row>
    <row r="484" spans="1:10">
      <c r="A484" s="3283">
        <v>482</v>
      </c>
      <c r="B484" s="3283" t="s">
        <v>3066</v>
      </c>
      <c r="C484" s="3283" t="s">
        <v>3067</v>
      </c>
      <c r="D484" s="3283"/>
      <c r="E484" s="3283">
        <v>5215</v>
      </c>
      <c r="F484" s="3283" t="s">
        <v>3552</v>
      </c>
      <c r="G484" s="3283">
        <v>52.49</v>
      </c>
      <c r="H484" s="3283" t="s">
        <v>3069</v>
      </c>
      <c r="I484" s="3283" t="s">
        <v>3070</v>
      </c>
      <c r="J484" s="3283" t="s">
        <v>3071</v>
      </c>
    </row>
    <row r="485" spans="1:10">
      <c r="A485" s="3283">
        <v>483</v>
      </c>
      <c r="B485" s="3283" t="s">
        <v>3066</v>
      </c>
      <c r="C485" s="3283" t="s">
        <v>3067</v>
      </c>
      <c r="D485" s="3283"/>
      <c r="E485" s="3283">
        <v>5216</v>
      </c>
      <c r="F485" s="3283" t="s">
        <v>3553</v>
      </c>
      <c r="G485" s="3283">
        <v>52.49</v>
      </c>
      <c r="H485" s="3283" t="s">
        <v>3069</v>
      </c>
      <c r="I485" s="3283" t="s">
        <v>3070</v>
      </c>
      <c r="J485" s="3283" t="s">
        <v>3071</v>
      </c>
    </row>
    <row r="486" spans="1:10">
      <c r="A486" s="3283">
        <v>484</v>
      </c>
      <c r="B486" s="3283" t="s">
        <v>3066</v>
      </c>
      <c r="C486" s="3283" t="s">
        <v>3067</v>
      </c>
      <c r="D486" s="3283"/>
      <c r="E486" s="3283">
        <v>5217</v>
      </c>
      <c r="F486" s="3283" t="s">
        <v>3554</v>
      </c>
      <c r="G486" s="3283">
        <v>94.09</v>
      </c>
      <c r="H486" s="3283" t="s">
        <v>3069</v>
      </c>
      <c r="I486" s="3283" t="s">
        <v>3070</v>
      </c>
      <c r="J486" s="3283" t="s">
        <v>3071</v>
      </c>
    </row>
    <row r="487" spans="1:10">
      <c r="A487" s="3283">
        <v>485</v>
      </c>
      <c r="B487" s="3283" t="s">
        <v>3066</v>
      </c>
      <c r="C487" s="3283" t="s">
        <v>3067</v>
      </c>
      <c r="D487" s="3283"/>
      <c r="E487" s="3283">
        <v>5218</v>
      </c>
      <c r="F487" s="3283" t="s">
        <v>3555</v>
      </c>
      <c r="G487" s="3283">
        <v>52.22</v>
      </c>
      <c r="H487" s="3283" t="s">
        <v>3069</v>
      </c>
      <c r="I487" s="3283" t="s">
        <v>3070</v>
      </c>
      <c r="J487" s="3283" t="s">
        <v>3071</v>
      </c>
    </row>
    <row r="488" spans="1:10">
      <c r="A488" s="3283">
        <v>486</v>
      </c>
      <c r="B488" s="3283" t="s">
        <v>3066</v>
      </c>
      <c r="C488" s="3283" t="s">
        <v>3067</v>
      </c>
      <c r="D488" s="3283"/>
      <c r="E488" s="3283">
        <v>5219</v>
      </c>
      <c r="F488" s="3283" t="s">
        <v>3556</v>
      </c>
      <c r="G488" s="3283">
        <v>52.22</v>
      </c>
      <c r="H488" s="3283" t="s">
        <v>3069</v>
      </c>
      <c r="I488" s="3283" t="s">
        <v>3070</v>
      </c>
      <c r="J488" s="3283" t="s">
        <v>3071</v>
      </c>
    </row>
    <row r="489" spans="1:10">
      <c r="A489" s="3283">
        <v>487</v>
      </c>
      <c r="B489" s="3283" t="s">
        <v>3066</v>
      </c>
      <c r="C489" s="3283" t="s">
        <v>3067</v>
      </c>
      <c r="D489" s="3283"/>
      <c r="E489" s="3283">
        <v>5220</v>
      </c>
      <c r="F489" s="3283" t="s">
        <v>3557</v>
      </c>
      <c r="G489" s="3283">
        <v>52.22</v>
      </c>
      <c r="H489" s="3283" t="s">
        <v>3069</v>
      </c>
      <c r="I489" s="3283" t="s">
        <v>3070</v>
      </c>
      <c r="J489" s="3283" t="s">
        <v>3071</v>
      </c>
    </row>
    <row r="490" spans="1:10">
      <c r="A490" s="3283">
        <v>488</v>
      </c>
      <c r="B490" s="3283" t="s">
        <v>3066</v>
      </c>
      <c r="C490" s="3283" t="s">
        <v>3067</v>
      </c>
      <c r="D490" s="3283"/>
      <c r="E490" s="3283">
        <v>5221</v>
      </c>
      <c r="F490" s="3283" t="s">
        <v>3558</v>
      </c>
      <c r="G490" s="3283">
        <v>52.22</v>
      </c>
      <c r="H490" s="3283" t="s">
        <v>3069</v>
      </c>
      <c r="I490" s="3283" t="s">
        <v>3070</v>
      </c>
      <c r="J490" s="3283" t="s">
        <v>3071</v>
      </c>
    </row>
    <row r="491" spans="1:10">
      <c r="A491" s="3283">
        <v>489</v>
      </c>
      <c r="B491" s="3283" t="s">
        <v>3066</v>
      </c>
      <c r="C491" s="3283" t="s">
        <v>3067</v>
      </c>
      <c r="D491" s="3283"/>
      <c r="E491" s="3283">
        <v>5222</v>
      </c>
      <c r="F491" s="3283" t="s">
        <v>3559</v>
      </c>
      <c r="G491" s="3283">
        <v>52.22</v>
      </c>
      <c r="H491" s="3283" t="s">
        <v>3069</v>
      </c>
      <c r="I491" s="3283" t="s">
        <v>3070</v>
      </c>
      <c r="J491" s="3283" t="s">
        <v>3071</v>
      </c>
    </row>
    <row r="492" spans="1:10">
      <c r="A492" s="3283">
        <v>490</v>
      </c>
      <c r="B492" s="3283" t="s">
        <v>3066</v>
      </c>
      <c r="C492" s="3283" t="s">
        <v>3067</v>
      </c>
      <c r="D492" s="3283"/>
      <c r="E492" s="3283">
        <v>5223</v>
      </c>
      <c r="F492" s="3283" t="s">
        <v>3560</v>
      </c>
      <c r="G492" s="3283">
        <v>52.22</v>
      </c>
      <c r="H492" s="3283" t="s">
        <v>3069</v>
      </c>
      <c r="I492" s="3283" t="s">
        <v>3070</v>
      </c>
      <c r="J492" s="3283" t="s">
        <v>3071</v>
      </c>
    </row>
    <row r="493" spans="1:10">
      <c r="A493" s="3283">
        <v>491</v>
      </c>
      <c r="B493" s="3283" t="s">
        <v>3066</v>
      </c>
      <c r="C493" s="3283" t="s">
        <v>3067</v>
      </c>
      <c r="D493" s="3283"/>
      <c r="E493" s="3283">
        <v>5224</v>
      </c>
      <c r="F493" s="3283" t="s">
        <v>3561</v>
      </c>
      <c r="G493" s="3283">
        <v>94.09</v>
      </c>
      <c r="H493" s="3283" t="s">
        <v>3069</v>
      </c>
      <c r="I493" s="3283" t="s">
        <v>3070</v>
      </c>
      <c r="J493" s="3283" t="s">
        <v>3071</v>
      </c>
    </row>
    <row r="494" spans="1:10">
      <c r="A494" s="3283">
        <v>492</v>
      </c>
      <c r="B494" s="3283" t="s">
        <v>3066</v>
      </c>
      <c r="C494" s="3283" t="s">
        <v>3067</v>
      </c>
      <c r="D494" s="3283"/>
      <c r="E494" s="3283">
        <v>5301</v>
      </c>
      <c r="F494" s="3283" t="s">
        <v>3562</v>
      </c>
      <c r="G494" s="3283">
        <v>52.49</v>
      </c>
      <c r="H494" s="3283" t="s">
        <v>3069</v>
      </c>
      <c r="I494" s="3283" t="s">
        <v>3070</v>
      </c>
      <c r="J494" s="3283" t="s">
        <v>3071</v>
      </c>
    </row>
    <row r="495" spans="1:10">
      <c r="A495" s="3283">
        <v>493</v>
      </c>
      <c r="B495" s="3283" t="s">
        <v>3066</v>
      </c>
      <c r="C495" s="3283" t="s">
        <v>3067</v>
      </c>
      <c r="D495" s="3283"/>
      <c r="E495" s="3283">
        <v>5302</v>
      </c>
      <c r="F495" s="3283" t="s">
        <v>3563</v>
      </c>
      <c r="G495" s="3283">
        <v>52.49</v>
      </c>
      <c r="H495" s="3283" t="s">
        <v>3069</v>
      </c>
      <c r="I495" s="3283" t="s">
        <v>3070</v>
      </c>
      <c r="J495" s="3283" t="s">
        <v>3071</v>
      </c>
    </row>
    <row r="496" spans="1:10">
      <c r="A496" s="3283">
        <v>494</v>
      </c>
      <c r="B496" s="3283" t="s">
        <v>3066</v>
      </c>
      <c r="C496" s="3283" t="s">
        <v>3067</v>
      </c>
      <c r="D496" s="3283"/>
      <c r="E496" s="3283">
        <v>5303</v>
      </c>
      <c r="F496" s="3283" t="s">
        <v>3564</v>
      </c>
      <c r="G496" s="3283">
        <v>52.49</v>
      </c>
      <c r="H496" s="3283" t="s">
        <v>3069</v>
      </c>
      <c r="I496" s="3283" t="s">
        <v>3070</v>
      </c>
      <c r="J496" s="3283" t="s">
        <v>3071</v>
      </c>
    </row>
    <row r="497" spans="1:10">
      <c r="A497" s="3283">
        <v>495</v>
      </c>
      <c r="B497" s="3283" t="s">
        <v>3066</v>
      </c>
      <c r="C497" s="3283" t="s">
        <v>3067</v>
      </c>
      <c r="D497" s="3283"/>
      <c r="E497" s="3283">
        <v>5304</v>
      </c>
      <c r="F497" s="3283" t="s">
        <v>3565</v>
      </c>
      <c r="G497" s="3283">
        <v>86.49</v>
      </c>
      <c r="H497" s="3283" t="s">
        <v>3069</v>
      </c>
      <c r="I497" s="3283" t="s">
        <v>3070</v>
      </c>
      <c r="J497" s="3283" t="s">
        <v>3071</v>
      </c>
    </row>
    <row r="498" spans="1:10">
      <c r="A498" s="3283">
        <v>496</v>
      </c>
      <c r="B498" s="3283" t="s">
        <v>3066</v>
      </c>
      <c r="C498" s="3283" t="s">
        <v>3067</v>
      </c>
      <c r="D498" s="3283"/>
      <c r="E498" s="3283">
        <v>5305</v>
      </c>
      <c r="F498" s="3283" t="s">
        <v>3566</v>
      </c>
      <c r="G498" s="3283">
        <v>89.54</v>
      </c>
      <c r="H498" s="3283" t="s">
        <v>3069</v>
      </c>
      <c r="I498" s="3283" t="s">
        <v>3070</v>
      </c>
      <c r="J498" s="3283" t="s">
        <v>3071</v>
      </c>
    </row>
    <row r="499" spans="1:10">
      <c r="A499" s="3283">
        <v>497</v>
      </c>
      <c r="B499" s="3283" t="s">
        <v>3066</v>
      </c>
      <c r="C499" s="3283" t="s">
        <v>3067</v>
      </c>
      <c r="D499" s="3283"/>
      <c r="E499" s="3283">
        <v>5306</v>
      </c>
      <c r="F499" s="3283" t="s">
        <v>3567</v>
      </c>
      <c r="G499" s="3283">
        <v>51.69</v>
      </c>
      <c r="H499" s="3283" t="s">
        <v>3069</v>
      </c>
      <c r="I499" s="3283" t="s">
        <v>3070</v>
      </c>
      <c r="J499" s="3283" t="s">
        <v>3071</v>
      </c>
    </row>
    <row r="500" spans="1:10">
      <c r="A500" s="3283">
        <v>498</v>
      </c>
      <c r="B500" s="3283" t="s">
        <v>3066</v>
      </c>
      <c r="C500" s="3283" t="s">
        <v>3067</v>
      </c>
      <c r="D500" s="3283"/>
      <c r="E500" s="3283">
        <v>5307</v>
      </c>
      <c r="F500" s="3283" t="s">
        <v>3568</v>
      </c>
      <c r="G500" s="3283">
        <v>51.69</v>
      </c>
      <c r="H500" s="3283" t="s">
        <v>3069</v>
      </c>
      <c r="I500" s="3283" t="s">
        <v>3070</v>
      </c>
      <c r="J500" s="3283" t="s">
        <v>3071</v>
      </c>
    </row>
    <row r="501" spans="1:10">
      <c r="A501" s="3283">
        <v>499</v>
      </c>
      <c r="B501" s="3283" t="s">
        <v>3066</v>
      </c>
      <c r="C501" s="3283" t="s">
        <v>3067</v>
      </c>
      <c r="D501" s="3283"/>
      <c r="E501" s="3283">
        <v>5308</v>
      </c>
      <c r="F501" s="3283" t="s">
        <v>3569</v>
      </c>
      <c r="G501" s="3283">
        <v>51.69</v>
      </c>
      <c r="H501" s="3283" t="s">
        <v>3069</v>
      </c>
      <c r="I501" s="3283" t="s">
        <v>3070</v>
      </c>
      <c r="J501" s="3283" t="s">
        <v>3071</v>
      </c>
    </row>
    <row r="502" spans="1:10">
      <c r="A502" s="3283">
        <v>500</v>
      </c>
      <c r="B502" s="3283" t="s">
        <v>3066</v>
      </c>
      <c r="C502" s="3283" t="s">
        <v>3067</v>
      </c>
      <c r="D502" s="3283"/>
      <c r="E502" s="3283">
        <v>5309</v>
      </c>
      <c r="F502" s="3283" t="s">
        <v>3570</v>
      </c>
      <c r="G502" s="3283">
        <v>51.69</v>
      </c>
      <c r="H502" s="3283" t="s">
        <v>3069</v>
      </c>
      <c r="I502" s="3283" t="s">
        <v>3070</v>
      </c>
      <c r="J502" s="3283" t="s">
        <v>3071</v>
      </c>
    </row>
    <row r="503" spans="1:10">
      <c r="A503" s="3283">
        <v>501</v>
      </c>
      <c r="B503" s="3283" t="s">
        <v>3066</v>
      </c>
      <c r="C503" s="3283" t="s">
        <v>3067</v>
      </c>
      <c r="D503" s="3283"/>
      <c r="E503" s="3283">
        <v>5310</v>
      </c>
      <c r="F503" s="3283" t="s">
        <v>3571</v>
      </c>
      <c r="G503" s="3283">
        <v>51.69</v>
      </c>
      <c r="H503" s="3283" t="s">
        <v>3069</v>
      </c>
      <c r="I503" s="3283" t="s">
        <v>3070</v>
      </c>
      <c r="J503" s="3283" t="s">
        <v>3071</v>
      </c>
    </row>
    <row r="504" spans="1:10">
      <c r="A504" s="3283">
        <v>502</v>
      </c>
      <c r="B504" s="3283" t="s">
        <v>3066</v>
      </c>
      <c r="C504" s="3283" t="s">
        <v>3067</v>
      </c>
      <c r="D504" s="3283"/>
      <c r="E504" s="3283">
        <v>5311</v>
      </c>
      <c r="F504" s="3283" t="s">
        <v>3572</v>
      </c>
      <c r="G504" s="3283">
        <v>51.69</v>
      </c>
      <c r="H504" s="3283" t="s">
        <v>3069</v>
      </c>
      <c r="I504" s="3283" t="s">
        <v>3070</v>
      </c>
      <c r="J504" s="3283" t="s">
        <v>3071</v>
      </c>
    </row>
    <row r="505" spans="1:10">
      <c r="A505" s="3283">
        <v>503</v>
      </c>
      <c r="B505" s="3283" t="s">
        <v>3066</v>
      </c>
      <c r="C505" s="3283" t="s">
        <v>3067</v>
      </c>
      <c r="D505" s="3283"/>
      <c r="E505" s="3283">
        <v>5312</v>
      </c>
      <c r="F505" s="3283" t="s">
        <v>3573</v>
      </c>
      <c r="G505" s="3283">
        <v>89.54</v>
      </c>
      <c r="H505" s="3283" t="s">
        <v>3069</v>
      </c>
      <c r="I505" s="3283" t="s">
        <v>3070</v>
      </c>
      <c r="J505" s="3283" t="s">
        <v>3071</v>
      </c>
    </row>
    <row r="506" spans="1:10">
      <c r="A506" s="3283">
        <v>504</v>
      </c>
      <c r="B506" s="3283" t="s">
        <v>3066</v>
      </c>
      <c r="C506" s="3283" t="s">
        <v>3067</v>
      </c>
      <c r="D506" s="3283"/>
      <c r="E506" s="3283">
        <v>5313</v>
      </c>
      <c r="F506" s="3283" t="s">
        <v>3574</v>
      </c>
      <c r="G506" s="3283">
        <v>86.49</v>
      </c>
      <c r="H506" s="3283" t="s">
        <v>3069</v>
      </c>
      <c r="I506" s="3283" t="s">
        <v>3070</v>
      </c>
      <c r="J506" s="3283" t="s">
        <v>3071</v>
      </c>
    </row>
    <row r="507" spans="1:10">
      <c r="A507" s="3283">
        <v>505</v>
      </c>
      <c r="B507" s="3283" t="s">
        <v>3066</v>
      </c>
      <c r="C507" s="3283" t="s">
        <v>3067</v>
      </c>
      <c r="D507" s="3283"/>
      <c r="E507" s="3283">
        <v>5314</v>
      </c>
      <c r="F507" s="3283" t="s">
        <v>3575</v>
      </c>
      <c r="G507" s="3283">
        <v>52.49</v>
      </c>
      <c r="H507" s="3283" t="s">
        <v>3069</v>
      </c>
      <c r="I507" s="3283" t="s">
        <v>3070</v>
      </c>
      <c r="J507" s="3283" t="s">
        <v>3071</v>
      </c>
    </row>
    <row r="508" spans="1:10">
      <c r="A508" s="3283">
        <v>506</v>
      </c>
      <c r="B508" s="3283" t="s">
        <v>3066</v>
      </c>
      <c r="C508" s="3283" t="s">
        <v>3067</v>
      </c>
      <c r="D508" s="3283"/>
      <c r="E508" s="3283">
        <v>5315</v>
      </c>
      <c r="F508" s="3283" t="s">
        <v>3576</v>
      </c>
      <c r="G508" s="3283">
        <v>52.49</v>
      </c>
      <c r="H508" s="3283" t="s">
        <v>3069</v>
      </c>
      <c r="I508" s="3283" t="s">
        <v>3070</v>
      </c>
      <c r="J508" s="3283" t="s">
        <v>3071</v>
      </c>
    </row>
    <row r="509" spans="1:10">
      <c r="A509" s="3283">
        <v>507</v>
      </c>
      <c r="B509" s="3283" t="s">
        <v>3066</v>
      </c>
      <c r="C509" s="3283" t="s">
        <v>3067</v>
      </c>
      <c r="D509" s="3283"/>
      <c r="E509" s="3283">
        <v>5316</v>
      </c>
      <c r="F509" s="3283" t="s">
        <v>3577</v>
      </c>
      <c r="G509" s="3283">
        <v>52.49</v>
      </c>
      <c r="H509" s="3283" t="s">
        <v>3069</v>
      </c>
      <c r="I509" s="3283" t="s">
        <v>3070</v>
      </c>
      <c r="J509" s="3283" t="s">
        <v>3071</v>
      </c>
    </row>
    <row r="510" spans="1:10">
      <c r="A510" s="3283">
        <v>508</v>
      </c>
      <c r="B510" s="3283" t="s">
        <v>3066</v>
      </c>
      <c r="C510" s="3283" t="s">
        <v>3067</v>
      </c>
      <c r="D510" s="3283"/>
      <c r="E510" s="3283">
        <v>5317</v>
      </c>
      <c r="F510" s="3283" t="s">
        <v>3578</v>
      </c>
      <c r="G510" s="3283">
        <v>94.09</v>
      </c>
      <c r="H510" s="3283" t="s">
        <v>3069</v>
      </c>
      <c r="I510" s="3283" t="s">
        <v>3070</v>
      </c>
      <c r="J510" s="3283" t="s">
        <v>3071</v>
      </c>
    </row>
    <row r="511" spans="1:10">
      <c r="A511" s="3283">
        <v>509</v>
      </c>
      <c r="B511" s="3283" t="s">
        <v>3066</v>
      </c>
      <c r="C511" s="3283" t="s">
        <v>3067</v>
      </c>
      <c r="D511" s="3283"/>
      <c r="E511" s="3283">
        <v>5318</v>
      </c>
      <c r="F511" s="3283" t="s">
        <v>3579</v>
      </c>
      <c r="G511" s="3283">
        <v>52.22</v>
      </c>
      <c r="H511" s="3283" t="s">
        <v>3069</v>
      </c>
      <c r="I511" s="3283" t="s">
        <v>3070</v>
      </c>
      <c r="J511" s="3283" t="s">
        <v>3071</v>
      </c>
    </row>
    <row r="512" spans="1:10">
      <c r="A512" s="3283">
        <v>510</v>
      </c>
      <c r="B512" s="3283" t="s">
        <v>3066</v>
      </c>
      <c r="C512" s="3283" t="s">
        <v>3067</v>
      </c>
      <c r="D512" s="3283"/>
      <c r="E512" s="3283">
        <v>5319</v>
      </c>
      <c r="F512" s="3283" t="s">
        <v>3580</v>
      </c>
      <c r="G512" s="3283">
        <v>52.22</v>
      </c>
      <c r="H512" s="3283" t="s">
        <v>3069</v>
      </c>
      <c r="I512" s="3283" t="s">
        <v>3070</v>
      </c>
      <c r="J512" s="3283" t="s">
        <v>3071</v>
      </c>
    </row>
    <row r="513" spans="1:10">
      <c r="A513" s="3283">
        <v>511</v>
      </c>
      <c r="B513" s="3283" t="s">
        <v>3066</v>
      </c>
      <c r="C513" s="3283" t="s">
        <v>3067</v>
      </c>
      <c r="D513" s="3283"/>
      <c r="E513" s="3283">
        <v>5320</v>
      </c>
      <c r="F513" s="3283" t="s">
        <v>3581</v>
      </c>
      <c r="G513" s="3283">
        <v>52.22</v>
      </c>
      <c r="H513" s="3283" t="s">
        <v>3069</v>
      </c>
      <c r="I513" s="3283" t="s">
        <v>3070</v>
      </c>
      <c r="J513" s="3283" t="s">
        <v>3071</v>
      </c>
    </row>
    <row r="514" spans="1:10">
      <c r="A514" s="3283">
        <v>512</v>
      </c>
      <c r="B514" s="3283" t="s">
        <v>3066</v>
      </c>
      <c r="C514" s="3283" t="s">
        <v>3067</v>
      </c>
      <c r="D514" s="3283"/>
      <c r="E514" s="3283">
        <v>5321</v>
      </c>
      <c r="F514" s="3283" t="s">
        <v>3582</v>
      </c>
      <c r="G514" s="3283">
        <v>52.22</v>
      </c>
      <c r="H514" s="3283" t="s">
        <v>3069</v>
      </c>
      <c r="I514" s="3283" t="s">
        <v>3070</v>
      </c>
      <c r="J514" s="3283" t="s">
        <v>3071</v>
      </c>
    </row>
    <row r="515" spans="1:10">
      <c r="A515" s="3283">
        <v>513</v>
      </c>
      <c r="B515" s="3283" t="s">
        <v>3066</v>
      </c>
      <c r="C515" s="3283" t="s">
        <v>3067</v>
      </c>
      <c r="D515" s="3283"/>
      <c r="E515" s="3283">
        <v>5322</v>
      </c>
      <c r="F515" s="3283" t="s">
        <v>3583</v>
      </c>
      <c r="G515" s="3283">
        <v>52.22</v>
      </c>
      <c r="H515" s="3283" t="s">
        <v>3069</v>
      </c>
      <c r="I515" s="3283" t="s">
        <v>3070</v>
      </c>
      <c r="J515" s="3283" t="s">
        <v>3071</v>
      </c>
    </row>
    <row r="516" spans="1:10">
      <c r="A516" s="3283">
        <v>514</v>
      </c>
      <c r="B516" s="3283" t="s">
        <v>3066</v>
      </c>
      <c r="C516" s="3283" t="s">
        <v>3067</v>
      </c>
      <c r="D516" s="3283"/>
      <c r="E516" s="3283">
        <v>5323</v>
      </c>
      <c r="F516" s="3283" t="s">
        <v>3584</v>
      </c>
      <c r="G516" s="3283">
        <v>52.22</v>
      </c>
      <c r="H516" s="3283" t="s">
        <v>3069</v>
      </c>
      <c r="I516" s="3283" t="s">
        <v>3070</v>
      </c>
      <c r="J516" s="3283" t="s">
        <v>3071</v>
      </c>
    </row>
    <row r="517" spans="1:10">
      <c r="A517" s="3283">
        <v>515</v>
      </c>
      <c r="B517" s="3283" t="s">
        <v>3066</v>
      </c>
      <c r="C517" s="3283" t="s">
        <v>3067</v>
      </c>
      <c r="D517" s="3283"/>
      <c r="E517" s="3283">
        <v>5324</v>
      </c>
      <c r="F517" s="3283" t="s">
        <v>3585</v>
      </c>
      <c r="G517" s="3283">
        <v>94.09</v>
      </c>
      <c r="H517" s="3283" t="s">
        <v>3069</v>
      </c>
      <c r="I517" s="3283" t="s">
        <v>3070</v>
      </c>
      <c r="J517" s="3283" t="s">
        <v>3071</v>
      </c>
    </row>
    <row r="518" spans="1:10">
      <c r="A518" s="3283">
        <v>516</v>
      </c>
      <c r="B518" s="3283" t="s">
        <v>3066</v>
      </c>
      <c r="C518" s="3283" t="s">
        <v>3067</v>
      </c>
      <c r="D518" s="3283"/>
      <c r="E518" s="3283">
        <v>5401</v>
      </c>
      <c r="F518" s="3283" t="s">
        <v>3586</v>
      </c>
      <c r="G518" s="3283">
        <v>52.49</v>
      </c>
      <c r="H518" s="3283" t="s">
        <v>3069</v>
      </c>
      <c r="I518" s="3283" t="s">
        <v>3070</v>
      </c>
      <c r="J518" s="3283" t="s">
        <v>3071</v>
      </c>
    </row>
    <row r="519" spans="1:10">
      <c r="A519" s="3283">
        <v>517</v>
      </c>
      <c r="B519" s="3283" t="s">
        <v>3066</v>
      </c>
      <c r="C519" s="3283" t="s">
        <v>3067</v>
      </c>
      <c r="D519" s="3283"/>
      <c r="E519" s="3283">
        <v>5402</v>
      </c>
      <c r="F519" s="3283" t="s">
        <v>3587</v>
      </c>
      <c r="G519" s="3283">
        <v>52.49</v>
      </c>
      <c r="H519" s="3283" t="s">
        <v>3069</v>
      </c>
      <c r="I519" s="3283" t="s">
        <v>3070</v>
      </c>
      <c r="J519" s="3283" t="s">
        <v>3071</v>
      </c>
    </row>
    <row r="520" spans="1:10">
      <c r="A520" s="3283">
        <v>518</v>
      </c>
      <c r="B520" s="3283" t="s">
        <v>3066</v>
      </c>
      <c r="C520" s="3283" t="s">
        <v>3067</v>
      </c>
      <c r="D520" s="3283"/>
      <c r="E520" s="3283">
        <v>5403</v>
      </c>
      <c r="F520" s="3283" t="s">
        <v>3588</v>
      </c>
      <c r="G520" s="3283">
        <v>52.49</v>
      </c>
      <c r="H520" s="3283" t="s">
        <v>3069</v>
      </c>
      <c r="I520" s="3283" t="s">
        <v>3070</v>
      </c>
      <c r="J520" s="3283" t="s">
        <v>3071</v>
      </c>
    </row>
    <row r="521" spans="1:10">
      <c r="A521" s="3283">
        <v>519</v>
      </c>
      <c r="B521" s="3283" t="s">
        <v>3066</v>
      </c>
      <c r="C521" s="3283" t="s">
        <v>3067</v>
      </c>
      <c r="D521" s="3283"/>
      <c r="E521" s="3283">
        <v>5404</v>
      </c>
      <c r="F521" s="3283" t="s">
        <v>3589</v>
      </c>
      <c r="G521" s="3283">
        <v>86.49</v>
      </c>
      <c r="H521" s="3283" t="s">
        <v>3069</v>
      </c>
      <c r="I521" s="3283" t="s">
        <v>3070</v>
      </c>
      <c r="J521" s="3283" t="s">
        <v>3071</v>
      </c>
    </row>
    <row r="522" spans="1:10">
      <c r="A522" s="3283">
        <v>520</v>
      </c>
      <c r="B522" s="3283" t="s">
        <v>3066</v>
      </c>
      <c r="C522" s="3283" t="s">
        <v>3067</v>
      </c>
      <c r="D522" s="3283"/>
      <c r="E522" s="3283">
        <v>5405</v>
      </c>
      <c r="F522" s="3283" t="s">
        <v>3590</v>
      </c>
      <c r="G522" s="3283">
        <v>89.54</v>
      </c>
      <c r="H522" s="3283" t="s">
        <v>3069</v>
      </c>
      <c r="I522" s="3283" t="s">
        <v>3070</v>
      </c>
      <c r="J522" s="3283" t="s">
        <v>3071</v>
      </c>
    </row>
    <row r="523" spans="1:10">
      <c r="A523" s="3283">
        <v>521</v>
      </c>
      <c r="B523" s="3283" t="s">
        <v>3066</v>
      </c>
      <c r="C523" s="3283" t="s">
        <v>3067</v>
      </c>
      <c r="D523" s="3283"/>
      <c r="E523" s="3283">
        <v>5406</v>
      </c>
      <c r="F523" s="3283" t="s">
        <v>3591</v>
      </c>
      <c r="G523" s="3283">
        <v>51.69</v>
      </c>
      <c r="H523" s="3283" t="s">
        <v>3069</v>
      </c>
      <c r="I523" s="3283" t="s">
        <v>3070</v>
      </c>
      <c r="J523" s="3283" t="s">
        <v>3071</v>
      </c>
    </row>
    <row r="524" spans="1:10">
      <c r="A524" s="3283">
        <v>522</v>
      </c>
      <c r="B524" s="3283" t="s">
        <v>3066</v>
      </c>
      <c r="C524" s="3283" t="s">
        <v>3067</v>
      </c>
      <c r="D524" s="3283"/>
      <c r="E524" s="3283">
        <v>5407</v>
      </c>
      <c r="F524" s="3283" t="s">
        <v>3592</v>
      </c>
      <c r="G524" s="3283">
        <v>51.69</v>
      </c>
      <c r="H524" s="3283" t="s">
        <v>3069</v>
      </c>
      <c r="I524" s="3283" t="s">
        <v>3070</v>
      </c>
      <c r="J524" s="3283" t="s">
        <v>3071</v>
      </c>
    </row>
    <row r="525" spans="1:10">
      <c r="A525" s="3283">
        <v>523</v>
      </c>
      <c r="B525" s="3283" t="s">
        <v>3066</v>
      </c>
      <c r="C525" s="3283" t="s">
        <v>3067</v>
      </c>
      <c r="D525" s="3283"/>
      <c r="E525" s="3283">
        <v>5408</v>
      </c>
      <c r="F525" s="3283" t="s">
        <v>3593</v>
      </c>
      <c r="G525" s="3283">
        <v>51.69</v>
      </c>
      <c r="H525" s="3283" t="s">
        <v>3069</v>
      </c>
      <c r="I525" s="3283" t="s">
        <v>3070</v>
      </c>
      <c r="J525" s="3283" t="s">
        <v>3071</v>
      </c>
    </row>
    <row r="526" spans="1:10">
      <c r="A526" s="3283">
        <v>524</v>
      </c>
      <c r="B526" s="3283" t="s">
        <v>3066</v>
      </c>
      <c r="C526" s="3283" t="s">
        <v>3067</v>
      </c>
      <c r="D526" s="3283"/>
      <c r="E526" s="3283">
        <v>5409</v>
      </c>
      <c r="F526" s="3283" t="s">
        <v>3594</v>
      </c>
      <c r="G526" s="3283">
        <v>51.69</v>
      </c>
      <c r="H526" s="3283" t="s">
        <v>3069</v>
      </c>
      <c r="I526" s="3283" t="s">
        <v>3070</v>
      </c>
      <c r="J526" s="3283" t="s">
        <v>3071</v>
      </c>
    </row>
    <row r="527" spans="1:10">
      <c r="A527" s="3283">
        <v>525</v>
      </c>
      <c r="B527" s="3283" t="s">
        <v>3066</v>
      </c>
      <c r="C527" s="3283" t="s">
        <v>3067</v>
      </c>
      <c r="D527" s="3283"/>
      <c r="E527" s="3283">
        <v>5410</v>
      </c>
      <c r="F527" s="3283" t="s">
        <v>3595</v>
      </c>
      <c r="G527" s="3283">
        <v>51.69</v>
      </c>
      <c r="H527" s="3283" t="s">
        <v>3069</v>
      </c>
      <c r="I527" s="3283" t="s">
        <v>3070</v>
      </c>
      <c r="J527" s="3283" t="s">
        <v>3071</v>
      </c>
    </row>
    <row r="528" spans="1:10">
      <c r="A528" s="3283">
        <v>526</v>
      </c>
      <c r="B528" s="3283" t="s">
        <v>3066</v>
      </c>
      <c r="C528" s="3283" t="s">
        <v>3067</v>
      </c>
      <c r="D528" s="3283"/>
      <c r="E528" s="3283">
        <v>5411</v>
      </c>
      <c r="F528" s="3283" t="s">
        <v>3596</v>
      </c>
      <c r="G528" s="3283">
        <v>51.69</v>
      </c>
      <c r="H528" s="3283" t="s">
        <v>3069</v>
      </c>
      <c r="I528" s="3283" t="s">
        <v>3070</v>
      </c>
      <c r="J528" s="3283" t="s">
        <v>3071</v>
      </c>
    </row>
    <row r="529" spans="1:10">
      <c r="A529" s="3283">
        <v>527</v>
      </c>
      <c r="B529" s="3283" t="s">
        <v>3066</v>
      </c>
      <c r="C529" s="3283" t="s">
        <v>3067</v>
      </c>
      <c r="D529" s="3283"/>
      <c r="E529" s="3283">
        <v>5412</v>
      </c>
      <c r="F529" s="3283" t="s">
        <v>3597</v>
      </c>
      <c r="G529" s="3283">
        <v>89.54</v>
      </c>
      <c r="H529" s="3283" t="s">
        <v>3069</v>
      </c>
      <c r="I529" s="3283" t="s">
        <v>3070</v>
      </c>
      <c r="J529" s="3283" t="s">
        <v>3071</v>
      </c>
    </row>
    <row r="530" spans="1:10">
      <c r="A530" s="3283">
        <v>528</v>
      </c>
      <c r="B530" s="3283" t="s">
        <v>3066</v>
      </c>
      <c r="C530" s="3283" t="s">
        <v>3067</v>
      </c>
      <c r="D530" s="3283"/>
      <c r="E530" s="3283">
        <v>5413</v>
      </c>
      <c r="F530" s="3283" t="s">
        <v>3598</v>
      </c>
      <c r="G530" s="3283">
        <v>86.49</v>
      </c>
      <c r="H530" s="3283" t="s">
        <v>3069</v>
      </c>
      <c r="I530" s="3283" t="s">
        <v>3070</v>
      </c>
      <c r="J530" s="3283" t="s">
        <v>3071</v>
      </c>
    </row>
    <row r="531" spans="1:10">
      <c r="A531" s="3283">
        <v>529</v>
      </c>
      <c r="B531" s="3283" t="s">
        <v>3066</v>
      </c>
      <c r="C531" s="3283" t="s">
        <v>3067</v>
      </c>
      <c r="D531" s="3283"/>
      <c r="E531" s="3283">
        <v>5414</v>
      </c>
      <c r="F531" s="3283" t="s">
        <v>3599</v>
      </c>
      <c r="G531" s="3283">
        <v>52.49</v>
      </c>
      <c r="H531" s="3283" t="s">
        <v>3069</v>
      </c>
      <c r="I531" s="3283" t="s">
        <v>3070</v>
      </c>
      <c r="J531" s="3283" t="s">
        <v>3071</v>
      </c>
    </row>
    <row r="532" spans="1:10">
      <c r="A532" s="3283">
        <v>530</v>
      </c>
      <c r="B532" s="3283" t="s">
        <v>3066</v>
      </c>
      <c r="C532" s="3283" t="s">
        <v>3067</v>
      </c>
      <c r="D532" s="3283"/>
      <c r="E532" s="3283">
        <v>5415</v>
      </c>
      <c r="F532" s="3283" t="s">
        <v>3600</v>
      </c>
      <c r="G532" s="3283">
        <v>52.49</v>
      </c>
      <c r="H532" s="3283" t="s">
        <v>3069</v>
      </c>
      <c r="I532" s="3283" t="s">
        <v>3070</v>
      </c>
      <c r="J532" s="3283" t="s">
        <v>3071</v>
      </c>
    </row>
    <row r="533" spans="1:10">
      <c r="A533" s="3283">
        <v>531</v>
      </c>
      <c r="B533" s="3283" t="s">
        <v>3066</v>
      </c>
      <c r="C533" s="3283" t="s">
        <v>3067</v>
      </c>
      <c r="D533" s="3283"/>
      <c r="E533" s="3283">
        <v>5416</v>
      </c>
      <c r="F533" s="3283" t="s">
        <v>3601</v>
      </c>
      <c r="G533" s="3283">
        <v>52.49</v>
      </c>
      <c r="H533" s="3283" t="s">
        <v>3069</v>
      </c>
      <c r="I533" s="3283" t="s">
        <v>3070</v>
      </c>
      <c r="J533" s="3283" t="s">
        <v>3071</v>
      </c>
    </row>
    <row r="534" spans="1:10">
      <c r="A534" s="3283">
        <v>532</v>
      </c>
      <c r="B534" s="3283" t="s">
        <v>3066</v>
      </c>
      <c r="C534" s="3283" t="s">
        <v>3067</v>
      </c>
      <c r="D534" s="3283"/>
      <c r="E534" s="3283">
        <v>5417</v>
      </c>
      <c r="F534" s="3283" t="s">
        <v>3602</v>
      </c>
      <c r="G534" s="3283">
        <v>94.09</v>
      </c>
      <c r="H534" s="3283" t="s">
        <v>3069</v>
      </c>
      <c r="I534" s="3283" t="s">
        <v>3070</v>
      </c>
      <c r="J534" s="3283" t="s">
        <v>3071</v>
      </c>
    </row>
    <row r="535" spans="1:10">
      <c r="A535" s="3283">
        <v>533</v>
      </c>
      <c r="B535" s="3283" t="s">
        <v>3066</v>
      </c>
      <c r="C535" s="3283" t="s">
        <v>3067</v>
      </c>
      <c r="D535" s="3283"/>
      <c r="E535" s="3283">
        <v>5418</v>
      </c>
      <c r="F535" s="3283" t="s">
        <v>3603</v>
      </c>
      <c r="G535" s="3283">
        <v>52.22</v>
      </c>
      <c r="H535" s="3283" t="s">
        <v>3069</v>
      </c>
      <c r="I535" s="3283" t="s">
        <v>3070</v>
      </c>
      <c r="J535" s="3283" t="s">
        <v>3071</v>
      </c>
    </row>
    <row r="536" spans="1:10">
      <c r="A536" s="3283">
        <v>534</v>
      </c>
      <c r="B536" s="3283" t="s">
        <v>3066</v>
      </c>
      <c r="C536" s="3283" t="s">
        <v>3067</v>
      </c>
      <c r="D536" s="3283"/>
      <c r="E536" s="3283">
        <v>5419</v>
      </c>
      <c r="F536" s="3283" t="s">
        <v>3604</v>
      </c>
      <c r="G536" s="3283">
        <v>52.22</v>
      </c>
      <c r="H536" s="3283" t="s">
        <v>3069</v>
      </c>
      <c r="I536" s="3283" t="s">
        <v>3070</v>
      </c>
      <c r="J536" s="3283" t="s">
        <v>3071</v>
      </c>
    </row>
    <row r="537" spans="1:10">
      <c r="A537" s="3283">
        <v>535</v>
      </c>
      <c r="B537" s="3283" t="s">
        <v>3066</v>
      </c>
      <c r="C537" s="3283" t="s">
        <v>3067</v>
      </c>
      <c r="D537" s="3283"/>
      <c r="E537" s="3283">
        <v>5420</v>
      </c>
      <c r="F537" s="3283" t="s">
        <v>3605</v>
      </c>
      <c r="G537" s="3283">
        <v>52.22</v>
      </c>
      <c r="H537" s="3283" t="s">
        <v>3069</v>
      </c>
      <c r="I537" s="3283" t="s">
        <v>3070</v>
      </c>
      <c r="J537" s="3283" t="s">
        <v>3071</v>
      </c>
    </row>
    <row r="538" spans="1:10">
      <c r="A538" s="3283">
        <v>536</v>
      </c>
      <c r="B538" s="3283" t="s">
        <v>3066</v>
      </c>
      <c r="C538" s="3283" t="s">
        <v>3067</v>
      </c>
      <c r="D538" s="3283"/>
      <c r="E538" s="3283">
        <v>5421</v>
      </c>
      <c r="F538" s="3283" t="s">
        <v>3606</v>
      </c>
      <c r="G538" s="3283">
        <v>52.22</v>
      </c>
      <c r="H538" s="3283" t="s">
        <v>3069</v>
      </c>
      <c r="I538" s="3283" t="s">
        <v>3070</v>
      </c>
      <c r="J538" s="3283" t="s">
        <v>3071</v>
      </c>
    </row>
    <row r="539" spans="1:10">
      <c r="A539" s="3283">
        <v>537</v>
      </c>
      <c r="B539" s="3283" t="s">
        <v>3066</v>
      </c>
      <c r="C539" s="3283" t="s">
        <v>3067</v>
      </c>
      <c r="D539" s="3283"/>
      <c r="E539" s="3283">
        <v>5422</v>
      </c>
      <c r="F539" s="3283" t="s">
        <v>3607</v>
      </c>
      <c r="G539" s="3283">
        <v>52.22</v>
      </c>
      <c r="H539" s="3283" t="s">
        <v>3069</v>
      </c>
      <c r="I539" s="3283" t="s">
        <v>3070</v>
      </c>
      <c r="J539" s="3283" t="s">
        <v>3071</v>
      </c>
    </row>
    <row r="540" spans="1:10">
      <c r="A540" s="3283">
        <v>538</v>
      </c>
      <c r="B540" s="3283" t="s">
        <v>3066</v>
      </c>
      <c r="C540" s="3283" t="s">
        <v>3067</v>
      </c>
      <c r="D540" s="3283"/>
      <c r="E540" s="3283">
        <v>5423</v>
      </c>
      <c r="F540" s="3283" t="s">
        <v>3608</v>
      </c>
      <c r="G540" s="3283">
        <v>52.22</v>
      </c>
      <c r="H540" s="3283" t="s">
        <v>3069</v>
      </c>
      <c r="I540" s="3283" t="s">
        <v>3070</v>
      </c>
      <c r="J540" s="3283" t="s">
        <v>3071</v>
      </c>
    </row>
    <row r="541" spans="1:10">
      <c r="A541" s="3283">
        <v>539</v>
      </c>
      <c r="B541" s="3283" t="s">
        <v>3066</v>
      </c>
      <c r="C541" s="3283" t="s">
        <v>3067</v>
      </c>
      <c r="D541" s="3283"/>
      <c r="E541" s="3283">
        <v>5424</v>
      </c>
      <c r="F541" s="3283" t="s">
        <v>3609</v>
      </c>
      <c r="G541" s="3283">
        <v>94.09</v>
      </c>
      <c r="H541" s="3283" t="s">
        <v>3069</v>
      </c>
      <c r="I541" s="3283" t="s">
        <v>3070</v>
      </c>
      <c r="J541" s="3283" t="s">
        <v>3071</v>
      </c>
    </row>
    <row r="542" spans="1:10">
      <c r="A542" s="3283">
        <v>540</v>
      </c>
      <c r="B542" s="3283" t="s">
        <v>3066</v>
      </c>
      <c r="C542" s="3283" t="s">
        <v>3067</v>
      </c>
      <c r="D542" s="3283"/>
      <c r="E542" s="3283">
        <v>5501</v>
      </c>
      <c r="F542" s="3283" t="s">
        <v>3610</v>
      </c>
      <c r="G542" s="3283">
        <v>52.49</v>
      </c>
      <c r="H542" s="3283" t="s">
        <v>3069</v>
      </c>
      <c r="I542" s="3283" t="s">
        <v>3070</v>
      </c>
      <c r="J542" s="3283" t="s">
        <v>3071</v>
      </c>
    </row>
    <row r="543" spans="1:10">
      <c r="A543" s="3283">
        <v>541</v>
      </c>
      <c r="B543" s="3283" t="s">
        <v>3066</v>
      </c>
      <c r="C543" s="3283" t="s">
        <v>3067</v>
      </c>
      <c r="D543" s="3283"/>
      <c r="E543" s="3283">
        <v>5502</v>
      </c>
      <c r="F543" s="3283" t="s">
        <v>3611</v>
      </c>
      <c r="G543" s="3283">
        <v>52.49</v>
      </c>
      <c r="H543" s="3283" t="s">
        <v>3069</v>
      </c>
      <c r="I543" s="3283" t="s">
        <v>3070</v>
      </c>
      <c r="J543" s="3283" t="s">
        <v>3071</v>
      </c>
    </row>
    <row r="544" spans="1:10">
      <c r="A544" s="3283">
        <v>542</v>
      </c>
      <c r="B544" s="3283" t="s">
        <v>3066</v>
      </c>
      <c r="C544" s="3283" t="s">
        <v>3067</v>
      </c>
      <c r="D544" s="3283"/>
      <c r="E544" s="3283">
        <v>5503</v>
      </c>
      <c r="F544" s="3283" t="s">
        <v>3612</v>
      </c>
      <c r="G544" s="3283">
        <v>52.49</v>
      </c>
      <c r="H544" s="3283" t="s">
        <v>3069</v>
      </c>
      <c r="I544" s="3283" t="s">
        <v>3070</v>
      </c>
      <c r="J544" s="3283" t="s">
        <v>3071</v>
      </c>
    </row>
    <row r="545" spans="1:10">
      <c r="A545" s="3283">
        <v>543</v>
      </c>
      <c r="B545" s="3283" t="s">
        <v>3066</v>
      </c>
      <c r="C545" s="3283" t="s">
        <v>3067</v>
      </c>
      <c r="D545" s="3283"/>
      <c r="E545" s="3283">
        <v>5504</v>
      </c>
      <c r="F545" s="3283" t="s">
        <v>3613</v>
      </c>
      <c r="G545" s="3283">
        <v>86.49</v>
      </c>
      <c r="H545" s="3283" t="s">
        <v>3069</v>
      </c>
      <c r="I545" s="3283" t="s">
        <v>3070</v>
      </c>
      <c r="J545" s="3283" t="s">
        <v>3071</v>
      </c>
    </row>
    <row r="546" spans="1:10">
      <c r="A546" s="3283">
        <v>544</v>
      </c>
      <c r="B546" s="3283" t="s">
        <v>3066</v>
      </c>
      <c r="C546" s="3283" t="s">
        <v>3067</v>
      </c>
      <c r="D546" s="3283"/>
      <c r="E546" s="3283">
        <v>5505</v>
      </c>
      <c r="F546" s="3283" t="s">
        <v>3614</v>
      </c>
      <c r="G546" s="3283">
        <v>89.54</v>
      </c>
      <c r="H546" s="3283" t="s">
        <v>3069</v>
      </c>
      <c r="I546" s="3283" t="s">
        <v>3070</v>
      </c>
      <c r="J546" s="3283" t="s">
        <v>3071</v>
      </c>
    </row>
    <row r="547" spans="1:10">
      <c r="A547" s="3283">
        <v>545</v>
      </c>
      <c r="B547" s="3283" t="s">
        <v>3066</v>
      </c>
      <c r="C547" s="3283" t="s">
        <v>3067</v>
      </c>
      <c r="D547" s="3283"/>
      <c r="E547" s="3283">
        <v>5506</v>
      </c>
      <c r="F547" s="3283" t="s">
        <v>3615</v>
      </c>
      <c r="G547" s="3283">
        <v>51.69</v>
      </c>
      <c r="H547" s="3283" t="s">
        <v>3069</v>
      </c>
      <c r="I547" s="3283" t="s">
        <v>3070</v>
      </c>
      <c r="J547" s="3283" t="s">
        <v>3071</v>
      </c>
    </row>
    <row r="548" spans="1:10">
      <c r="A548" s="3283">
        <v>546</v>
      </c>
      <c r="B548" s="3283" t="s">
        <v>3066</v>
      </c>
      <c r="C548" s="3283" t="s">
        <v>3067</v>
      </c>
      <c r="D548" s="3283"/>
      <c r="E548" s="3283">
        <v>5507</v>
      </c>
      <c r="F548" s="3283" t="s">
        <v>3616</v>
      </c>
      <c r="G548" s="3283">
        <v>51.69</v>
      </c>
      <c r="H548" s="3283" t="s">
        <v>3069</v>
      </c>
      <c r="I548" s="3283" t="s">
        <v>3070</v>
      </c>
      <c r="J548" s="3283" t="s">
        <v>3071</v>
      </c>
    </row>
    <row r="549" spans="1:10">
      <c r="A549" s="3283">
        <v>547</v>
      </c>
      <c r="B549" s="3283" t="s">
        <v>3066</v>
      </c>
      <c r="C549" s="3283" t="s">
        <v>3067</v>
      </c>
      <c r="D549" s="3283"/>
      <c r="E549" s="3283">
        <v>5508</v>
      </c>
      <c r="F549" s="3283" t="s">
        <v>3617</v>
      </c>
      <c r="G549" s="3283">
        <v>51.69</v>
      </c>
      <c r="H549" s="3283" t="s">
        <v>3069</v>
      </c>
      <c r="I549" s="3283" t="s">
        <v>3070</v>
      </c>
      <c r="J549" s="3283" t="s">
        <v>3071</v>
      </c>
    </row>
    <row r="550" spans="1:10">
      <c r="A550" s="3283">
        <v>548</v>
      </c>
      <c r="B550" s="3283" t="s">
        <v>3066</v>
      </c>
      <c r="C550" s="3283" t="s">
        <v>3067</v>
      </c>
      <c r="D550" s="3283"/>
      <c r="E550" s="3283">
        <v>5509</v>
      </c>
      <c r="F550" s="3283" t="s">
        <v>3618</v>
      </c>
      <c r="G550" s="3283">
        <v>51.69</v>
      </c>
      <c r="H550" s="3283" t="s">
        <v>3069</v>
      </c>
      <c r="I550" s="3283" t="s">
        <v>3070</v>
      </c>
      <c r="J550" s="3283" t="s">
        <v>3071</v>
      </c>
    </row>
    <row r="551" spans="1:10">
      <c r="A551" s="3283">
        <v>549</v>
      </c>
      <c r="B551" s="3283" t="s">
        <v>3066</v>
      </c>
      <c r="C551" s="3283" t="s">
        <v>3067</v>
      </c>
      <c r="D551" s="3283"/>
      <c r="E551" s="3283">
        <v>5510</v>
      </c>
      <c r="F551" s="3283" t="s">
        <v>3619</v>
      </c>
      <c r="G551" s="3283">
        <v>51.69</v>
      </c>
      <c r="H551" s="3283" t="s">
        <v>3069</v>
      </c>
      <c r="I551" s="3283" t="s">
        <v>3070</v>
      </c>
      <c r="J551" s="3283" t="s">
        <v>3071</v>
      </c>
    </row>
    <row r="552" spans="1:10">
      <c r="A552" s="3283">
        <v>550</v>
      </c>
      <c r="B552" s="3283" t="s">
        <v>3066</v>
      </c>
      <c r="C552" s="3283" t="s">
        <v>3067</v>
      </c>
      <c r="D552" s="3283"/>
      <c r="E552" s="3283">
        <v>5511</v>
      </c>
      <c r="F552" s="3283" t="s">
        <v>3620</v>
      </c>
      <c r="G552" s="3283">
        <v>51.69</v>
      </c>
      <c r="H552" s="3283" t="s">
        <v>3069</v>
      </c>
      <c r="I552" s="3283" t="s">
        <v>3070</v>
      </c>
      <c r="J552" s="3283" t="s">
        <v>3071</v>
      </c>
    </row>
    <row r="553" spans="1:10">
      <c r="A553" s="3283">
        <v>551</v>
      </c>
      <c r="B553" s="3283" t="s">
        <v>3066</v>
      </c>
      <c r="C553" s="3283" t="s">
        <v>3067</v>
      </c>
      <c r="D553" s="3283"/>
      <c r="E553" s="3283">
        <v>5512</v>
      </c>
      <c r="F553" s="3283" t="s">
        <v>3621</v>
      </c>
      <c r="G553" s="3283">
        <v>89.54</v>
      </c>
      <c r="H553" s="3283" t="s">
        <v>3069</v>
      </c>
      <c r="I553" s="3283" t="s">
        <v>3070</v>
      </c>
      <c r="J553" s="3283" t="s">
        <v>3071</v>
      </c>
    </row>
    <row r="554" spans="1:10">
      <c r="A554" s="3283">
        <v>552</v>
      </c>
      <c r="B554" s="3283" t="s">
        <v>3066</v>
      </c>
      <c r="C554" s="3283" t="s">
        <v>3067</v>
      </c>
      <c r="D554" s="3283"/>
      <c r="E554" s="3283">
        <v>5513</v>
      </c>
      <c r="F554" s="3283" t="s">
        <v>3622</v>
      </c>
      <c r="G554" s="3283">
        <v>86.49</v>
      </c>
      <c r="H554" s="3283" t="s">
        <v>3069</v>
      </c>
      <c r="I554" s="3283" t="s">
        <v>3070</v>
      </c>
      <c r="J554" s="3283" t="s">
        <v>3071</v>
      </c>
    </row>
    <row r="555" spans="1:10">
      <c r="A555" s="3283">
        <v>553</v>
      </c>
      <c r="B555" s="3283" t="s">
        <v>3066</v>
      </c>
      <c r="C555" s="3283" t="s">
        <v>3067</v>
      </c>
      <c r="D555" s="3283"/>
      <c r="E555" s="3283">
        <v>5514</v>
      </c>
      <c r="F555" s="3283" t="s">
        <v>3623</v>
      </c>
      <c r="G555" s="3283">
        <v>52.49</v>
      </c>
      <c r="H555" s="3283" t="s">
        <v>3069</v>
      </c>
      <c r="I555" s="3283" t="s">
        <v>3070</v>
      </c>
      <c r="J555" s="3283" t="s">
        <v>3071</v>
      </c>
    </row>
    <row r="556" spans="1:10">
      <c r="A556" s="3283">
        <v>554</v>
      </c>
      <c r="B556" s="3283" t="s">
        <v>3066</v>
      </c>
      <c r="C556" s="3283" t="s">
        <v>3067</v>
      </c>
      <c r="D556" s="3283"/>
      <c r="E556" s="3283">
        <v>5515</v>
      </c>
      <c r="F556" s="3283" t="s">
        <v>3624</v>
      </c>
      <c r="G556" s="3283">
        <v>52.49</v>
      </c>
      <c r="H556" s="3283" t="s">
        <v>3069</v>
      </c>
      <c r="I556" s="3283" t="s">
        <v>3070</v>
      </c>
      <c r="J556" s="3283" t="s">
        <v>3071</v>
      </c>
    </row>
    <row r="557" spans="1:10">
      <c r="A557" s="3283">
        <v>555</v>
      </c>
      <c r="B557" s="3283" t="s">
        <v>3066</v>
      </c>
      <c r="C557" s="3283" t="s">
        <v>3067</v>
      </c>
      <c r="D557" s="3283"/>
      <c r="E557" s="3283">
        <v>5516</v>
      </c>
      <c r="F557" s="3283" t="s">
        <v>3625</v>
      </c>
      <c r="G557" s="3283">
        <v>52.49</v>
      </c>
      <c r="H557" s="3283" t="s">
        <v>3069</v>
      </c>
      <c r="I557" s="3283" t="s">
        <v>3070</v>
      </c>
      <c r="J557" s="3283" t="s">
        <v>3071</v>
      </c>
    </row>
    <row r="558" spans="1:10">
      <c r="A558" s="3283">
        <v>556</v>
      </c>
      <c r="B558" s="3283" t="s">
        <v>3066</v>
      </c>
      <c r="C558" s="3283" t="s">
        <v>3067</v>
      </c>
      <c r="D558" s="3283"/>
      <c r="E558" s="3283">
        <v>5517</v>
      </c>
      <c r="F558" s="3283" t="s">
        <v>3626</v>
      </c>
      <c r="G558" s="3283">
        <v>94.09</v>
      </c>
      <c r="H558" s="3283" t="s">
        <v>3069</v>
      </c>
      <c r="I558" s="3283" t="s">
        <v>3070</v>
      </c>
      <c r="J558" s="3283" t="s">
        <v>3071</v>
      </c>
    </row>
    <row r="559" spans="1:10">
      <c r="A559" s="3283">
        <v>557</v>
      </c>
      <c r="B559" s="3283" t="s">
        <v>3066</v>
      </c>
      <c r="C559" s="3283" t="s">
        <v>3067</v>
      </c>
      <c r="D559" s="3283"/>
      <c r="E559" s="3283">
        <v>5518</v>
      </c>
      <c r="F559" s="3283" t="s">
        <v>3627</v>
      </c>
      <c r="G559" s="3283">
        <v>52.22</v>
      </c>
      <c r="H559" s="3283" t="s">
        <v>3069</v>
      </c>
      <c r="I559" s="3283" t="s">
        <v>3070</v>
      </c>
      <c r="J559" s="3283" t="s">
        <v>3071</v>
      </c>
    </row>
    <row r="560" spans="1:10">
      <c r="A560" s="3283">
        <v>558</v>
      </c>
      <c r="B560" s="3283" t="s">
        <v>3066</v>
      </c>
      <c r="C560" s="3283" t="s">
        <v>3067</v>
      </c>
      <c r="D560" s="3283"/>
      <c r="E560" s="3283">
        <v>5519</v>
      </c>
      <c r="F560" s="3283" t="s">
        <v>3628</v>
      </c>
      <c r="G560" s="3283">
        <v>52.22</v>
      </c>
      <c r="H560" s="3283" t="s">
        <v>3069</v>
      </c>
      <c r="I560" s="3283" t="s">
        <v>3070</v>
      </c>
      <c r="J560" s="3283" t="s">
        <v>3071</v>
      </c>
    </row>
    <row r="561" spans="1:10">
      <c r="A561" s="3283">
        <v>559</v>
      </c>
      <c r="B561" s="3283" t="s">
        <v>3066</v>
      </c>
      <c r="C561" s="3283" t="s">
        <v>3067</v>
      </c>
      <c r="D561" s="3283"/>
      <c r="E561" s="3283">
        <v>5520</v>
      </c>
      <c r="F561" s="3283" t="s">
        <v>3629</v>
      </c>
      <c r="G561" s="3283">
        <v>52.22</v>
      </c>
      <c r="H561" s="3283" t="s">
        <v>3069</v>
      </c>
      <c r="I561" s="3283" t="s">
        <v>3070</v>
      </c>
      <c r="J561" s="3283" t="s">
        <v>3071</v>
      </c>
    </row>
    <row r="562" spans="1:10">
      <c r="A562" s="3283">
        <v>560</v>
      </c>
      <c r="B562" s="3283" t="s">
        <v>3066</v>
      </c>
      <c r="C562" s="3283" t="s">
        <v>3067</v>
      </c>
      <c r="D562" s="3283"/>
      <c r="E562" s="3283">
        <v>5521</v>
      </c>
      <c r="F562" s="3283" t="s">
        <v>3630</v>
      </c>
      <c r="G562" s="3283">
        <v>52.22</v>
      </c>
      <c r="H562" s="3283" t="s">
        <v>3069</v>
      </c>
      <c r="I562" s="3283" t="s">
        <v>3070</v>
      </c>
      <c r="J562" s="3283" t="s">
        <v>3071</v>
      </c>
    </row>
    <row r="563" spans="1:10">
      <c r="A563" s="3283">
        <v>561</v>
      </c>
      <c r="B563" s="3283" t="s">
        <v>3066</v>
      </c>
      <c r="C563" s="3283" t="s">
        <v>3067</v>
      </c>
      <c r="D563" s="3283"/>
      <c r="E563" s="3283">
        <v>5522</v>
      </c>
      <c r="F563" s="3283" t="s">
        <v>3631</v>
      </c>
      <c r="G563" s="3283">
        <v>52.22</v>
      </c>
      <c r="H563" s="3283" t="s">
        <v>3069</v>
      </c>
      <c r="I563" s="3283" t="s">
        <v>3070</v>
      </c>
      <c r="J563" s="3283" t="s">
        <v>3071</v>
      </c>
    </row>
    <row r="564" spans="1:10">
      <c r="A564" s="3283">
        <v>562</v>
      </c>
      <c r="B564" s="3283" t="s">
        <v>3066</v>
      </c>
      <c r="C564" s="3283" t="s">
        <v>3067</v>
      </c>
      <c r="D564" s="3283"/>
      <c r="E564" s="3283">
        <v>5523</v>
      </c>
      <c r="F564" s="3283" t="s">
        <v>3632</v>
      </c>
      <c r="G564" s="3283">
        <v>52.22</v>
      </c>
      <c r="H564" s="3283" t="s">
        <v>3069</v>
      </c>
      <c r="I564" s="3283" t="s">
        <v>3070</v>
      </c>
      <c r="J564" s="3283" t="s">
        <v>3071</v>
      </c>
    </row>
    <row r="565" spans="1:10">
      <c r="A565" s="3283">
        <v>563</v>
      </c>
      <c r="B565" s="3283" t="s">
        <v>3066</v>
      </c>
      <c r="C565" s="3283" t="s">
        <v>3067</v>
      </c>
      <c r="D565" s="3283"/>
      <c r="E565" s="3283">
        <v>5524</v>
      </c>
      <c r="F565" s="3283" t="s">
        <v>3633</v>
      </c>
      <c r="G565" s="3283">
        <v>94.09</v>
      </c>
      <c r="H565" s="3283" t="s">
        <v>3069</v>
      </c>
      <c r="I565" s="3283" t="s">
        <v>3070</v>
      </c>
      <c r="J565" s="3283" t="s">
        <v>3071</v>
      </c>
    </row>
    <row r="566" spans="1:10">
      <c r="G566">
        <f>SUM(G3:G565)</f>
        <v>33112.840000000157</v>
      </c>
    </row>
  </sheetData>
  <mergeCells count="1">
    <mergeCell ref="A1:J1"/>
  </mergeCells>
  <phoneticPr fontId="143" type="noConversion"/>
  <conditionalFormatting sqref="F507">
    <cfRule type="duplicateValues" dxfId="118" priority="59"/>
    <cfRule type="duplicateValues" dxfId="119" priority="118"/>
  </conditionalFormatting>
  <conditionalFormatting sqref="F508">
    <cfRule type="duplicateValues" dxfId="116" priority="58"/>
    <cfRule type="duplicateValues" dxfId="117" priority="117"/>
  </conditionalFormatting>
  <conditionalFormatting sqref="F509">
    <cfRule type="duplicateValues" dxfId="114" priority="57"/>
    <cfRule type="duplicateValues" dxfId="115" priority="116"/>
  </conditionalFormatting>
  <conditionalFormatting sqref="F510">
    <cfRule type="duplicateValues" dxfId="112" priority="56"/>
    <cfRule type="duplicateValues" dxfId="113" priority="115"/>
  </conditionalFormatting>
  <conditionalFormatting sqref="F511">
    <cfRule type="duplicateValues" dxfId="110" priority="55"/>
    <cfRule type="duplicateValues" dxfId="111" priority="114"/>
  </conditionalFormatting>
  <conditionalFormatting sqref="F512">
    <cfRule type="duplicateValues" dxfId="108" priority="54"/>
    <cfRule type="duplicateValues" dxfId="109" priority="113"/>
  </conditionalFormatting>
  <conditionalFormatting sqref="F513">
    <cfRule type="duplicateValues" dxfId="106" priority="53"/>
    <cfRule type="duplicateValues" dxfId="107" priority="112"/>
  </conditionalFormatting>
  <conditionalFormatting sqref="F514">
    <cfRule type="duplicateValues" dxfId="104" priority="52"/>
    <cfRule type="duplicateValues" dxfId="105" priority="111"/>
  </conditionalFormatting>
  <conditionalFormatting sqref="F515">
    <cfRule type="duplicateValues" dxfId="102" priority="51"/>
    <cfRule type="duplicateValues" dxfId="103" priority="110"/>
  </conditionalFormatting>
  <conditionalFormatting sqref="F516">
    <cfRule type="duplicateValues" dxfId="100" priority="50"/>
    <cfRule type="duplicateValues" dxfId="101" priority="109"/>
  </conditionalFormatting>
  <conditionalFormatting sqref="F517">
    <cfRule type="duplicateValues" dxfId="98" priority="49"/>
    <cfRule type="duplicateValues" dxfId="99" priority="108"/>
  </conditionalFormatting>
  <conditionalFormatting sqref="F518">
    <cfRule type="duplicateValues" dxfId="96" priority="48"/>
    <cfRule type="duplicateValues" dxfId="97" priority="107"/>
  </conditionalFormatting>
  <conditionalFormatting sqref="F519">
    <cfRule type="duplicateValues" dxfId="94" priority="47"/>
    <cfRule type="duplicateValues" dxfId="95" priority="106"/>
  </conditionalFormatting>
  <conditionalFormatting sqref="F520">
    <cfRule type="duplicateValues" dxfId="92" priority="46"/>
    <cfRule type="duplicateValues" dxfId="93" priority="105"/>
  </conditionalFormatting>
  <conditionalFormatting sqref="F521">
    <cfRule type="duplicateValues" dxfId="90" priority="45"/>
    <cfRule type="duplicateValues" dxfId="91" priority="104"/>
  </conditionalFormatting>
  <conditionalFormatting sqref="F522">
    <cfRule type="duplicateValues" dxfId="88" priority="44"/>
    <cfRule type="duplicateValues" dxfId="89" priority="103"/>
  </conditionalFormatting>
  <conditionalFormatting sqref="F523">
    <cfRule type="duplicateValues" dxfId="86" priority="43"/>
    <cfRule type="duplicateValues" dxfId="87" priority="102"/>
  </conditionalFormatting>
  <conditionalFormatting sqref="F524">
    <cfRule type="duplicateValues" dxfId="84" priority="42"/>
    <cfRule type="duplicateValues" dxfId="85" priority="101"/>
  </conditionalFormatting>
  <conditionalFormatting sqref="F525">
    <cfRule type="duplicateValues" dxfId="82" priority="41"/>
    <cfRule type="duplicateValues" dxfId="83" priority="100"/>
  </conditionalFormatting>
  <conditionalFormatting sqref="F526">
    <cfRule type="duplicateValues" dxfId="80" priority="40"/>
    <cfRule type="duplicateValues" dxfId="81" priority="99"/>
  </conditionalFormatting>
  <conditionalFormatting sqref="F527">
    <cfRule type="duplicateValues" dxfId="78" priority="39"/>
    <cfRule type="duplicateValues" dxfId="79" priority="98"/>
  </conditionalFormatting>
  <conditionalFormatting sqref="F528">
    <cfRule type="duplicateValues" dxfId="76" priority="38"/>
    <cfRule type="duplicateValues" dxfId="77" priority="97"/>
  </conditionalFormatting>
  <conditionalFormatting sqref="F529">
    <cfRule type="duplicateValues" dxfId="74" priority="37"/>
    <cfRule type="duplicateValues" dxfId="75" priority="96"/>
  </conditionalFormatting>
  <conditionalFormatting sqref="F530">
    <cfRule type="duplicateValues" dxfId="72" priority="36"/>
    <cfRule type="duplicateValues" dxfId="73" priority="95"/>
  </conditionalFormatting>
  <conditionalFormatting sqref="F531">
    <cfRule type="duplicateValues" dxfId="70" priority="35"/>
    <cfRule type="duplicateValues" dxfId="71" priority="94"/>
  </conditionalFormatting>
  <conditionalFormatting sqref="F532">
    <cfRule type="duplicateValues" dxfId="68" priority="34"/>
    <cfRule type="duplicateValues" dxfId="69" priority="93"/>
  </conditionalFormatting>
  <conditionalFormatting sqref="F533">
    <cfRule type="duplicateValues" dxfId="66" priority="33"/>
    <cfRule type="duplicateValues" dxfId="67" priority="92"/>
  </conditionalFormatting>
  <conditionalFormatting sqref="F534">
    <cfRule type="duplicateValues" dxfId="64" priority="32"/>
    <cfRule type="duplicateValues" dxfId="65" priority="91"/>
  </conditionalFormatting>
  <conditionalFormatting sqref="F535">
    <cfRule type="duplicateValues" dxfId="62" priority="31"/>
    <cfRule type="duplicateValues" dxfId="63" priority="90"/>
  </conditionalFormatting>
  <conditionalFormatting sqref="F536">
    <cfRule type="duplicateValues" dxfId="60" priority="30"/>
    <cfRule type="duplicateValues" dxfId="61" priority="89"/>
  </conditionalFormatting>
  <conditionalFormatting sqref="F537">
    <cfRule type="duplicateValues" dxfId="58" priority="29"/>
    <cfRule type="duplicateValues" dxfId="59" priority="88"/>
  </conditionalFormatting>
  <conditionalFormatting sqref="F538">
    <cfRule type="duplicateValues" dxfId="56" priority="28"/>
    <cfRule type="duplicateValues" dxfId="57" priority="87"/>
  </conditionalFormatting>
  <conditionalFormatting sqref="F539">
    <cfRule type="duplicateValues" dxfId="54" priority="27"/>
    <cfRule type="duplicateValues" dxfId="55" priority="86"/>
  </conditionalFormatting>
  <conditionalFormatting sqref="F540">
    <cfRule type="duplicateValues" dxfId="52" priority="26"/>
    <cfRule type="duplicateValues" dxfId="53" priority="85"/>
  </conditionalFormatting>
  <conditionalFormatting sqref="F541">
    <cfRule type="duplicateValues" dxfId="50" priority="25"/>
    <cfRule type="duplicateValues" dxfId="51" priority="84"/>
  </conditionalFormatting>
  <conditionalFormatting sqref="F542">
    <cfRule type="duplicateValues" dxfId="48" priority="24"/>
    <cfRule type="duplicateValues" dxfId="49" priority="83"/>
  </conditionalFormatting>
  <conditionalFormatting sqref="F543">
    <cfRule type="duplicateValues" dxfId="46" priority="23"/>
    <cfRule type="duplicateValues" dxfId="47" priority="82"/>
  </conditionalFormatting>
  <conditionalFormatting sqref="F544">
    <cfRule type="duplicateValues" dxfId="44" priority="22"/>
    <cfRule type="duplicateValues" dxfId="45" priority="81"/>
  </conditionalFormatting>
  <conditionalFormatting sqref="F545">
    <cfRule type="duplicateValues" dxfId="42" priority="21"/>
    <cfRule type="duplicateValues" dxfId="43" priority="80"/>
  </conditionalFormatting>
  <conditionalFormatting sqref="F546">
    <cfRule type="duplicateValues" dxfId="40" priority="20"/>
    <cfRule type="duplicateValues" dxfId="41" priority="79"/>
  </conditionalFormatting>
  <conditionalFormatting sqref="F547">
    <cfRule type="duplicateValues" dxfId="38" priority="19"/>
    <cfRule type="duplicateValues" dxfId="39" priority="78"/>
  </conditionalFormatting>
  <conditionalFormatting sqref="F548">
    <cfRule type="duplicateValues" dxfId="36" priority="18"/>
    <cfRule type="duplicateValues" dxfId="37" priority="77"/>
  </conditionalFormatting>
  <conditionalFormatting sqref="F549">
    <cfRule type="duplicateValues" dxfId="34" priority="17"/>
    <cfRule type="duplicateValues" dxfId="35" priority="76"/>
  </conditionalFormatting>
  <conditionalFormatting sqref="F550">
    <cfRule type="duplicateValues" dxfId="32" priority="16"/>
    <cfRule type="duplicateValues" dxfId="33" priority="75"/>
  </conditionalFormatting>
  <conditionalFormatting sqref="F551">
    <cfRule type="duplicateValues" dxfId="30" priority="15"/>
    <cfRule type="duplicateValues" dxfId="31" priority="74"/>
  </conditionalFormatting>
  <conditionalFormatting sqref="F552">
    <cfRule type="duplicateValues" dxfId="28" priority="14"/>
    <cfRule type="duplicateValues" dxfId="29" priority="73"/>
  </conditionalFormatting>
  <conditionalFormatting sqref="F553">
    <cfRule type="duplicateValues" dxfId="26" priority="13"/>
    <cfRule type="duplicateValues" dxfId="27" priority="72"/>
  </conditionalFormatting>
  <conditionalFormatting sqref="F554">
    <cfRule type="duplicateValues" dxfId="24" priority="12"/>
    <cfRule type="duplicateValues" dxfId="25" priority="71"/>
  </conditionalFormatting>
  <conditionalFormatting sqref="F555">
    <cfRule type="duplicateValues" dxfId="22" priority="11"/>
    <cfRule type="duplicateValues" dxfId="23" priority="70"/>
  </conditionalFormatting>
  <conditionalFormatting sqref="F556">
    <cfRule type="duplicateValues" dxfId="20" priority="10"/>
    <cfRule type="duplicateValues" dxfId="21" priority="69"/>
  </conditionalFormatting>
  <conditionalFormatting sqref="F557">
    <cfRule type="duplicateValues" dxfId="18" priority="9"/>
    <cfRule type="duplicateValues" dxfId="19" priority="68"/>
  </conditionalFormatting>
  <conditionalFormatting sqref="F558">
    <cfRule type="duplicateValues" dxfId="16" priority="8"/>
    <cfRule type="duplicateValues" dxfId="17" priority="67"/>
  </conditionalFormatting>
  <conditionalFormatting sqref="F559">
    <cfRule type="duplicateValues" dxfId="14" priority="7"/>
    <cfRule type="duplicateValues" dxfId="15" priority="66"/>
  </conditionalFormatting>
  <conditionalFormatting sqref="F560">
    <cfRule type="duplicateValues" dxfId="12" priority="6"/>
    <cfRule type="duplicateValues" dxfId="13" priority="65"/>
  </conditionalFormatting>
  <conditionalFormatting sqref="F561">
    <cfRule type="duplicateValues" dxfId="10" priority="5"/>
    <cfRule type="duplicateValues" dxfId="11" priority="64"/>
  </conditionalFormatting>
  <conditionalFormatting sqref="F562">
    <cfRule type="duplicateValues" dxfId="8" priority="4"/>
    <cfRule type="duplicateValues" dxfId="9" priority="63"/>
  </conditionalFormatting>
  <conditionalFormatting sqref="F563">
    <cfRule type="duplicateValues" dxfId="6" priority="3"/>
    <cfRule type="duplicateValues" dxfId="7" priority="62"/>
  </conditionalFormatting>
  <conditionalFormatting sqref="F564">
    <cfRule type="duplicateValues" dxfId="4" priority="2"/>
    <cfRule type="duplicateValues" dxfId="5" priority="61"/>
  </conditionalFormatting>
  <conditionalFormatting sqref="F565">
    <cfRule type="duplicateValues" dxfId="2" priority="1"/>
    <cfRule type="duplicateValues" dxfId="3" priority="60"/>
  </conditionalFormatting>
  <conditionalFormatting sqref="F1:F506">
    <cfRule type="duplicateValues" dxfId="1" priority="119"/>
  </conditionalFormatting>
  <conditionalFormatting sqref="F2:F506">
    <cfRule type="duplicateValues" dxfId="0" priority="120"/>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27" activePane="bottomRight" state="frozen"/>
      <selection activeCell="C50" sqref="C50"/>
      <selection pane="topRight" activeCell="C50" sqref="C50"/>
      <selection pane="bottomLeft" activeCell="C50" sqref="C50"/>
      <selection pane="bottomRight" activeCell="I42" sqref="I4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43573</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1986</v>
      </c>
      <c r="O5" s="2297" t="s">
        <v>1987</v>
      </c>
      <c r="P5" s="2300" t="s">
        <v>1988</v>
      </c>
      <c r="Q5" s="69" t="s">
        <v>1989</v>
      </c>
      <c r="R5" s="2301" t="s">
        <v>1990</v>
      </c>
      <c r="S5" s="2302" t="s">
        <v>1991</v>
      </c>
      <c r="T5" s="2303" t="s">
        <v>1992</v>
      </c>
      <c r="U5" s="1267" t="s">
        <v>1993</v>
      </c>
      <c r="V5" s="1268" t="s">
        <v>1994</v>
      </c>
      <c r="W5" s="1268" t="s">
        <v>1995</v>
      </c>
      <c r="X5" s="71"/>
      <c r="Y5" s="70" t="s">
        <v>1996</v>
      </c>
      <c r="Z5" s="2304" t="s">
        <v>1993</v>
      </c>
      <c r="AA5" s="1268" t="s">
        <v>1994</v>
      </c>
      <c r="AB5" s="1268" t="s">
        <v>1995</v>
      </c>
      <c r="AC5" s="71"/>
      <c r="AD5" s="71" t="s">
        <v>1996</v>
      </c>
      <c r="AE5" s="1267" t="s">
        <v>1997</v>
      </c>
      <c r="AF5" s="1268" t="s">
        <v>1998</v>
      </c>
      <c r="AG5" s="70" t="s">
        <v>1999</v>
      </c>
      <c r="AH5" s="1267" t="s">
        <v>2000</v>
      </c>
      <c r="AI5" s="2304" t="s">
        <v>2001</v>
      </c>
      <c r="AJ5" s="2304" t="s">
        <v>2002</v>
      </c>
      <c r="AK5" s="1268" t="s">
        <v>2003</v>
      </c>
      <c r="AL5" s="1268" t="s">
        <v>2004</v>
      </c>
      <c r="AM5" s="70" t="s">
        <v>2005</v>
      </c>
      <c r="AN5" s="2305" t="s">
        <v>2006</v>
      </c>
      <c r="AO5" s="2075" t="s">
        <v>2007</v>
      </c>
      <c r="AP5" s="1249"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公寓</v>
      </c>
      <c r="B6" s="2308" t="str">
        <f>IF(A6=0,"","经营性")</f>
        <v>经营性</v>
      </c>
      <c r="C6" s="2309" t="s">
        <v>1373</v>
      </c>
      <c r="D6" s="1051">
        <f>SUMIF(项目基本情况!D$12:I$12,C6,项目基本情况!D$14:I$14)</f>
        <v>40</v>
      </c>
      <c r="E6" s="1048">
        <f>IF(B6="","",SUMIF(项目基本情况!D$12:I$12,C6,项目基本情况!D$13:I$13))</f>
        <v>57199</v>
      </c>
      <c r="F6" s="72">
        <f>SUMIF(项目基本情况!D$12:I$12,C6,项目基本情况!D$15:I$15)</f>
        <v>37.33</v>
      </c>
      <c r="G6" s="73">
        <f>IF(ISERROR(ROUND(POWER(1+H6,D6-F6)*(POWER(1+H6,F6)-1)/(POWER(1+H6,D6)-1),3)),0,ROUND(POWER(1+H6,D6-F6)*(POWER(1+H6,F6)-1)/(POWER(1+H6,D6)-1),3))</f>
        <v>0.97699999999999998</v>
      </c>
      <c r="H6" s="802">
        <v>0.05</v>
      </c>
      <c r="I6" s="802">
        <v>5.5E-2</v>
      </c>
      <c r="J6" s="74">
        <v>8.5000000000000006E-2</v>
      </c>
      <c r="K6" s="1251">
        <f>SUMIF('数据-汇总表'!C$19:C$33,A6,'数据-汇总表'!E$19:E$33)</f>
        <v>33112.840000000157</v>
      </c>
      <c r="L6" s="803">
        <v>3500</v>
      </c>
      <c r="M6" s="75">
        <f t="shared" ref="M6:M14" si="0">ROUND(K6*L6/10000,0)</f>
        <v>11589</v>
      </c>
      <c r="N6" s="801">
        <v>0.6</v>
      </c>
      <c r="O6" s="75">
        <f>IF($N$5="成新度","——",ROUND(M6*N6,0))</f>
        <v>6953</v>
      </c>
      <c r="P6" s="76">
        <f>IF($N$5="成新度","——",M6-O6)</f>
        <v>4636</v>
      </c>
      <c r="Q6" s="804">
        <v>0.25</v>
      </c>
      <c r="R6" s="77">
        <f ca="1">SUMIF('数据-汇总表'!C$19:C$33,A6,'数据-汇总表'!R$19:R$27)</f>
        <v>9460.81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10"/>
      <c r="AO6" s="55" t="e">
        <f ca="1">SUMIF(INDIRECT("'"&amp;AN6&amp;"'"&amp;"!A:A"),"总价",INDIRECT("'"&amp;AN6&amp;"'"&amp;"!B:B"))</f>
        <v>#REF!</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2011</v>
      </c>
      <c r="B14" s="2308" t="s">
        <v>2012</v>
      </c>
      <c r="C14" s="2313" t="s">
        <v>2011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2013</v>
      </c>
      <c r="B15" s="2308" t="s">
        <v>2012</v>
      </c>
      <c r="C15" s="2313" t="s">
        <v>2014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2015</v>
      </c>
      <c r="B16" s="97"/>
      <c r="C16" s="1005"/>
      <c r="D16" s="2315"/>
      <c r="E16" s="97"/>
      <c r="F16" s="97"/>
      <c r="G16" s="98">
        <f>ROUND(SUMPRODUCT(G6:G13,K6:K13)/SUMPRODUCT((G6:G13&gt;0)*(K6:K13)),3)</f>
        <v>0.97699999999999998</v>
      </c>
      <c r="H16" s="99">
        <f>ROUND(SUMPRODUCT(H6:H13,K6:K13)/SUMPRODUCT((H6:H13&gt;0)*(K6:K13)),3)</f>
        <v>0.05</v>
      </c>
      <c r="I16" s="100"/>
      <c r="J16" s="100"/>
      <c r="K16" s="101">
        <f>SUM(K6:K15)</f>
        <v>33112.840000000157</v>
      </c>
      <c r="L16" s="102">
        <f>ROUND(M16*10000/SUM(K6:K14),0)</f>
        <v>3500</v>
      </c>
      <c r="M16" s="102">
        <f>SUM(M6:M14)</f>
        <v>11589</v>
      </c>
      <c r="N16" s="103">
        <f>ROUND(SUMPRODUCT(M6:M14,N6:N14)/M16,3)</f>
        <v>0.6</v>
      </c>
      <c r="O16" s="102">
        <f>SUM(O6:O14)</f>
        <v>6953</v>
      </c>
      <c r="P16" s="102">
        <f>SUM(P6:P14)</f>
        <v>4636</v>
      </c>
      <c r="Q16" s="104">
        <f>ROUND(SUMPRODUCT(Q6:Q13,K6:K13)/SUMPRODUCT((Q6:Q13&gt;0)*(K6:K13)),2)</f>
        <v>0.25</v>
      </c>
      <c r="R16" s="1255">
        <f ca="1">SUM(R6:R13)</f>
        <v>9460.81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2016</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2017</v>
      </c>
      <c r="B19" s="112">
        <v>0</v>
      </c>
      <c r="C19" s="2278" t="s">
        <v>2018</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2019</v>
      </c>
      <c r="B20" s="113">
        <v>4</v>
      </c>
      <c r="C20" s="2278" t="s">
        <v>2020</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2021</v>
      </c>
      <c r="B21" s="113">
        <v>2.4</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2022</v>
      </c>
      <c r="B22" s="114">
        <f>B19+B20</f>
        <v>4</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2023</v>
      </c>
      <c r="B23" s="114">
        <f>B19+B21</f>
        <v>2.4</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2024</v>
      </c>
      <c r="B24" s="115">
        <f>B20-B21</f>
        <v>1.6</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2025</v>
      </c>
      <c r="B26" s="2321" t="s">
        <v>2026</v>
      </c>
      <c r="C26" s="2322" t="s">
        <v>2027</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2028</v>
      </c>
      <c r="B27" s="116">
        <v>100</v>
      </c>
      <c r="C27" s="1764" t="s">
        <v>2029</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2030</v>
      </c>
      <c r="B28" s="119">
        <v>100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2031</v>
      </c>
      <c r="B29" s="121">
        <v>0</v>
      </c>
      <c r="C29" s="1764" t="s">
        <v>2032</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2033</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2034</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2035</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2036</v>
      </c>
      <c r="B33" s="726">
        <v>0.03</v>
      </c>
      <c r="C33" s="1763" t="s">
        <v>2037</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2038</v>
      </c>
      <c r="B34" s="122"/>
      <c r="C34" s="1763" t="s">
        <v>2039</v>
      </c>
      <c r="D34" s="2279" t="s">
        <v>2040</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2041</v>
      </c>
      <c r="B35" s="119">
        <v>200</v>
      </c>
      <c r="C35" s="1763" t="s">
        <v>2042</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2043</v>
      </c>
      <c r="B36" s="123">
        <v>1.4999999999999999E-2</v>
      </c>
      <c r="C36" s="1763" t="s">
        <v>2044</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2045</v>
      </c>
      <c r="B37" s="124">
        <v>0.02</v>
      </c>
      <c r="C37" s="1763" t="s">
        <v>2046</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2047</v>
      </c>
      <c r="B38" s="122">
        <v>0.03</v>
      </c>
      <c r="C38" s="1763" t="s">
        <v>2046</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2048</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2049</v>
      </c>
      <c r="B40" s="1300">
        <f ca="1">存贷款利率!G1</f>
        <v>4.7500000000000001E-2</v>
      </c>
      <c r="C40" s="1763" t="s">
        <v>2050</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2051</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2052</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2053</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2054</v>
      </c>
      <c r="B44" s="128">
        <v>7.0000000000000007E-2</v>
      </c>
      <c r="C44" s="1763" t="s">
        <v>2055</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2056</v>
      </c>
      <c r="B45" s="126">
        <v>0.03</v>
      </c>
      <c r="C45" s="1764" t="s">
        <v>2057</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2058</v>
      </c>
      <c r="B46" s="126">
        <v>0.02</v>
      </c>
      <c r="C46" s="1764" t="s">
        <v>2059</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2060</v>
      </c>
      <c r="B47" s="129"/>
      <c r="C47" s="1764" t="s">
        <v>2061</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2062</v>
      </c>
      <c r="B48" s="130">
        <v>0.04</v>
      </c>
      <c r="C48" s="1771" t="s">
        <v>2063</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2064</v>
      </c>
      <c r="B49" s="126">
        <v>5.0000000000000001E-4</v>
      </c>
      <c r="C49" s="1771" t="s">
        <v>2065</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2066</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2067</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2068</v>
      </c>
      <c r="B52" s="133">
        <f>SUMIF(A54:A63,B53,B54:B63)</f>
        <v>0</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2069</v>
      </c>
      <c r="B53" s="2337"/>
      <c r="C53" s="1427" t="s">
        <v>2070</v>
      </c>
      <c r="D53" s="2338" t="s">
        <v>2071</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2072</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2073</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2074</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2075</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2076</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2077</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2078</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2079</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2080</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2081</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3" t="s">
        <v>2082</v>
      </c>
      <c r="B1" s="3044"/>
      <c r="C1" s="3044"/>
      <c r="D1" s="3044"/>
      <c r="E1" s="3044"/>
      <c r="F1" s="3044"/>
      <c r="G1" s="3044"/>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68"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5"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5" t="s">
        <v>2094</v>
      </c>
      <c r="C5" s="2375" t="s">
        <v>2095</v>
      </c>
      <c r="D5" s="2372"/>
      <c r="E5" s="2376"/>
      <c r="F5" s="1795" t="s">
        <v>2096</v>
      </c>
      <c r="G5" s="2377" t="s">
        <v>2097</v>
      </c>
      <c r="H5" s="2369"/>
      <c r="I5" s="2369"/>
      <c r="J5" s="2369"/>
      <c r="K5" s="2369"/>
      <c r="L5" s="2369"/>
      <c r="M5" s="2369"/>
      <c r="N5" s="2369"/>
      <c r="O5" s="2369"/>
      <c r="P5" s="2369"/>
      <c r="Q5" s="2369"/>
      <c r="R5" s="2369"/>
    </row>
    <row r="6" spans="1:29" ht="54">
      <c r="A6" s="431"/>
      <c r="B6" s="1795" t="s">
        <v>2098</v>
      </c>
      <c r="C6" s="2377" t="s">
        <v>2093</v>
      </c>
      <c r="D6" s="2372"/>
      <c r="E6" s="2376"/>
      <c r="F6" s="1795" t="s">
        <v>2099</v>
      </c>
      <c r="G6" s="2377" t="s">
        <v>2100</v>
      </c>
      <c r="H6" s="2369"/>
      <c r="I6" s="2369"/>
      <c r="J6" s="2369"/>
      <c r="K6" s="2369"/>
      <c r="L6" s="2369"/>
      <c r="M6" s="2369"/>
      <c r="N6" s="2369"/>
      <c r="O6" s="2369"/>
      <c r="P6" s="2369"/>
      <c r="Q6" s="2369"/>
      <c r="R6" s="2369"/>
    </row>
    <row r="7" spans="1:29" ht="41.25" thickBot="1">
      <c r="A7" s="431"/>
      <c r="B7" s="1795"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5" t="s">
        <v>2099</v>
      </c>
      <c r="C8" s="2377" t="s">
        <v>2100</v>
      </c>
      <c r="D8" s="2378"/>
      <c r="E8" s="2378"/>
      <c r="F8" s="1133"/>
      <c r="G8" s="1133"/>
      <c r="H8" s="2369"/>
      <c r="I8" s="2369"/>
      <c r="J8" s="2369"/>
      <c r="K8" s="2369"/>
      <c r="L8" s="2369"/>
      <c r="M8" s="2369"/>
      <c r="N8" s="2369"/>
      <c r="O8" s="2369"/>
      <c r="P8" s="2369"/>
      <c r="Q8" s="2369"/>
      <c r="R8" s="2369"/>
    </row>
    <row r="9" spans="1:29" ht="27">
      <c r="A9" s="431"/>
      <c r="B9" s="1795" t="s">
        <v>2103</v>
      </c>
      <c r="C9" s="2375" t="s">
        <v>2104</v>
      </c>
      <c r="D9" s="2372"/>
      <c r="E9" s="2378"/>
      <c r="F9" s="1133"/>
      <c r="G9" s="1133"/>
      <c r="H9" s="2369"/>
      <c r="I9" s="2369"/>
      <c r="J9" s="2369"/>
      <c r="K9" s="2369"/>
      <c r="L9" s="2369"/>
      <c r="M9" s="2369"/>
      <c r="N9" s="2369"/>
      <c r="O9" s="2369"/>
      <c r="P9" s="2369"/>
      <c r="Q9" s="2369"/>
      <c r="R9" s="2369"/>
    </row>
    <row r="10" spans="1:29" s="117" customFormat="1" ht="15.75" thickBot="1">
      <c r="A10" s="2382"/>
      <c r="B10" s="2383" t="s">
        <v>2105</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67" t="s">
        <v>2086</v>
      </c>
      <c r="C15" s="2404" t="str">
        <f>C3</f>
        <v>估价对象周边居住用地比例、居住小区规模和社区发展完善程度，综合评价居住社区成熟度一般</v>
      </c>
      <c r="D15" s="2372"/>
      <c r="E15" s="2405" t="s">
        <v>2110</v>
      </c>
      <c r="F15" s="1267"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69"/>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69"/>
      <c r="D19" s="2372"/>
      <c r="E19" s="2408"/>
      <c r="F19" s="1795"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5" t="s">
        <v>2115</v>
      </c>
      <c r="G20" s="136" t="str">
        <f>G6</f>
        <v>估价对象所在区域基础设施水平</v>
      </c>
    </row>
    <row r="21" spans="1:18" ht="28.5">
      <c r="A21" s="645"/>
      <c r="B21" s="1795" t="s">
        <v>2096</v>
      </c>
      <c r="C21" s="136" t="str">
        <f>C7</f>
        <v>估价对象所在区域公共配套设施齐备情况</v>
      </c>
      <c r="D21" s="2372"/>
      <c r="E21" s="2408"/>
      <c r="F21" s="2409" t="s">
        <v>2116</v>
      </c>
      <c r="G21" s="2410"/>
    </row>
    <row r="22" spans="1:18" ht="13.5" customHeight="1">
      <c r="A22" s="645"/>
      <c r="B22" s="1795" t="s">
        <v>2099</v>
      </c>
      <c r="C22" s="136" t="str">
        <f>C8</f>
        <v>估价对象所在区域基础设施水平</v>
      </c>
      <c r="D22" s="2372"/>
      <c r="E22" s="2408"/>
      <c r="F22" s="2409" t="s">
        <v>2105</v>
      </c>
      <c r="G22" s="1569"/>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33112.840000000157</v>
      </c>
      <c r="C1" s="1742"/>
      <c r="D1" s="1742"/>
      <c r="E1" s="1742"/>
      <c r="F1" s="1742"/>
      <c r="G1" s="1740"/>
    </row>
    <row r="2" spans="1:10" ht="16.5">
      <c r="A2" s="1743" t="s">
        <v>1349</v>
      </c>
      <c r="B2" s="1743">
        <f>SUM(C14:C23)</f>
        <v>9460.81</v>
      </c>
      <c r="C2" s="1742"/>
      <c r="D2" s="1742"/>
      <c r="E2" s="1742"/>
      <c r="F2" s="1742"/>
      <c r="G2" s="1740"/>
    </row>
    <row r="3" spans="1:10" ht="16.5">
      <c r="A3" s="1743" t="s">
        <v>1358</v>
      </c>
      <c r="B3" s="1744">
        <f>项目基本情况!D3</f>
        <v>43573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24182</v>
      </c>
      <c r="C5" s="1743">
        <f ca="1">ROUND(B5*10000/$B$1,0)</f>
        <v>7303</v>
      </c>
      <c r="D5" s="1743">
        <f ca="1">ROUND(B5*10000/$B$2,0)</f>
        <v>25560</v>
      </c>
      <c r="E5" s="1742"/>
      <c r="F5" s="1740"/>
      <c r="G5" s="1740"/>
    </row>
    <row r="6" spans="1:10" ht="16.5">
      <c r="A6" s="1743" t="s">
        <v>1352</v>
      </c>
      <c r="B6" s="1743">
        <f ca="1">SUM(G14:G23)</f>
        <v>24182</v>
      </c>
      <c r="C6" s="1743">
        <f ca="1">ROUND(B6*10000/$B$1,0)</f>
        <v>7303</v>
      </c>
      <c r="D6" s="1743">
        <f ca="1">ROUND(B6*10000/$B$2,0)</f>
        <v>25560</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33112.840000000157</v>
      </c>
      <c r="C14" s="1741">
        <f>结果表!C118</f>
        <v>9460.81</v>
      </c>
      <c r="D14" s="1741">
        <f ca="1">结果表!H118</f>
        <v>24182</v>
      </c>
      <c r="E14" s="1741">
        <f ca="1">ROUND(D14*10000/B14,0)</f>
        <v>7303</v>
      </c>
      <c r="F14" s="1741">
        <f ca="1">ROUND(D14*10000/C14,0)</f>
        <v>25560</v>
      </c>
      <c r="G14" s="1741">
        <f ca="1">结果表!D122</f>
        <v>24182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C1" sqref="C1"/>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c r="D1" s="2420"/>
      <c r="E1" s="2420"/>
      <c r="F1" s="2422" t="s">
        <v>2120</v>
      </c>
      <c r="G1" s="2071" t="s">
        <v>2121</v>
      </c>
      <c r="H1" s="2423" t="str">
        <f>IF(G1="现房","——","估价对象范围")</f>
        <v>估价对象范围</v>
      </c>
      <c r="I1" s="2424"/>
    </row>
    <row r="2" spans="1:12" ht="21.75" customHeight="1" thickBot="1">
      <c r="A2" s="3078" t="str">
        <f>项目基本情况!S2</f>
        <v>出让国有建设用地使用权及在建建筑物房地产</v>
      </c>
      <c r="B2" s="3079"/>
      <c r="C2" s="3079"/>
      <c r="D2" s="3079"/>
      <c r="E2" s="3079"/>
      <c r="F2" s="3079"/>
      <c r="G2" s="3079"/>
      <c r="H2" s="3079"/>
      <c r="I2" s="3080"/>
    </row>
    <row r="3" spans="1:12" ht="12.75">
      <c r="A3" s="3082" t="s">
        <v>2122</v>
      </c>
      <c r="B3" s="3083"/>
      <c r="C3" s="3083"/>
      <c r="D3" s="3083"/>
      <c r="E3" s="3083"/>
      <c r="F3" s="3083"/>
      <c r="G3" s="3083"/>
      <c r="H3" s="3083"/>
      <c r="I3" s="3083"/>
    </row>
    <row r="4" spans="1:12" ht="14.25">
      <c r="A4" s="2427" t="s">
        <v>2123</v>
      </c>
      <c r="B4" s="2428" t="s">
        <v>2124</v>
      </c>
      <c r="C4" s="2429" t="s">
        <v>3793</v>
      </c>
      <c r="D4" s="2429" t="s">
        <v>3794</v>
      </c>
      <c r="E4" s="3075" t="s">
        <v>2125</v>
      </c>
      <c r="F4" s="3076"/>
      <c r="G4" s="3076"/>
      <c r="H4" s="3076"/>
      <c r="I4" s="3084"/>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58" t="s">
        <v>2126</v>
      </c>
      <c r="B5" s="2996">
        <v>25</v>
      </c>
      <c r="C5" s="3061"/>
      <c r="D5" s="3081"/>
      <c r="E5" s="140" t="s">
        <v>2127</v>
      </c>
      <c r="F5" s="2431"/>
      <c r="G5" s="2431"/>
      <c r="H5" s="2431"/>
      <c r="I5" s="1831"/>
    </row>
    <row r="6" spans="1:12" ht="12.75">
      <c r="A6" s="3058"/>
      <c r="B6" s="2996"/>
      <c r="C6" s="3062"/>
      <c r="D6" s="3081"/>
      <c r="E6" s="140" t="s">
        <v>2128</v>
      </c>
      <c r="F6" s="2431"/>
      <c r="G6" s="2431"/>
      <c r="H6" s="2431"/>
      <c r="I6" s="1831"/>
    </row>
    <row r="7" spans="1:12" ht="12.75">
      <c r="A7" s="3058"/>
      <c r="B7" s="2996"/>
      <c r="C7" s="3063"/>
      <c r="D7" s="3081"/>
      <c r="E7" s="140" t="s">
        <v>2129</v>
      </c>
      <c r="F7" s="2431"/>
      <c r="G7" s="2431"/>
      <c r="H7" s="2431"/>
      <c r="I7" s="1831"/>
    </row>
    <row r="8" spans="1:12" ht="12.75">
      <c r="A8" s="3058" t="s">
        <v>2130</v>
      </c>
      <c r="B8" s="2996">
        <v>15</v>
      </c>
      <c r="C8" s="3061"/>
      <c r="D8" s="3081"/>
      <c r="E8" s="140" t="s">
        <v>2131</v>
      </c>
      <c r="F8" s="2431"/>
      <c r="G8" s="2431"/>
      <c r="H8" s="2431"/>
      <c r="I8" s="1831"/>
    </row>
    <row r="9" spans="1:12" ht="12.75">
      <c r="A9" s="3058"/>
      <c r="B9" s="2996"/>
      <c r="C9" s="3063"/>
      <c r="D9" s="3081"/>
      <c r="E9" s="140" t="s">
        <v>2132</v>
      </c>
      <c r="F9" s="2431"/>
      <c r="G9" s="2431"/>
      <c r="H9" s="2431"/>
      <c r="I9" s="1831"/>
    </row>
    <row r="10" spans="1:12" ht="12.75">
      <c r="A10" s="3058" t="s">
        <v>2133</v>
      </c>
      <c r="B10" s="2996">
        <v>15</v>
      </c>
      <c r="C10" s="3061"/>
      <c r="D10" s="3081"/>
      <c r="E10" s="140" t="s">
        <v>2134</v>
      </c>
      <c r="F10" s="2431"/>
      <c r="G10" s="2431"/>
      <c r="H10" s="2431"/>
      <c r="I10" s="1831"/>
    </row>
    <row r="11" spans="1:12" ht="12.75">
      <c r="A11" s="3058"/>
      <c r="B11" s="2996"/>
      <c r="C11" s="3063"/>
      <c r="D11" s="3081"/>
      <c r="E11" s="140" t="s">
        <v>2135</v>
      </c>
      <c r="F11" s="2431"/>
      <c r="G11" s="2431"/>
      <c r="H11" s="2431"/>
      <c r="I11" s="1831"/>
    </row>
    <row r="12" spans="1:12" ht="12.75">
      <c r="A12" s="3058" t="s">
        <v>2136</v>
      </c>
      <c r="B12" s="2996">
        <v>15</v>
      </c>
      <c r="C12" s="3061"/>
      <c r="D12" s="3081"/>
      <c r="E12" s="140" t="s">
        <v>2137</v>
      </c>
      <c r="F12" s="2431"/>
      <c r="G12" s="2431"/>
      <c r="H12" s="2431"/>
      <c r="I12" s="1831"/>
    </row>
    <row r="13" spans="1:12" ht="12.75">
      <c r="A13" s="3058"/>
      <c r="B13" s="2996"/>
      <c r="C13" s="3063"/>
      <c r="D13" s="3081"/>
      <c r="E13" s="140" t="s">
        <v>2138</v>
      </c>
      <c r="F13" s="2431"/>
      <c r="G13" s="2431"/>
      <c r="H13" s="2431"/>
      <c r="I13" s="1831"/>
    </row>
    <row r="14" spans="1:12" ht="12.75">
      <c r="A14" s="3058" t="s">
        <v>2139</v>
      </c>
      <c r="B14" s="2996">
        <v>30</v>
      </c>
      <c r="C14" s="3061">
        <v>5</v>
      </c>
      <c r="D14" s="3081">
        <v>5</v>
      </c>
      <c r="E14" s="140" t="s">
        <v>2140</v>
      </c>
      <c r="F14" s="2431"/>
      <c r="G14" s="2431"/>
      <c r="H14" s="2431"/>
      <c r="I14" s="1831"/>
    </row>
    <row r="15" spans="1:12" ht="12.75">
      <c r="A15" s="3058"/>
      <c r="B15" s="2996"/>
      <c r="C15" s="3062"/>
      <c r="D15" s="3081"/>
      <c r="E15" s="140" t="s">
        <v>2141</v>
      </c>
      <c r="F15" s="2431"/>
      <c r="G15" s="2431"/>
      <c r="H15" s="2431"/>
      <c r="I15" s="1831"/>
    </row>
    <row r="16" spans="1:12" ht="12.75">
      <c r="A16" s="3058"/>
      <c r="B16" s="2996"/>
      <c r="C16" s="3063"/>
      <c r="D16" s="3081"/>
      <c r="E16" s="140" t="s">
        <v>2142</v>
      </c>
      <c r="F16" s="2431"/>
      <c r="G16" s="2431"/>
      <c r="H16" s="2431"/>
      <c r="I16" s="1831"/>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33112.840000000157</v>
      </c>
      <c r="M18" s="2430">
        <f>IF(C1="",'数据-汇总表'!E3,SUMIF(项目类型,C1,'数据-汇总表'!E17:E26))</f>
        <v>33112.840000000157</v>
      </c>
    </row>
    <row r="19" spans="1:35" ht="15">
      <c r="A19" s="2436" t="s">
        <v>2148</v>
      </c>
      <c r="B19" s="2437" t="s">
        <v>2149</v>
      </c>
      <c r="C19" s="143">
        <f ca="1">SUMIF(INDIRECT("'"&amp;C4&amp;"'"&amp;"!A:A"),结果表!B19,INDIRECT("'"&amp;C4&amp;"'"&amp;"!B:B"))</f>
        <v>24045</v>
      </c>
      <c r="D19" s="144">
        <f ca="1">SUMIF(INDIRECT("'"&amp;D4&amp;"'"&amp;"!A:A"),结果表!B19,INDIRECT("'"&amp;D4&amp;"'"&amp;"!B:B"))</f>
        <v>24319</v>
      </c>
      <c r="E19" s="2436" t="s">
        <v>2150</v>
      </c>
      <c r="F19" s="2437" t="s">
        <v>2149</v>
      </c>
      <c r="G19" s="145">
        <f ca="1">ROUND(C19*$C$18+D19*$D$18,0)</f>
        <v>24182</v>
      </c>
      <c r="H19" s="2438" t="s">
        <v>2151</v>
      </c>
      <c r="I19" s="138"/>
      <c r="K19" s="2430" t="s">
        <v>2152</v>
      </c>
      <c r="L19" s="2430">
        <f>IF(C1="",'数据-汇总表'!D3,SUMIF(项目类型,C1,'数据-汇总表'!D17:D26)+SUMIF(项目类型,C1,'数据-汇总表'!H17:H27))</f>
        <v>9460.81</v>
      </c>
      <c r="M19" s="2430">
        <f>IF(C1="",'数据-汇总表'!D3,SUMIF(项目类型,C1,'数据-汇总表'!D17:D26))</f>
        <v>9460.81</v>
      </c>
    </row>
    <row r="20" spans="1:35" ht="15">
      <c r="A20" s="2439"/>
      <c r="B20" s="1247" t="s">
        <v>2153</v>
      </c>
      <c r="C20" s="146">
        <f ca="1">SUMIF(INDIRECT("'"&amp;C4&amp;"'"&amp;"!A:A"),结果表!B20,INDIRECT("'"&amp;C4&amp;"'"&amp;"!B:B"))</f>
        <v>7262</v>
      </c>
      <c r="D20" s="147">
        <f ca="1">SUMIF(INDIRECT("'"&amp;D4&amp;"'"&amp;"!A:A"),结果表!B20,INDIRECT("'"&amp;D4&amp;"'"&amp;"!B:B"))</f>
        <v>7344</v>
      </c>
      <c r="E20" s="2439"/>
      <c r="F20" s="1247" t="s">
        <v>2153</v>
      </c>
      <c r="G20" s="148">
        <f ca="1">ROUND(C20*$C$18+D20*$D$18,0)</f>
        <v>7303</v>
      </c>
      <c r="H20" s="980" t="s">
        <v>2154</v>
      </c>
      <c r="I20" s="138"/>
    </row>
    <row r="21" spans="1:35" ht="15" customHeight="1" thickBot="1">
      <c r="A21" s="1000"/>
      <c r="B21" s="2440" t="s">
        <v>2155</v>
      </c>
      <c r="C21" s="789">
        <f ca="1">ROUND(C19*10000/L19,0)</f>
        <v>25415</v>
      </c>
      <c r="D21" s="790">
        <f ca="1">ROUND(D19*10000/L19,0)</f>
        <v>25705</v>
      </c>
      <c r="E21" s="1000"/>
      <c r="F21" s="2440" t="s">
        <v>2155</v>
      </c>
      <c r="G21" s="149">
        <f ca="1">ROUND(G19*10000/L19,0)</f>
        <v>25560</v>
      </c>
      <c r="H21" s="2441" t="s">
        <v>2154</v>
      </c>
      <c r="I21" s="138"/>
    </row>
    <row r="22" spans="1:35" ht="15" thickBot="1">
      <c r="A22" s="2282" t="s">
        <v>2156</v>
      </c>
      <c r="B22" s="2442"/>
      <c r="C22" s="2443"/>
      <c r="D22" s="791">
        <f ca="1">IF(C19&lt;D19,D19/C19-1,C19/D19-1)</f>
        <v>1.1395300478269865E-2</v>
      </c>
      <c r="E22" s="138"/>
      <c r="F22" s="138"/>
      <c r="G22" s="138"/>
      <c r="H22" s="138"/>
      <c r="I22" s="138"/>
    </row>
    <row r="23" spans="1:35" ht="13.5" thickBot="1">
      <c r="A23" s="2420"/>
      <c r="B23" s="2420"/>
      <c r="C23" s="2420"/>
      <c r="D23" s="2420"/>
      <c r="E23" s="138"/>
      <c r="F23" s="138"/>
      <c r="G23" s="138"/>
      <c r="H23" s="138"/>
      <c r="I23" s="138"/>
    </row>
    <row r="24" spans="1:35" ht="14.25">
      <c r="A24" s="3052" t="s">
        <v>2157</v>
      </c>
      <c r="B24" s="2437" t="s">
        <v>2149</v>
      </c>
      <c r="C24" s="145">
        <f>IF(B30=0,0,D30)</f>
        <v>0</v>
      </c>
      <c r="D24" s="2444"/>
      <c r="E24" s="138"/>
      <c r="F24" s="138"/>
      <c r="G24" s="138"/>
      <c r="H24" s="138"/>
      <c r="I24" s="138"/>
    </row>
    <row r="25" spans="1:35" ht="14.25">
      <c r="A25" s="3053"/>
      <c r="B25" s="1247"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17"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24182</v>
      </c>
      <c r="D32" s="2451" t="s">
        <v>2164</v>
      </c>
      <c r="E32" s="138"/>
      <c r="F32" s="138"/>
      <c r="G32" s="138"/>
      <c r="H32" s="138"/>
      <c r="I32" s="138"/>
    </row>
    <row r="33" spans="1:15" ht="15">
      <c r="A33" s="957" t="s">
        <v>2165</v>
      </c>
      <c r="B33" s="2452"/>
      <c r="C33" s="2453"/>
      <c r="D33" s="2454"/>
      <c r="E33" s="2455" t="s">
        <v>2166</v>
      </c>
      <c r="F33" s="2456" t="str">
        <f>IF(D32="楼面单价","取值（单价）","取值（总价）")</f>
        <v>取值（总价）</v>
      </c>
      <c r="G33" s="138"/>
      <c r="H33" s="138"/>
      <c r="I33" s="138"/>
    </row>
    <row r="34" spans="1:15" ht="15">
      <c r="A34" s="2457"/>
      <c r="B34" s="2458" t="s">
        <v>2167</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2168</v>
      </c>
      <c r="F34" s="1736"/>
      <c r="G34" s="138"/>
      <c r="H34" s="138"/>
      <c r="I34" s="138"/>
    </row>
    <row r="35" spans="1:15" ht="15.75" thickBot="1">
      <c r="A35" s="2460"/>
      <c r="B35" s="2461" t="s">
        <v>2169</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2170</v>
      </c>
      <c r="F35" s="163"/>
      <c r="G35" s="138"/>
      <c r="H35" s="138"/>
      <c r="I35" s="138"/>
    </row>
    <row r="36" spans="1:15" ht="15.75" thickBot="1">
      <c r="A36" s="3070" t="s">
        <v>2171</v>
      </c>
      <c r="B36" s="2463" t="s">
        <v>2172</v>
      </c>
      <c r="C36" s="154"/>
      <c r="D36" s="2464"/>
      <c r="E36" s="2465"/>
      <c r="F36" s="2466"/>
      <c r="G36" s="138"/>
      <c r="H36" s="138"/>
      <c r="I36" s="138"/>
    </row>
    <row r="37" spans="1:15" ht="15.75" thickBot="1">
      <c r="A37" s="3071"/>
      <c r="B37" s="2268" t="s">
        <v>2173</v>
      </c>
      <c r="C37" s="156"/>
      <c r="D37" s="1392"/>
      <c r="E37" s="1392"/>
      <c r="F37" s="2466"/>
      <c r="G37" s="138"/>
      <c r="H37" s="138"/>
      <c r="I37" s="138"/>
    </row>
    <row r="38" spans="1:15" ht="15.75" thickBot="1">
      <c r="A38" s="3072"/>
      <c r="B38" s="2467" t="s">
        <v>2174</v>
      </c>
      <c r="C38" s="727"/>
      <c r="D38" s="2468" t="s">
        <v>2175</v>
      </c>
      <c r="E38" s="1392"/>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049" t="s">
        <v>2185</v>
      </c>
      <c r="B45" s="3050"/>
      <c r="C45" s="3051"/>
      <c r="D45" s="164">
        <f ca="1">ROUND(H101*F45,0)</f>
        <v>24182</v>
      </c>
      <c r="E45" s="165" t="s">
        <v>2186</v>
      </c>
      <c r="F45" s="166">
        <v>1</v>
      </c>
      <c r="G45" s="167" t="s">
        <v>2187</v>
      </c>
      <c r="H45" s="138"/>
      <c r="I45" s="138"/>
      <c r="J45" s="3109" t="s">
        <v>2188</v>
      </c>
      <c r="K45" s="3109"/>
      <c r="L45" s="3109"/>
      <c r="M45" s="3109"/>
      <c r="N45" s="3109"/>
      <c r="O45" s="3109"/>
    </row>
    <row r="46" spans="1:15" ht="14.25" customHeight="1">
      <c r="A46" s="3046" t="s">
        <v>2189</v>
      </c>
      <c r="B46" s="3047"/>
      <c r="C46" s="3047"/>
      <c r="D46" s="3047"/>
      <c r="E46" s="3047"/>
      <c r="F46" s="3047"/>
      <c r="G46" s="3048"/>
      <c r="H46" s="2482"/>
      <c r="I46" s="168"/>
      <c r="J46" s="1809">
        <v>1</v>
      </c>
      <c r="K46" s="3109" t="s">
        <v>2190</v>
      </c>
      <c r="L46" s="3109"/>
      <c r="M46" s="3129"/>
      <c r="N46" s="3129"/>
      <c r="O46" s="3129"/>
    </row>
    <row r="47" spans="1:15" ht="12" customHeight="1">
      <c r="A47" s="169" t="s">
        <v>2191</v>
      </c>
      <c r="B47" s="170"/>
      <c r="C47" s="171"/>
      <c r="D47" s="172" t="s">
        <v>2192</v>
      </c>
      <c r="E47" s="24" t="s">
        <v>2193</v>
      </c>
      <c r="F47" s="173" t="s">
        <v>2194</v>
      </c>
      <c r="G47" s="174" t="s">
        <v>2195</v>
      </c>
      <c r="H47" s="2482"/>
      <c r="I47" s="168"/>
      <c r="J47" s="1809">
        <v>2</v>
      </c>
      <c r="K47" s="3109" t="s">
        <v>2196</v>
      </c>
      <c r="L47" s="3109"/>
      <c r="M47" s="3130">
        <f>'数据-取费表'!B2</f>
        <v>43573</v>
      </c>
      <c r="N47" s="3130"/>
      <c r="O47" s="3130"/>
    </row>
    <row r="48" spans="1:15" ht="25.5">
      <c r="A48" s="3077" t="s">
        <v>2197</v>
      </c>
      <c r="B48" s="3060"/>
      <c r="C48" s="3060"/>
      <c r="D48" s="140">
        <f>IF(H48="情况1",0,IF(H48="情况2",D52,IF(H48="情况3",D53,IF(H48="情况4",D54))))</f>
        <v>0</v>
      </c>
      <c r="E48" s="1798" t="str">
        <f>IF(H48="情况4","(销售额-原购置价)×税（费）率","销售额×税（费）率")</f>
        <v>销售额×税（费）率</v>
      </c>
      <c r="F48" s="175" t="str">
        <f>IF(H48="情况1","免征",'数据-取费表'!B41)</f>
        <v>免征</v>
      </c>
      <c r="G48" s="2483" t="s">
        <v>2198</v>
      </c>
      <c r="H48" s="2484" t="s">
        <v>2199</v>
      </c>
      <c r="I48" s="2482"/>
      <c r="J48" s="1809">
        <v>3</v>
      </c>
      <c r="K48" s="3109" t="s">
        <v>2200</v>
      </c>
      <c r="L48" s="3109"/>
      <c r="M48" s="3131">
        <f ca="1">H101</f>
        <v>24182</v>
      </c>
      <c r="N48" s="3131"/>
      <c r="O48" s="3131"/>
    </row>
    <row r="49" spans="1:35" ht="25.5" customHeight="1">
      <c r="A49" s="176" t="s">
        <v>2201</v>
      </c>
      <c r="B49" s="3045" t="s">
        <v>2202</v>
      </c>
      <c r="C49" s="3045"/>
      <c r="D49" s="177">
        <v>0</v>
      </c>
      <c r="E49" s="23" t="s">
        <v>2203</v>
      </c>
      <c r="F49" s="28" t="s">
        <v>34</v>
      </c>
      <c r="G49" s="3115"/>
      <c r="H49" s="138"/>
      <c r="I49" s="2485"/>
      <c r="J49" s="1809">
        <v>4</v>
      </c>
      <c r="K49" s="3109" t="str">
        <f>IF(项目基本情况!E8="房地产抵押价值","房地产抵押价值","抵押担保权已注销时的房地产抵押价值")</f>
        <v>房地产抵押价值</v>
      </c>
      <c r="L49" s="3109"/>
      <c r="M49" s="3131">
        <f ca="1">IF(项目基本情况!E8="房地产抵押价值",H107,H109)</f>
        <v>24182</v>
      </c>
      <c r="N49" s="3131"/>
      <c r="O49" s="3131"/>
    </row>
    <row r="50" spans="1:35" ht="25.5" customHeight="1">
      <c r="A50" s="178"/>
      <c r="B50" s="3045" t="s">
        <v>2204</v>
      </c>
      <c r="C50" s="3045"/>
      <c r="D50" s="179"/>
      <c r="E50" s="31"/>
      <c r="F50" s="180"/>
      <c r="G50" s="3116"/>
      <c r="H50" s="138"/>
      <c r="I50" s="2485"/>
      <c r="J50" s="3109" t="s">
        <v>2205</v>
      </c>
      <c r="K50" s="3109"/>
      <c r="L50" s="3109"/>
      <c r="M50" s="3109"/>
      <c r="N50" s="3109"/>
      <c r="O50" s="3109"/>
    </row>
    <row r="51" spans="1:35" ht="12" customHeight="1">
      <c r="A51" s="181"/>
      <c r="B51" s="3045" t="s">
        <v>2206</v>
      </c>
      <c r="C51" s="3045"/>
      <c r="D51" s="182"/>
      <c r="E51" s="30"/>
      <c r="F51" s="180"/>
      <c r="G51" s="3117"/>
      <c r="H51" s="138"/>
      <c r="I51" s="2485"/>
      <c r="J51" s="2486" t="s">
        <v>2207</v>
      </c>
      <c r="K51" s="3109" t="s">
        <v>2208</v>
      </c>
      <c r="L51" s="3109"/>
      <c r="M51" s="2486" t="s">
        <v>2209</v>
      </c>
      <c r="N51" s="2486" t="s">
        <v>2210</v>
      </c>
      <c r="O51" s="2486" t="s">
        <v>2211</v>
      </c>
    </row>
    <row r="52" spans="1:35" ht="24" customHeight="1">
      <c r="A52" s="183" t="s">
        <v>2212</v>
      </c>
      <c r="B52" s="3045" t="s">
        <v>2213</v>
      </c>
      <c r="C52" s="3045"/>
      <c r="D52" s="182">
        <f ca="1">ROUND(D45*'数据-取费表'!B41/(1+'数据-取费表'!C42),0)</f>
        <v>1290</v>
      </c>
      <c r="E52" s="11" t="s">
        <v>2214</v>
      </c>
      <c r="F52" s="184">
        <f>'数据-取费表'!B41</f>
        <v>5.6000000000000001E-2</v>
      </c>
      <c r="G52" s="2487"/>
      <c r="H52" s="138"/>
      <c r="I52" s="2485"/>
      <c r="J52" s="1809">
        <v>1</v>
      </c>
      <c r="K52" s="3110" t="s">
        <v>2215</v>
      </c>
      <c r="L52" s="3110"/>
      <c r="M52" s="1751">
        <f>D48</f>
        <v>0</v>
      </c>
      <c r="N52" s="1809" t="str">
        <f>E48</f>
        <v>销售额×税（费）率</v>
      </c>
      <c r="O52" s="1752" t="str">
        <f>F48</f>
        <v>免征</v>
      </c>
    </row>
    <row r="53" spans="1:35" ht="12" customHeight="1">
      <c r="A53" s="183" t="s">
        <v>2216</v>
      </c>
      <c r="B53" s="3068" t="s">
        <v>2217</v>
      </c>
      <c r="C53" s="3069"/>
      <c r="D53" s="182">
        <f ca="1">ROUND(D45*'数据-取费表'!B41/(1+'数据-取费表'!C42),0)</f>
        <v>1290</v>
      </c>
      <c r="E53" s="11" t="s">
        <v>2214</v>
      </c>
      <c r="F53" s="184">
        <f>'数据-取费表'!B41</f>
        <v>5.6000000000000001E-2</v>
      </c>
      <c r="G53" s="2487"/>
      <c r="H53" s="138"/>
      <c r="I53" s="2485"/>
      <c r="J53" s="1809">
        <v>2</v>
      </c>
      <c r="K53" s="3110" t="s">
        <v>2218</v>
      </c>
      <c r="L53" s="3110"/>
      <c r="M53" s="1751">
        <f t="shared" ref="M53:O54" ca="1" si="0">D55</f>
        <v>12</v>
      </c>
      <c r="N53" s="1809" t="str">
        <f t="shared" si="0"/>
        <v>销售额×税（费）率</v>
      </c>
      <c r="O53" s="1752">
        <f t="shared" si="0"/>
        <v>5.0000000000000001E-4</v>
      </c>
    </row>
    <row r="54" spans="1:35" ht="12" customHeight="1">
      <c r="A54" s="183" t="s">
        <v>2219</v>
      </c>
      <c r="B54" s="3068" t="s">
        <v>2220</v>
      </c>
      <c r="C54" s="3069"/>
      <c r="D54" s="182">
        <f ca="1">C68</f>
        <v>1290</v>
      </c>
      <c r="E54" s="30" t="s">
        <v>2221</v>
      </c>
      <c r="F54" s="184">
        <f>'数据-取费表'!B41</f>
        <v>5.6000000000000001E-2</v>
      </c>
      <c r="G54" s="2487"/>
      <c r="H54" s="2488"/>
      <c r="I54" s="2485"/>
      <c r="J54" s="1809">
        <v>3</v>
      </c>
      <c r="K54" s="3110" t="s">
        <v>2222</v>
      </c>
      <c r="L54" s="3110"/>
      <c r="M54" s="1751">
        <f t="shared" ca="1" si="0"/>
        <v>13687</v>
      </c>
      <c r="N54" s="1809" t="str">
        <f t="shared" si="0"/>
        <v>增值额×税（费）率</v>
      </c>
      <c r="O54" s="1753" t="str">
        <f t="shared" si="0"/>
        <v>——</v>
      </c>
    </row>
    <row r="55" spans="1:35" ht="24" customHeight="1">
      <c r="A55" s="3059" t="s">
        <v>2223</v>
      </c>
      <c r="B55" s="3060"/>
      <c r="C55" s="3060"/>
      <c r="D55" s="185">
        <f ca="1">IF(H55="个人住宅",0,ROUND(D45*I55,0))</f>
        <v>12</v>
      </c>
      <c r="E55" s="11" t="s">
        <v>2224</v>
      </c>
      <c r="F55" s="184">
        <f>IF(H55="正常",I55,"免征")</f>
        <v>5.0000000000000001E-4</v>
      </c>
      <c r="G55" s="2487"/>
      <c r="H55" s="2484" t="s">
        <v>2225</v>
      </c>
      <c r="I55" s="186">
        <f>'数据-取费表'!B49</f>
        <v>5.0000000000000001E-4</v>
      </c>
      <c r="J55" s="1809" t="str">
        <f>IF(H59="非个人房产","",4)</f>
        <v/>
      </c>
      <c r="K55" s="3110" t="str">
        <f>IF(H59="非个人房产","——","个人所得税")</f>
        <v>——</v>
      </c>
      <c r="L55" s="3110"/>
      <c r="M55" s="1754" t="str">
        <f>D59</f>
        <v>——</v>
      </c>
      <c r="N55" s="1807" t="str">
        <f>E59</f>
        <v>——</v>
      </c>
      <c r="O55" s="1755" t="str">
        <f>F59</f>
        <v>——</v>
      </c>
    </row>
    <row r="56" spans="1:35" ht="24.75">
      <c r="A56" s="3059" t="s">
        <v>2226</v>
      </c>
      <c r="B56" s="3060"/>
      <c r="C56" s="3060"/>
      <c r="D56" s="185">
        <f ca="1">IF(H56="个人住宅",D57,D58)</f>
        <v>13687</v>
      </c>
      <c r="E56" s="11" t="s">
        <v>2227</v>
      </c>
      <c r="F56" s="184" t="str">
        <f>IF(H56="正常",F58,"免征")</f>
        <v>——</v>
      </c>
      <c r="G56" s="2489" t="s">
        <v>2228</v>
      </c>
      <c r="H56" s="2490" t="s">
        <v>2225</v>
      </c>
      <c r="I56" s="2491"/>
      <c r="J56" s="1809" t="str">
        <f>IF(项目基本情况!K6="上海银行",IF(J55="",4,J55+1),"")</f>
        <v/>
      </c>
      <c r="K56" s="3133" t="str">
        <f>IF(项目基本情况!K6="上海银行","其他处置费用","")</f>
        <v/>
      </c>
      <c r="L56" s="3134"/>
      <c r="M56" s="1751" t="str">
        <f>IF(项目基本情况!K6="上海银行",M69,"")</f>
        <v/>
      </c>
      <c r="N56" s="3136" t="str">
        <f>IF(项目基本情况!K6="上海银行","包含处置中涉及的律师、诉讼、拍卖、评估等费用","")</f>
        <v/>
      </c>
      <c r="O56" s="3137"/>
    </row>
    <row r="57" spans="1:35" ht="12.75">
      <c r="A57" s="183" t="s">
        <v>2201</v>
      </c>
      <c r="B57" s="3075" t="s">
        <v>2229</v>
      </c>
      <c r="C57" s="3084"/>
      <c r="D57" s="187">
        <v>0</v>
      </c>
      <c r="E57" s="23" t="s">
        <v>2203</v>
      </c>
      <c r="F57" s="155"/>
      <c r="G57" s="2487"/>
      <c r="H57" s="2491"/>
      <c r="I57" s="2491"/>
      <c r="J57" s="3110">
        <f>IF(AND(J55="",J56=""),4,IF(项目基本情况!K6="上海银行",结果表!J56+1,结果表!J55+1))</f>
        <v>4</v>
      </c>
      <c r="K57" s="3110" t="s">
        <v>2230</v>
      </c>
      <c r="L57" s="2492" t="s">
        <v>2231</v>
      </c>
      <c r="M57" s="1756"/>
      <c r="N57" s="1757">
        <f ca="1">SUMIF(M52:M56,"&lt;9e307")</f>
        <v>13699</v>
      </c>
      <c r="O57" s="2493"/>
      <c r="P57" s="1750">
        <f ca="1">N57/M49</f>
        <v>0.56649574063352903</v>
      </c>
    </row>
    <row r="58" spans="1:35" ht="24.75">
      <c r="A58" s="183" t="s">
        <v>2212</v>
      </c>
      <c r="B58" s="3075" t="s">
        <v>2232</v>
      </c>
      <c r="C58" s="3076"/>
      <c r="D58" s="185">
        <f ca="1">IF(H58="转让取得",C81,C97)</f>
        <v>13687</v>
      </c>
      <c r="E58" s="11" t="s">
        <v>2227</v>
      </c>
      <c r="F58" s="24" t="s">
        <v>34</v>
      </c>
      <c r="G58" s="2487"/>
      <c r="H58" s="2490" t="s">
        <v>2233</v>
      </c>
      <c r="I58" s="2491"/>
      <c r="J58" s="3110"/>
      <c r="K58" s="3110"/>
      <c r="L58" s="2492" t="s">
        <v>2234</v>
      </c>
      <c r="M58" s="1758"/>
      <c r="N58" s="2494" t="str">
        <f ca="1">NUMBERSTRING(INT(N57*10000),2)&amp;"元整"</f>
        <v>壹亿叁仟陆佰玖拾玖万元整</v>
      </c>
      <c r="O58" s="2495"/>
    </row>
    <row r="59" spans="1:35" ht="24.75" thickBot="1">
      <c r="A59" s="3113" t="s">
        <v>2235</v>
      </c>
      <c r="B59" s="3114"/>
      <c r="C59" s="3114"/>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111">
        <f>J57+1</f>
        <v>5</v>
      </c>
      <c r="K59" s="3110" t="s">
        <v>2237</v>
      </c>
      <c r="L59" s="1809" t="s">
        <v>2231</v>
      </c>
      <c r="M59" s="1759"/>
      <c r="N59" s="1760">
        <f ca="1">M49-N57</f>
        <v>10483</v>
      </c>
      <c r="O59" s="2497"/>
    </row>
    <row r="60" spans="1:35" ht="12" customHeight="1">
      <c r="A60" s="2498"/>
      <c r="B60" s="2420"/>
      <c r="C60" s="2420"/>
      <c r="D60" s="2420"/>
      <c r="E60" s="2167"/>
      <c r="F60" s="2491"/>
      <c r="G60" s="2491"/>
      <c r="H60" s="2499"/>
      <c r="I60" s="138"/>
      <c r="J60" s="3112"/>
      <c r="K60" s="3110"/>
      <c r="L60" s="2492" t="s">
        <v>2234</v>
      </c>
      <c r="M60" s="1758"/>
      <c r="N60" s="2494" t="str">
        <f ca="1">NUMBERSTRING(INT(N59*10000),2)&amp;"元整"</f>
        <v>壹亿零肆佰捌拾叁万元整</v>
      </c>
      <c r="O60" s="2495"/>
    </row>
    <row r="61" spans="1:35" ht="13.5" thickBot="1">
      <c r="A61" s="3057" t="s">
        <v>2238</v>
      </c>
      <c r="B61" s="3057"/>
      <c r="C61" s="3057"/>
      <c r="D61" s="3057"/>
      <c r="E61" s="3057"/>
      <c r="F61" s="2491"/>
      <c r="G61" s="2491"/>
      <c r="H61" s="2499"/>
      <c r="I61" s="138"/>
      <c r="J61" s="1809">
        <f>J59+1</f>
        <v>6</v>
      </c>
      <c r="K61" s="3110" t="s">
        <v>2239</v>
      </c>
      <c r="L61" s="3110"/>
      <c r="M61" s="1761"/>
      <c r="N61" s="1762">
        <f ca="1">ROUND(N59*10000/'数据-汇总表'!E3,0)</f>
        <v>3166</v>
      </c>
      <c r="O61" s="2500"/>
    </row>
    <row r="62" spans="1:35" ht="12.75">
      <c r="A62" s="3073" t="s">
        <v>2240</v>
      </c>
      <c r="B62" s="3074"/>
      <c r="C62" s="1801"/>
      <c r="D62" s="1801" t="s">
        <v>2241</v>
      </c>
      <c r="E62" s="192" t="s">
        <v>2242</v>
      </c>
      <c r="F62" s="2491"/>
      <c r="G62" s="2491"/>
      <c r="H62" s="2499"/>
      <c r="I62" s="138"/>
    </row>
    <row r="63" spans="1:35" ht="12.75">
      <c r="A63" s="203" t="s">
        <v>775</v>
      </c>
      <c r="B63" s="193" t="s">
        <v>2243</v>
      </c>
      <c r="C63" s="194">
        <f ca="1">ROUND((C64+C65)/(1+'数据-取费表'!C42),0)</f>
        <v>23030</v>
      </c>
      <c r="D63" s="195"/>
      <c r="E63" s="196"/>
      <c r="F63" s="2491"/>
      <c r="G63" s="2491"/>
      <c r="H63" s="2499"/>
      <c r="I63" s="138"/>
      <c r="J63" s="3135" t="s">
        <v>2244</v>
      </c>
      <c r="K63" s="2501" t="s">
        <v>2245</v>
      </c>
      <c r="L63" s="1749">
        <f ca="1">IF(M49&gt;10000,M49*0.5%,IF(AND(M49&gt;1000,M49&lt;=10000),M49*1%,IF(AND(M49&gt;100,M49&lt;=1000),M49*3%,IF(AND(M49&gt;10,M49&lt;=100),M49*5%,M49*8%))))</f>
        <v>120.91</v>
      </c>
      <c r="M63" s="24">
        <f ca="1">ROUND(L63,1)</f>
        <v>120.9</v>
      </c>
      <c r="Z63" s="2425"/>
      <c r="AI63" s="2426"/>
    </row>
    <row r="64" spans="1:35" ht="14.25" customHeight="1">
      <c r="A64" s="197" t="s">
        <v>770</v>
      </c>
      <c r="B64" s="198" t="s">
        <v>2246</v>
      </c>
      <c r="C64" s="199">
        <f ca="1">D45</f>
        <v>24182</v>
      </c>
      <c r="D64" s="200" t="s">
        <v>32</v>
      </c>
      <c r="E64" s="201"/>
      <c r="F64" s="2491"/>
      <c r="G64" s="2491"/>
      <c r="H64" s="2499"/>
      <c r="I64" s="138"/>
      <c r="J64" s="3135"/>
      <c r="K64" s="2501" t="s">
        <v>2247</v>
      </c>
      <c r="L64" s="1749">
        <f ca="1">IF(M49&gt;2000,M49*0.5%,IF(AND(M49&gt;1000,M49&lt;=2000),M49*0.6%,IF(AND(M49&gt;500,M49&lt;=1000),M49*0.7%,IF(AND(M49&gt;200,M49&lt;=500),M49*0.8%,IF(AND(M49&gt;100,M49&lt;=200),M49*0.9%,IF(AND(M49&gt;50,M49&lt;=100),M49*1%,IF(AND(M49&gt;20,M49&lt;=50),M49*1.5%,IF(AND(M49&gt;10,M49&lt;=20),M49*2%,IF(AND(M49&gt;1,M49&lt;=10),M49*2.5%)))))))))</f>
        <v>120.91</v>
      </c>
      <c r="M64" s="24">
        <f t="shared" ref="M64:M65" ca="1" si="1">ROUND(L64,1)</f>
        <v>120.9</v>
      </c>
      <c r="N64" s="138" t="s">
        <v>2248</v>
      </c>
      <c r="Z64" s="2425"/>
      <c r="AI64" s="2426"/>
    </row>
    <row r="65" spans="1:35" ht="14.25" customHeight="1">
      <c r="A65" s="197" t="s">
        <v>771</v>
      </c>
      <c r="B65" s="198" t="s">
        <v>2249</v>
      </c>
      <c r="C65" s="202"/>
      <c r="D65" s="200"/>
      <c r="E65" s="201"/>
      <c r="F65" s="2491"/>
      <c r="G65" s="2491"/>
      <c r="H65" s="2499"/>
      <c r="I65" s="138"/>
      <c r="J65" s="3135"/>
      <c r="K65" s="2501" t="s">
        <v>2250</v>
      </c>
      <c r="L65" s="1749">
        <f ca="1">IF(M49&gt;1000,M49*0.1%,IF(AND(M49&gt;500,M49&lt;=1000),M49*0.5%,IF(AND(M49&gt;50,M49&lt;=500),M49*1%,IF(AND(M49&gt;1,M49&lt;=50),M49*1.5%))))</f>
        <v>24.182000000000002</v>
      </c>
      <c r="M65" s="24">
        <f t="shared" ca="1" si="1"/>
        <v>24.2</v>
      </c>
      <c r="N65" s="138" t="s">
        <v>2248</v>
      </c>
      <c r="Z65" s="2425"/>
      <c r="AI65" s="2426"/>
    </row>
    <row r="66" spans="1:35" ht="14.25" customHeight="1">
      <c r="A66" s="203" t="s">
        <v>772</v>
      </c>
      <c r="B66" s="204" t="s">
        <v>2251</v>
      </c>
      <c r="C66" s="205"/>
      <c r="D66" s="206" t="s">
        <v>32</v>
      </c>
      <c r="E66" s="1773" t="s">
        <v>1367</v>
      </c>
      <c r="F66" s="2491"/>
      <c r="G66" s="2491"/>
      <c r="H66" s="2499"/>
      <c r="I66" s="138"/>
      <c r="J66" s="3135"/>
      <c r="K66" s="2501" t="s">
        <v>2252</v>
      </c>
      <c r="L66" s="1749">
        <f ca="1">M49*0.5%</f>
        <v>120.91</v>
      </c>
      <c r="M66" s="24">
        <f ca="1">IF(L66&gt;0.5,0.5,ROUND(L66,0))</f>
        <v>0.5</v>
      </c>
      <c r="N66" s="138" t="s">
        <v>2253</v>
      </c>
      <c r="Z66" s="2425"/>
      <c r="AI66" s="2426"/>
    </row>
    <row r="67" spans="1:35" ht="14.25" customHeight="1">
      <c r="A67" s="203" t="s">
        <v>773</v>
      </c>
      <c r="B67" s="204" t="s">
        <v>2254</v>
      </c>
      <c r="C67" s="207">
        <f ca="1">C63-C66</f>
        <v>23030</v>
      </c>
      <c r="D67" s="200" t="s">
        <v>32</v>
      </c>
      <c r="E67" s="201"/>
      <c r="F67" s="2491"/>
      <c r="G67" s="2491"/>
      <c r="H67" s="2499"/>
      <c r="I67" s="138"/>
      <c r="J67" s="3135"/>
      <c r="K67" s="2501" t="s">
        <v>2255</v>
      </c>
      <c r="L67" s="1749">
        <f ca="1">IF(M49&gt;=10000,(8.25+(M49-10000)*0.01%),IF(AND(M49&gt;=8000,M49&lt;10000),(7.85+(M49-8000)*0.02%),IF(AND(M49&gt;=5000,M49&lt;8000),(6.65+(M49-5000)*0.04%),IF(AND(M49&gt;=2000,M49&lt;5000),(4.25+(PM49-2000)*0.08%),IF(AND(M49&gt;=1000,M49&lt;2000),(2.75+(M49-1000)*0.15%),IF(AND(M49&gt;=100,M49&lt;1000),(0.5+(M49-100)*0.25%),IF(AND(M49&gt;0,M49&lt;100),M49*0.5%)))))))</f>
        <v>9.6682000000000006</v>
      </c>
      <c r="M67" s="24">
        <f ca="1">ROUND(L67*0.9,1)</f>
        <v>8.6999999999999993</v>
      </c>
      <c r="Z67" s="2425"/>
      <c r="AI67" s="2426"/>
    </row>
    <row r="68" spans="1:35" ht="14.25" customHeight="1" thickBot="1">
      <c r="A68" s="208" t="s">
        <v>774</v>
      </c>
      <c r="B68" s="209" t="s">
        <v>2256</v>
      </c>
      <c r="C68" s="210">
        <f ca="1">IF(C67&lt;=0,0,ROUND(C67*D68,0))</f>
        <v>1290</v>
      </c>
      <c r="D68" s="211">
        <f>'数据-取费表'!B41</f>
        <v>5.6000000000000001E-2</v>
      </c>
      <c r="E68" s="212"/>
      <c r="F68" s="2491"/>
      <c r="G68" s="2491"/>
      <c r="H68" s="2499"/>
      <c r="I68" s="138"/>
      <c r="J68" s="3135"/>
      <c r="K68" s="2501" t="s">
        <v>2257</v>
      </c>
      <c r="L68" s="1749">
        <f ca="1">IF(M49&gt;10000,M49*0.5%,IF(AND(M49&gt;5000,M49&lt;=10000),M49*1%,IF(AND(M49&gt;1000,M49&lt;=5000),M49*2%,IF(AND(M49&gt;200,M49&lt;=1000),M49*3%,M49*5%))))</f>
        <v>120.91</v>
      </c>
      <c r="M68" s="24">
        <f ca="1">ROUND(L68,1)</f>
        <v>120.9</v>
      </c>
      <c r="Z68" s="2425"/>
      <c r="AI68" s="2426"/>
    </row>
    <row r="69" spans="1:35" s="2448" customFormat="1" ht="16.5" customHeight="1">
      <c r="A69" s="2502"/>
      <c r="B69" s="2503"/>
      <c r="C69" s="2504"/>
      <c r="D69" s="2505"/>
      <c r="E69" s="2506"/>
      <c r="F69" s="2167"/>
      <c r="G69" s="2167"/>
      <c r="H69" s="2166"/>
      <c r="I69" s="2420"/>
      <c r="J69" s="3135"/>
      <c r="K69" s="2501" t="s">
        <v>2258</v>
      </c>
      <c r="L69" s="2507"/>
      <c r="M69" s="24">
        <f ca="1">ROUND(SUM(M63:M68),0)</f>
        <v>396</v>
      </c>
      <c r="N69" s="1750">
        <f ca="1">M69/M49</f>
        <v>1.6375816723182533E-2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4" t="s">
        <v>2259</v>
      </c>
      <c r="B70" s="3095"/>
      <c r="C70" s="3095"/>
      <c r="D70" s="3095"/>
      <c r="E70" s="3095"/>
      <c r="F70" s="3095"/>
      <c r="G70" s="3095"/>
      <c r="H70" s="309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3" t="s">
        <v>2240</v>
      </c>
      <c r="B71" s="3074"/>
      <c r="C71" s="1801"/>
      <c r="D71" s="1801"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23030</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138</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68" t="s">
        <v>2268</v>
      </c>
      <c r="F76" s="3045"/>
      <c r="G76" s="3045"/>
      <c r="H76" s="309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5" t="s">
        <v>2271</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138</v>
      </c>
      <c r="D78" s="226">
        <f>'数据-取费表'!B43</f>
        <v>6.000000000000001E-3</v>
      </c>
      <c r="E78" s="3054" t="s">
        <v>2273</v>
      </c>
      <c r="F78" s="3055"/>
      <c r="G78" s="3055"/>
      <c r="H78" s="306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22892</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165.8840579710145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13687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4" t="s">
        <v>2277</v>
      </c>
      <c r="B83" s="3095"/>
      <c r="C83" s="3095"/>
      <c r="D83" s="3095"/>
      <c r="E83" s="3095"/>
      <c r="F83" s="3095"/>
      <c r="G83" s="3095"/>
      <c r="H83" s="309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3" t="s">
        <v>2240</v>
      </c>
      <c r="B84" s="3074"/>
      <c r="C84" s="1801"/>
      <c r="D84" s="1801"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23030</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138</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797"/>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4.0500000000000001E-2</v>
      </c>
      <c r="E89" s="237" t="s">
        <v>2282</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54" t="s">
        <v>2286</v>
      </c>
      <c r="F91" s="3055"/>
      <c r="G91" s="3055"/>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54" t="s">
        <v>2290</v>
      </c>
      <c r="F92" s="3055"/>
      <c r="G92" s="3055"/>
      <c r="H92" s="306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138</v>
      </c>
      <c r="D93" s="226">
        <f>'数据-取费表'!B43</f>
        <v>6.000000000000001E-3</v>
      </c>
      <c r="E93" s="3054" t="s">
        <v>2273</v>
      </c>
      <c r="F93" s="3055"/>
      <c r="G93" s="3055"/>
      <c r="H93" s="306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065" t="s">
        <v>2294</v>
      </c>
      <c r="F94" s="3066"/>
      <c r="G94" s="3066"/>
      <c r="H94" s="3067"/>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22892</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165.8840579710145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13687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39" t="s">
        <v>2296</v>
      </c>
      <c r="B100" s="3040"/>
      <c r="C100" s="3040"/>
      <c r="D100" s="3056"/>
      <c r="E100" s="3040" t="s">
        <v>2297</v>
      </c>
      <c r="F100" s="3040"/>
      <c r="G100" s="3040"/>
      <c r="H100" s="3056"/>
      <c r="I100" s="138"/>
    </row>
    <row r="101" spans="1:35" ht="18.75" customHeight="1">
      <c r="A101" s="3118" t="s">
        <v>2298</v>
      </c>
      <c r="B101" s="3119"/>
      <c r="C101" s="736" t="str">
        <f>C4</f>
        <v>成本法</v>
      </c>
      <c r="D101" s="737" t="str">
        <f>D4</f>
        <v>假设开发法</v>
      </c>
      <c r="E101" s="3132" t="s">
        <v>2299</v>
      </c>
      <c r="F101" s="3086"/>
      <c r="G101" s="2522" t="s">
        <v>2300</v>
      </c>
      <c r="H101" s="1045">
        <f ca="1">H118</f>
        <v>24182</v>
      </c>
      <c r="I101" s="138"/>
    </row>
    <row r="102" spans="1:35" ht="18.75" customHeight="1">
      <c r="A102" s="3088" t="s">
        <v>2301</v>
      </c>
      <c r="B102" s="2522" t="s">
        <v>2300</v>
      </c>
      <c r="C102" s="736">
        <f ca="1">C19</f>
        <v>24045</v>
      </c>
      <c r="D102" s="737">
        <f ca="1">D19</f>
        <v>24319</v>
      </c>
      <c r="E102" s="3132"/>
      <c r="F102" s="3086"/>
      <c r="G102" s="2522" t="s">
        <v>2302</v>
      </c>
      <c r="H102" s="371">
        <f ca="1">I118</f>
        <v>7303</v>
      </c>
      <c r="I102" s="138"/>
    </row>
    <row r="103" spans="1:35" ht="42.75" customHeight="1">
      <c r="A103" s="3088"/>
      <c r="B103" s="2522" t="s">
        <v>2302</v>
      </c>
      <c r="C103" s="738">
        <f ca="1">C20</f>
        <v>7262</v>
      </c>
      <c r="D103" s="739">
        <f ca="1">D20</f>
        <v>7344</v>
      </c>
      <c r="E103" s="3127" t="s">
        <v>2303</v>
      </c>
      <c r="F103" s="3128"/>
      <c r="G103" s="2523" t="s">
        <v>2304</v>
      </c>
      <c r="H103" s="1045">
        <f>IF(D36="正常操作",H104+H105+H106,H105+H106)</f>
        <v>0</v>
      </c>
      <c r="I103" s="138"/>
    </row>
    <row r="104" spans="1:35" ht="18.75" customHeight="1">
      <c r="A104" s="3088" t="s">
        <v>2305</v>
      </c>
      <c r="B104" s="2524" t="s">
        <v>2300</v>
      </c>
      <c r="C104" s="740">
        <f ca="1">H118</f>
        <v>24182</v>
      </c>
      <c r="D104" s="741"/>
      <c r="E104" s="2268" t="s">
        <v>2306</v>
      </c>
      <c r="F104" s="2259"/>
      <c r="G104" s="2523" t="s">
        <v>2304</v>
      </c>
      <c r="H104" s="1046">
        <f>IF(D36="同一抵押权人同一抵押物续贷",C36&amp;"（未扣减，详见特别提示）",C36)</f>
        <v>0</v>
      </c>
      <c r="I104" s="138"/>
    </row>
    <row r="105" spans="1:35" ht="18.75" customHeight="1" thickBot="1">
      <c r="A105" s="3089"/>
      <c r="B105" s="2525" t="s">
        <v>2302</v>
      </c>
      <c r="C105" s="742">
        <f ca="1">I118</f>
        <v>7303</v>
      </c>
      <c r="D105" s="743"/>
      <c r="E105" s="2268" t="s">
        <v>2307</v>
      </c>
      <c r="F105" s="2259"/>
      <c r="G105" s="2523" t="s">
        <v>2304</v>
      </c>
      <c r="H105" s="1046">
        <f>C37</f>
        <v>0</v>
      </c>
      <c r="I105" s="138"/>
    </row>
    <row r="106" spans="1:35" ht="18.75" customHeight="1">
      <c r="A106" s="2420" t="s">
        <v>2308</v>
      </c>
      <c r="B106" s="2420"/>
      <c r="C106" s="2420"/>
      <c r="D106" s="2420"/>
      <c r="E106" s="2526" t="s">
        <v>2309</v>
      </c>
      <c r="F106" s="2259"/>
      <c r="G106" s="2523" t="s">
        <v>2304</v>
      </c>
      <c r="H106" s="1046">
        <f>C38</f>
        <v>0</v>
      </c>
      <c r="I106" s="138"/>
    </row>
    <row r="107" spans="1:35" ht="18.75" customHeight="1">
      <c r="A107" s="138"/>
      <c r="B107" s="138"/>
      <c r="C107" s="138"/>
      <c r="D107" s="138"/>
      <c r="E107" s="3085" t="str">
        <f>IF(项目基本情况!E8="已注销","——","3.房地产抵押价值")</f>
        <v>3.房地产抵押价值</v>
      </c>
      <c r="F107" s="3086"/>
      <c r="G107" s="2522" t="s">
        <v>2300</v>
      </c>
      <c r="H107" s="1045">
        <f ca="1">IF(E107="——","——",H101-H103)</f>
        <v>24182</v>
      </c>
      <c r="I107" s="138"/>
    </row>
    <row r="108" spans="1:35" ht="18.75" customHeight="1">
      <c r="A108" s="138"/>
      <c r="B108" s="138"/>
      <c r="C108" s="138"/>
      <c r="D108" s="138"/>
      <c r="E108" s="3085"/>
      <c r="F108" s="3086"/>
      <c r="G108" s="2522" t="s">
        <v>2302</v>
      </c>
      <c r="H108" s="371">
        <f ca="1">ROUND(H107*10000/'数据-汇总表'!E3,0)</f>
        <v>7303</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86"/>
      <c r="G109" s="2522" t="s">
        <v>2300</v>
      </c>
      <c r="H109" s="348" t="str">
        <f>IF(E109="——","——",H101-H105-H106)</f>
        <v>——</v>
      </c>
      <c r="I109" s="138"/>
    </row>
    <row r="110" spans="1:35" ht="18.75" customHeight="1">
      <c r="A110" s="138"/>
      <c r="B110" s="138"/>
      <c r="C110" s="138"/>
      <c r="D110" s="138"/>
      <c r="E110" s="3085"/>
      <c r="F110" s="3086"/>
      <c r="G110" s="2522" t="s">
        <v>2302</v>
      </c>
      <c r="H110" s="371" t="str">
        <f>IF(H109="——","——",ROUND(H109*10000/'数据-汇总表'!E3,0))</f>
        <v>——</v>
      </c>
      <c r="I110" s="138"/>
    </row>
    <row r="111" spans="1:35" ht="18.75" customHeight="1">
      <c r="A111" s="138"/>
      <c r="B111" s="138"/>
      <c r="C111" s="138"/>
      <c r="D111" s="138"/>
      <c r="E111" s="3120" t="str">
        <f>IF(项目基本情况!E9="抵押净值",IF(OR(项目基本情况!E8="已注销",项目基本情况!E8="房地产抵押价值"),"4.抵押净值","5.抵押净值"),"——")</f>
        <v>——</v>
      </c>
      <c r="F111" s="3121"/>
      <c r="G111" s="2522" t="s">
        <v>2300</v>
      </c>
      <c r="H111" s="1045" t="str">
        <f>IF(E111="——","——",N59)</f>
        <v>——</v>
      </c>
      <c r="I111" s="138"/>
    </row>
    <row r="112" spans="1:35" ht="18.75" customHeight="1" thickBot="1">
      <c r="A112" s="138"/>
      <c r="B112" s="138"/>
      <c r="C112" s="138"/>
      <c r="D112" s="138"/>
      <c r="E112" s="3122"/>
      <c r="F112" s="3123"/>
      <c r="G112" s="2527" t="s">
        <v>2302</v>
      </c>
      <c r="H112" s="790" t="str">
        <f>IF(E111="——","——",N61)</f>
        <v>——</v>
      </c>
      <c r="I112" s="138"/>
    </row>
    <row r="113" spans="1:11" ht="18.75" customHeight="1">
      <c r="A113" s="138"/>
      <c r="B113" s="138"/>
      <c r="C113" s="138"/>
      <c r="D113" s="138"/>
      <c r="E113" s="3090" t="s">
        <v>2308</v>
      </c>
      <c r="F113" s="3090"/>
      <c r="G113" s="3090"/>
      <c r="H113" s="3090"/>
      <c r="I113" s="138"/>
    </row>
    <row r="114" spans="1:11" ht="3.75" customHeight="1">
      <c r="A114" s="2420"/>
      <c r="B114" s="2420"/>
      <c r="C114" s="2420"/>
      <c r="D114" s="2420"/>
      <c r="E114" s="2498"/>
      <c r="F114" s="2498"/>
      <c r="G114" s="2498"/>
      <c r="H114" s="2498"/>
      <c r="I114" s="2420"/>
    </row>
    <row r="115" spans="1:11" ht="18.75" customHeight="1">
      <c r="A115" s="3103" t="s">
        <v>2310</v>
      </c>
      <c r="B115" s="3104"/>
      <c r="C115" s="3104"/>
      <c r="D115" s="3104"/>
      <c r="E115" s="3104"/>
      <c r="F115" s="3104"/>
      <c r="G115" s="3104"/>
      <c r="H115" s="3104"/>
      <c r="I115" s="3105"/>
    </row>
    <row r="116" spans="1:11" ht="27" customHeight="1">
      <c r="A116" s="2996" t="s">
        <v>2311</v>
      </c>
      <c r="B116" s="3091" t="s">
        <v>2312</v>
      </c>
      <c r="C116" s="3091" t="s">
        <v>2313</v>
      </c>
      <c r="D116" s="3107" t="s">
        <v>2314</v>
      </c>
      <c r="E116" s="3108"/>
      <c r="F116" s="3099" t="s">
        <v>2315</v>
      </c>
      <c r="G116" s="3099"/>
      <c r="H116" s="2996" t="s">
        <v>2316</v>
      </c>
      <c r="I116" s="2996"/>
    </row>
    <row r="117" spans="1:11" ht="18.75" customHeight="1">
      <c r="A117" s="2996"/>
      <c r="B117" s="3092"/>
      <c r="C117" s="3092"/>
      <c r="D117" s="1795" t="s">
        <v>2317</v>
      </c>
      <c r="E117" s="1795" t="s">
        <v>2318</v>
      </c>
      <c r="F117" s="1795" t="s">
        <v>2317</v>
      </c>
      <c r="G117" s="1795" t="s">
        <v>2319</v>
      </c>
      <c r="H117" s="1795" t="s">
        <v>2317</v>
      </c>
      <c r="I117" s="1795" t="s">
        <v>2319</v>
      </c>
    </row>
    <row r="118" spans="1:11" ht="24.75" customHeight="1">
      <c r="A118" s="2528" t="str">
        <f>项目基本情况!S2</f>
        <v>出让国有建设用地使用权及在建建筑物房地产</v>
      </c>
      <c r="B118" s="1795">
        <f>M18</f>
        <v>33112.840000000157</v>
      </c>
      <c r="C118" s="1795">
        <f>M19</f>
        <v>9460.81</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24182</v>
      </c>
      <c r="I118" s="1795">
        <f ca="1">ROUND(IF(D32="楼面单价",C32,H118*10000/B118),0)</f>
        <v>7303</v>
      </c>
    </row>
    <row r="119" spans="1:11" ht="18.75" customHeight="1">
      <c r="A119" s="2996" t="s">
        <v>2320</v>
      </c>
      <c r="B119" s="2996"/>
      <c r="C119" s="2996"/>
      <c r="D119" s="3096" t="e">
        <f ca="1">NUMBERSTRING(INT(D118*10000),2)&amp;"元整"</f>
        <v>#REF!</v>
      </c>
      <c r="E119" s="3098"/>
      <c r="F119" s="3096" t="e">
        <f ca="1">NUMBERSTRING(INT(F118*10000),2)&amp;"元整"</f>
        <v>#REF!</v>
      </c>
      <c r="G119" s="3098"/>
      <c r="H119" s="3096" t="str">
        <f ca="1">NUMBERSTRING(INT(H118*10000),2)&amp;"元整"</f>
        <v>贰亿肆仟壹佰捌拾贰万元整</v>
      </c>
      <c r="I119" s="3098"/>
    </row>
    <row r="120" spans="1:11" ht="18.75" customHeight="1">
      <c r="A120" s="3124" t="str">
        <f>IF(项目基本情况!B9="房地产市场价值","",MID(E103,3,LEN(E103)-2))</f>
        <v>估价师知悉的法定优先受偿款</v>
      </c>
      <c r="B120" s="3125"/>
      <c r="C120" s="3126"/>
      <c r="D120" s="3124">
        <f>H103</f>
        <v>0</v>
      </c>
      <c r="E120" s="3125"/>
      <c r="F120" s="3125"/>
      <c r="G120" s="3125"/>
      <c r="H120" s="3125"/>
      <c r="I120" s="3126"/>
      <c r="K120" s="2425" t="str">
        <f>IF(D120=0,"故，本次评估不存在"&amp;A120,"故，本次评估"&amp;A120&amp;"为人民币"&amp;D120&amp;"万元整。")</f>
        <v>故，本次评估不存在估价师知悉的法定优先受偿款</v>
      </c>
    </row>
    <row r="121" spans="1:11" ht="18.75" customHeight="1">
      <c r="A121" s="3100" t="s">
        <v>2320</v>
      </c>
      <c r="B121" s="3101"/>
      <c r="C121" s="3102"/>
      <c r="D121" s="3096" t="str">
        <f>IF(D120=0,"零元整",NUMBERSTRING(INT(D120*10000),2)&amp;"元整")</f>
        <v>零元整</v>
      </c>
      <c r="E121" s="3097"/>
      <c r="F121" s="3097"/>
      <c r="G121" s="3097"/>
      <c r="H121" s="3097"/>
      <c r="I121" s="3098"/>
    </row>
    <row r="122" spans="1:11" ht="18.75" customHeight="1">
      <c r="A122" s="3087" t="str">
        <f>IF(项目基本情况!B9="房地产市场价值","",MID(E107,3,LEN(E107)-2))</f>
        <v>房地产抵押价值</v>
      </c>
      <c r="B122" s="3087"/>
      <c r="C122" s="3087"/>
      <c r="D122" s="3124">
        <f ca="1">H107</f>
        <v>24182</v>
      </c>
      <c r="E122" s="3125"/>
      <c r="F122" s="3125"/>
      <c r="G122" s="3125"/>
      <c r="H122" s="3125"/>
      <c r="I122" s="3126"/>
    </row>
    <row r="123" spans="1:11" ht="18.75" customHeight="1">
      <c r="A123" s="2996" t="s">
        <v>2320</v>
      </c>
      <c r="B123" s="2996"/>
      <c r="C123" s="2996"/>
      <c r="D123" s="3096" t="str">
        <f ca="1">NUMBERSTRING(INT(D122*10000),2)&amp;"元整"</f>
        <v>贰亿肆仟壹佰捌拾贰万元整</v>
      </c>
      <c r="E123" s="3097"/>
      <c r="F123" s="3097"/>
      <c r="G123" s="3097"/>
      <c r="H123" s="3097"/>
      <c r="I123" s="3098"/>
    </row>
    <row r="124" spans="1:11" ht="18.75" customHeight="1">
      <c r="A124" s="3087" t="str">
        <f>IF(项目基本情况!B9="房地产市场价值","",MID(E109,3,LEN(E109)-2))</f>
        <v/>
      </c>
      <c r="B124" s="3087"/>
      <c r="C124" s="3087"/>
      <c r="D124" s="3124" t="str">
        <f>H109</f>
        <v>——</v>
      </c>
      <c r="E124" s="3125"/>
      <c r="F124" s="3125"/>
      <c r="G124" s="3125"/>
      <c r="H124" s="3125"/>
      <c r="I124" s="3126"/>
    </row>
    <row r="125" spans="1:11" ht="18.75" customHeight="1">
      <c r="A125" s="2996" t="s">
        <v>2320</v>
      </c>
      <c r="B125" s="2996"/>
      <c r="C125" s="2996"/>
      <c r="D125" s="3096" t="e">
        <f>NUMBERSTRING(INT(D124*10000),2)&amp;"元整"</f>
        <v>#VALUE!</v>
      </c>
      <c r="E125" s="3097"/>
      <c r="F125" s="3097"/>
      <c r="G125" s="3097"/>
      <c r="H125" s="3097"/>
      <c r="I125" s="3098"/>
    </row>
    <row r="126" spans="1:11" ht="18.75" customHeight="1">
      <c r="A126" s="3087" t="str">
        <f>IF(项目基本情况!B9="房地产市场价值","",MID(E111,3,LEN(E111)-2))</f>
        <v/>
      </c>
      <c r="B126" s="3087"/>
      <c r="C126" s="3087"/>
      <c r="D126" s="3124" t="str">
        <f>H111</f>
        <v>——</v>
      </c>
      <c r="E126" s="3125"/>
      <c r="F126" s="3125"/>
      <c r="G126" s="3125"/>
      <c r="H126" s="3125"/>
      <c r="I126" s="3126"/>
    </row>
    <row r="127" spans="1:11" ht="18.75" customHeight="1">
      <c r="A127" s="2996" t="s">
        <v>2320</v>
      </c>
      <c r="B127" s="2996"/>
      <c r="C127" s="2996"/>
      <c r="D127" s="3096" t="e">
        <f>NUMBERSTRING(INT(D126*10000),2)&amp;"元整"</f>
        <v>#VALUE!</v>
      </c>
      <c r="E127" s="3097"/>
      <c r="F127" s="3097"/>
      <c r="G127" s="3097"/>
      <c r="H127" s="3097"/>
      <c r="I127" s="3098"/>
    </row>
    <row r="128" spans="1:11" ht="21.75" customHeight="1">
      <c r="A128" s="3106" t="s">
        <v>2321</v>
      </c>
      <c r="B128" s="3106"/>
      <c r="C128" s="3106"/>
      <c r="D128" s="3106"/>
      <c r="E128" s="3106"/>
      <c r="F128" s="3106"/>
      <c r="G128" s="3106"/>
      <c r="H128" s="3106"/>
      <c r="I128" s="3106"/>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2" t="str">
        <f>项目基本情况!B1</f>
        <v>出让国有建设用地使用权及在建建筑物房地产抵押价值预评估</v>
      </c>
      <c r="C37" s="2952"/>
      <c r="D37" s="2952"/>
      <c r="E37" s="2952"/>
      <c r="F37" s="2952"/>
      <c r="G37" s="2952"/>
      <c r="H37" s="2952"/>
      <c r="I37" s="2952"/>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7"/>
      <c r="C1" s="242"/>
      <c r="D1" s="242"/>
      <c r="E1" s="242"/>
      <c r="F1" s="242"/>
      <c r="G1" s="1379">
        <f>MATCH(B1,'数据-取费表'!A6:A16,0)+5</f>
        <v>7</v>
      </c>
    </row>
    <row r="2" spans="1:9" s="244" customFormat="1" ht="18" customHeight="1">
      <c r="A2" s="245" t="s">
        <v>2330</v>
      </c>
      <c r="B2" s="246">
        <f ca="1">IF(D2="——",C52,C52-E2)</f>
        <v>24045</v>
      </c>
      <c r="C2" s="243" t="s">
        <v>2331</v>
      </c>
      <c r="D2" s="2551" t="s">
        <v>70</v>
      </c>
      <c r="E2" s="1440"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7262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9010</v>
      </c>
      <c r="D5" s="255" t="s">
        <v>2337</v>
      </c>
      <c r="E5" s="256" t="s">
        <v>2338</v>
      </c>
      <c r="F5" s="256" t="s">
        <v>2339</v>
      </c>
      <c r="G5" s="257"/>
    </row>
    <row r="6" spans="1:9" s="258" customFormat="1" ht="13.5" customHeight="1">
      <c r="A6" s="949" t="s">
        <v>2340</v>
      </c>
      <c r="B6" s="259" t="s">
        <v>2341</v>
      </c>
      <c r="C6" s="260">
        <f>'土地比较法-住宅、综合'!B2</f>
        <v>8659</v>
      </c>
      <c r="D6" s="261"/>
      <c r="E6" s="262"/>
      <c r="F6" s="262"/>
      <c r="G6" s="263"/>
    </row>
    <row r="7" spans="1:9" s="258" customFormat="1" ht="13.5" customHeight="1">
      <c r="A7" s="949" t="s">
        <v>2342</v>
      </c>
      <c r="B7" s="259" t="s">
        <v>2343</v>
      </c>
      <c r="C7" s="264">
        <f>ROUND(C6*F7,0)</f>
        <v>351</v>
      </c>
      <c r="D7" s="264"/>
      <c r="E7" s="262"/>
      <c r="F7" s="265">
        <f>'数据-取费表'!B48+'数据-取费表'!B49</f>
        <v>4.0500000000000001E-2</v>
      </c>
      <c r="G7" s="263"/>
    </row>
    <row r="8" spans="1:9" s="267" customFormat="1">
      <c r="A8" s="949" t="s">
        <v>2344</v>
      </c>
      <c r="B8" s="259" t="s">
        <v>2345</v>
      </c>
      <c r="C8" s="264" t="str">
        <f>IF(G8="已包含在土地购买价格中","0",IF(B1="",'数据-取费表'!B29,IF(G9="全部缴纳",C9+C10,H9)))</f>
        <v>0</v>
      </c>
      <c r="D8" s="266"/>
      <c r="E8" s="264"/>
      <c r="F8" s="265"/>
      <c r="G8" s="2554" t="s">
        <v>1145</v>
      </c>
    </row>
    <row r="9" spans="1:9" s="258" customFormat="1" ht="13.5" customHeight="1">
      <c r="A9" s="950" t="s">
        <v>800</v>
      </c>
      <c r="B9" s="268" t="s">
        <v>2346</v>
      </c>
      <c r="C9" s="269">
        <f ca="1">ROUND(D9*E9/10000,0)</f>
        <v>0</v>
      </c>
      <c r="D9" s="1032">
        <f ca="1">IF(B1="",'数据-汇总表'!E5,IF(INDIRECT("'数据-取费表'!c"&amp;$G$1)="住宅",INDIRECT("'数据-取费表'!k"&amp;$G$1),0))</f>
        <v>0</v>
      </c>
      <c r="E9" s="269">
        <f>'数据-取费表'!B27</f>
        <v>100</v>
      </c>
      <c r="F9" s="265"/>
      <c r="G9" s="2555" t="s">
        <v>3792</v>
      </c>
      <c r="H9" s="1390"/>
      <c r="I9" s="2556" t="s">
        <v>2347</v>
      </c>
    </row>
    <row r="10" spans="1:9" s="258" customFormat="1" ht="13.5" customHeight="1">
      <c r="A10" s="950" t="s">
        <v>801</v>
      </c>
      <c r="B10" s="268" t="s">
        <v>2348</v>
      </c>
      <c r="C10" s="269">
        <f ca="1">ROUND(D10*E10/10000,0)</f>
        <v>331</v>
      </c>
      <c r="D10" s="1032">
        <f ca="1">IF(B1="",'数据-汇总表'!E6,IF(INDIRECT("'数据-取费表'!c"&amp;$G$1)="住宅",INDIRECT("'数据-取费表'!s"&amp;$G$1),INDIRECT("'数据-取费表'!k"&amp;$G$1)+INDIRECT("'数据-取费表'!s"&amp;$G$1)))</f>
        <v>33112.840000000157</v>
      </c>
      <c r="E10" s="269">
        <f>'数据-取费表'!B28</f>
        <v>100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33112.840000000157</v>
      </c>
      <c r="E19" s="255">
        <f>'数据-取费表'!B31</f>
        <v>200</v>
      </c>
      <c r="F19" s="275"/>
      <c r="G19" s="2554" t="s">
        <v>3641</v>
      </c>
    </row>
    <row r="20" spans="1:7" s="258" customFormat="1" ht="13.5" customHeight="1">
      <c r="A20" s="299" t="s">
        <v>2361</v>
      </c>
      <c r="B20" s="254" t="s">
        <v>2362</v>
      </c>
      <c r="C20" s="276">
        <f>ROUND((C5+C19)*F20,0)</f>
        <v>180</v>
      </c>
      <c r="D20" s="276"/>
      <c r="E20" s="276"/>
      <c r="F20" s="277">
        <f>'数据-取费表'!B37</f>
        <v>0.02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4">
        <f ca="1">ROUND(SUM(C23:C25),0)</f>
        <v>1072</v>
      </c>
      <c r="D22" s="279">
        <f ca="1">C26</f>
        <v>1.6999999999999999E-3</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1062</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10</v>
      </c>
      <c r="D25" s="282"/>
      <c r="E25" s="285"/>
      <c r="F25" s="283"/>
      <c r="G25" s="286" t="s">
        <v>2378</v>
      </c>
    </row>
    <row r="26" spans="1:7" s="258" customFormat="1">
      <c r="A26" s="951" t="s">
        <v>795</v>
      </c>
      <c r="B26" s="259" t="s">
        <v>2379</v>
      </c>
      <c r="C26" s="282">
        <f ca="1">ROUND(IF('数据-取费表'!B22&lt;=1,F21*F22*'数据-取费表'!B23/2,F21*(POWER((1+F22),'数据-取费表'!B23/2)-1)),4)</f>
        <v>1.6999999999999999E-3</v>
      </c>
      <c r="D26" s="282"/>
      <c r="E26" s="285"/>
      <c r="F26" s="283"/>
      <c r="G26" s="287"/>
    </row>
    <row r="27" spans="1:7" s="258" customFormat="1" ht="24.75">
      <c r="A27" s="299" t="s">
        <v>2380</v>
      </c>
      <c r="B27" s="288" t="s">
        <v>2381</v>
      </c>
      <c r="C27" s="289">
        <f ca="1">C28</f>
        <v>1379</v>
      </c>
      <c r="D27" s="279">
        <f ca="1">C29</f>
        <v>4.4999999999999997E-3</v>
      </c>
      <c r="E27" s="280" t="s">
        <v>2382</v>
      </c>
      <c r="F27" s="290">
        <f ca="1">IF(B1="",'数据-取费表'!Q16,INDIRECT("'数据-取费表'!q"&amp;$G$1))</f>
        <v>0.25</v>
      </c>
      <c r="G27" s="291" t="s">
        <v>2383</v>
      </c>
    </row>
    <row r="28" spans="1:7" s="258" customFormat="1" ht="13.5" customHeight="1">
      <c r="A28" s="951" t="s">
        <v>791</v>
      </c>
      <c r="B28" s="292" t="s">
        <v>2384</v>
      </c>
      <c r="C28" s="293">
        <f ca="1">ROUND((C5+C19+C20)*F27*'数据-取费表'!B21/'数据-取费表'!B20,0)</f>
        <v>1379</v>
      </c>
      <c r="D28" s="279"/>
      <c r="E28" s="280"/>
      <c r="F28" s="290"/>
      <c r="G28" s="291"/>
    </row>
    <row r="29" spans="1:7" s="258" customFormat="1" ht="13.5" customHeight="1">
      <c r="A29" s="951" t="s">
        <v>792</v>
      </c>
      <c r="B29" s="292" t="s">
        <v>2385</v>
      </c>
      <c r="C29" s="282">
        <f ca="1">ROUND(C21*F27*'数据-取费表'!B21/'数据-取费表'!B20,4)</f>
        <v>4.4999999999999997E-3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12785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7663</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6953</v>
      </c>
      <c r="D34" s="261"/>
      <c r="E34" s="264"/>
      <c r="F34" s="301">
        <f ca="1">IF('数据-取费表'!B24=0,1,IF(B1="",'数据-取费表'!N16,INDIRECT("'数据-取费表'!n"&amp;$G$1)))</f>
        <v>0.6</v>
      </c>
      <c r="G34" s="263" t="s">
        <v>2394</v>
      </c>
    </row>
    <row r="35" spans="1:7" ht="13.5" customHeight="1">
      <c r="A35" s="951" t="s">
        <v>796</v>
      </c>
      <c r="B35" s="259" t="s">
        <v>2395</v>
      </c>
      <c r="C35" s="264">
        <f ca="1">ROUND(C34*F35,0)</f>
        <v>209</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1" t="s">
        <v>798</v>
      </c>
      <c r="B37" s="259" t="s">
        <v>2399</v>
      </c>
      <c r="C37" s="293">
        <f ca="1">ROUND(E37*D37*F34/10000,0)</f>
        <v>397</v>
      </c>
      <c r="D37" s="261">
        <f ca="1">D19</f>
        <v>33112.840000000157</v>
      </c>
      <c r="E37" s="293">
        <f>'数据-取费表'!B35</f>
        <v>200</v>
      </c>
      <c r="F37" s="303"/>
      <c r="G37" s="305" t="s">
        <v>2400</v>
      </c>
    </row>
    <row r="38" spans="1:7" ht="13.5" customHeight="1">
      <c r="A38" s="951" t="s">
        <v>799</v>
      </c>
      <c r="B38" s="259" t="s">
        <v>2401</v>
      </c>
      <c r="C38" s="264">
        <f ca="1">ROUND(C34*F38,0)</f>
        <v>104</v>
      </c>
      <c r="D38" s="264"/>
      <c r="E38" s="264"/>
      <c r="F38" s="303">
        <f>'数据-取费表'!B36</f>
        <v>1.4999999999999999E-2</v>
      </c>
      <c r="G38" s="263" t="s">
        <v>2396</v>
      </c>
    </row>
    <row r="39" spans="1:7" s="258" customFormat="1" ht="13.5" customHeight="1">
      <c r="A39" s="299" t="s">
        <v>2402</v>
      </c>
      <c r="B39" s="254" t="s">
        <v>2403</v>
      </c>
      <c r="C39" s="276">
        <f ca="1">ROUND(C33*F20,0)</f>
        <v>153</v>
      </c>
      <c r="D39" s="276"/>
      <c r="E39" s="276"/>
      <c r="F39" s="277"/>
      <c r="G39" s="278" t="s">
        <v>2404</v>
      </c>
    </row>
    <row r="40" spans="1:7" s="258" customFormat="1" ht="13.5" customHeight="1">
      <c r="A40" s="299" t="s">
        <v>2405</v>
      </c>
      <c r="B40" s="254" t="s">
        <v>2406</v>
      </c>
      <c r="C40" s="1728">
        <f>F21</f>
        <v>0.03</v>
      </c>
      <c r="D40" s="280" t="s">
        <v>2407</v>
      </c>
      <c r="E40" s="276"/>
      <c r="F40" s="277"/>
      <c r="G40" s="278" t="s">
        <v>2408</v>
      </c>
    </row>
    <row r="41" spans="1:7" s="258" customFormat="1" ht="13.5" customHeight="1">
      <c r="A41" s="299" t="s">
        <v>2409</v>
      </c>
      <c r="B41" s="254" t="s">
        <v>2410</v>
      </c>
      <c r="C41" s="276">
        <f ca="1">ROUND(SUM(C42:C43),0)</f>
        <v>448</v>
      </c>
      <c r="D41" s="279">
        <f ca="1">C44</f>
        <v>1.6999999999999999E-3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439</v>
      </c>
      <c r="D42" s="282"/>
      <c r="E42" s="282"/>
      <c r="F42" s="283"/>
      <c r="G42" s="3138" t="s">
        <v>2412</v>
      </c>
    </row>
    <row r="43" spans="1:7" ht="13.5" customHeight="1">
      <c r="A43" s="951" t="s">
        <v>792</v>
      </c>
      <c r="B43" s="259" t="s">
        <v>2413</v>
      </c>
      <c r="C43" s="282">
        <f ca="1">ROUND(IF('数据-取费表'!B22&lt;=1,C39*F22*'数据-取费表'!B21/2,C39*(POWER((1+F22),'数据-取费表'!B21/2)-1)),0)</f>
        <v>9</v>
      </c>
      <c r="D43" s="282"/>
      <c r="E43" s="282"/>
      <c r="F43" s="283"/>
      <c r="G43" s="3139"/>
    </row>
    <row r="44" spans="1:7" ht="13.5" customHeight="1">
      <c r="A44" s="951" t="s">
        <v>793</v>
      </c>
      <c r="B44" s="259" t="s">
        <v>2414</v>
      </c>
      <c r="C44" s="282">
        <f ca="1">ROUND(IF('数据-取费表'!B22&lt;=1,C40*F22*'数据-取费表'!B21/2,C40*(POWER((1+F22),'数据-取费表'!B21/2)-1)),4)</f>
        <v>1.6999999999999999E-3</v>
      </c>
      <c r="D44" s="282"/>
      <c r="E44" s="282"/>
      <c r="F44" s="283"/>
      <c r="G44" s="3140"/>
    </row>
    <row r="45" spans="1:7" s="258" customFormat="1" ht="13.5" customHeight="1">
      <c r="A45" s="299" t="s">
        <v>2415</v>
      </c>
      <c r="B45" s="288" t="s">
        <v>2381</v>
      </c>
      <c r="C45" s="289">
        <f ca="1">C46</f>
        <v>1954</v>
      </c>
      <c r="D45" s="279">
        <f ca="1">C47</f>
        <v>7.4999999999999997E-3</v>
      </c>
      <c r="E45" s="280" t="s">
        <v>2407</v>
      </c>
      <c r="F45" s="290"/>
      <c r="G45" s="291" t="s">
        <v>2416</v>
      </c>
    </row>
    <row r="46" spans="1:7" s="258" customFormat="1" ht="13.5" customHeight="1">
      <c r="A46" s="951" t="s">
        <v>791</v>
      </c>
      <c r="B46" s="292" t="s">
        <v>2417</v>
      </c>
      <c r="C46" s="293">
        <f ca="1">ROUND((C33+C39)*F27,0)</f>
        <v>1954</v>
      </c>
      <c r="D46" s="307"/>
      <c r="E46" s="280"/>
      <c r="F46" s="290"/>
      <c r="G46" s="291"/>
    </row>
    <row r="47" spans="1:7" s="258" customFormat="1" ht="13.5" customHeight="1">
      <c r="A47" s="951" t="s">
        <v>792</v>
      </c>
      <c r="B47" s="292" t="s">
        <v>2418</v>
      </c>
      <c r="C47" s="282">
        <f ca="1">ROUND(C40*F27,4)</f>
        <v>7.4999999999999997E-3</v>
      </c>
      <c r="D47" s="307"/>
      <c r="E47" s="280"/>
      <c r="F47" s="290"/>
      <c r="G47" s="291"/>
    </row>
    <row r="48" spans="1:7" s="258" customFormat="1" ht="13.5" customHeight="1">
      <c r="A48" s="299" t="s">
        <v>2380</v>
      </c>
      <c r="B48" s="254" t="s">
        <v>2419</v>
      </c>
      <c r="C48" s="1728">
        <f>ROUND(F30/(1+'数据-取费表'!C42),4)</f>
        <v>5.33E-2</v>
      </c>
      <c r="D48" s="280" t="s">
        <v>2407</v>
      </c>
      <c r="E48" s="276"/>
      <c r="F48" s="281"/>
      <c r="G48" s="278" t="s">
        <v>2420</v>
      </c>
    </row>
    <row r="49" spans="1:7" ht="16.5" customHeight="1">
      <c r="A49" s="299" t="s">
        <v>2386</v>
      </c>
      <c r="B49" s="254" t="s">
        <v>2421</v>
      </c>
      <c r="C49" s="276">
        <f ca="1">ROUND((C33+C39+C41+C45)/(1-C40-D41-D45-C48),0)</f>
        <v>11260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11260</v>
      </c>
      <c r="D51" s="276"/>
      <c r="E51" s="276"/>
      <c r="F51" s="308"/>
      <c r="G51" s="278" t="s">
        <v>2428</v>
      </c>
    </row>
    <row r="52" spans="1:7" s="252" customFormat="1" ht="16.5" thickBot="1">
      <c r="A52" s="309" t="s">
        <v>2429</v>
      </c>
      <c r="B52" s="310"/>
      <c r="C52" s="311">
        <f ca="1">C31+C51</f>
        <v>24045</v>
      </c>
      <c r="D52" s="310"/>
      <c r="E52" s="310"/>
      <c r="F52" s="310"/>
      <c r="G52" s="312"/>
    </row>
    <row r="55" spans="1:7" ht="15">
      <c r="B55" s="314" t="s">
        <v>2430</v>
      </c>
      <c r="C55" s="315"/>
    </row>
    <row r="56" spans="1:7">
      <c r="B56" s="317" t="s">
        <v>1509</v>
      </c>
      <c r="C56" s="319">
        <f ca="1">1-C57</f>
        <v>0.53200000000000003</v>
      </c>
    </row>
    <row r="57" spans="1:7">
      <c r="B57" s="317" t="s">
        <v>1510</v>
      </c>
      <c r="C57" s="318">
        <f ca="1">ROUND(C51/C52,3)</f>
        <v>0.46800000000000003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7"/>
      <c r="C1" s="2557" t="s">
        <v>2431</v>
      </c>
      <c r="D1" s="242"/>
      <c r="E1" s="242"/>
      <c r="F1" s="242"/>
      <c r="G1" s="1379">
        <f>MATCH(B1,'数据-取费表'!A6:A16,0)+5</f>
        <v>7</v>
      </c>
      <c r="H1" s="1282" t="str">
        <f>IF(ISERROR(FIND("住宅",B1)),"非住宅","住宅")</f>
        <v>非住宅</v>
      </c>
    </row>
    <row r="2" spans="1:8" s="244" customFormat="1" ht="18" customHeight="1">
      <c r="A2" s="245" t="s">
        <v>2330</v>
      </c>
      <c r="B2" s="246">
        <f ca="1">ROUND(IF(D2="——",C52/10000,C52/10000-E2),0)</f>
        <v>20991</v>
      </c>
      <c r="C2" s="243" t="s">
        <v>2331</v>
      </c>
      <c r="D2" s="2551" t="s">
        <v>70</v>
      </c>
      <c r="E2" s="1440"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6339</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3311284</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4.0500000000000001E-2</v>
      </c>
      <c r="G7" s="263"/>
    </row>
    <row r="8" spans="1:8" s="267" customFormat="1">
      <c r="A8" s="949" t="s">
        <v>2344</v>
      </c>
      <c r="B8" s="259" t="s">
        <v>2345</v>
      </c>
      <c r="C8" s="264">
        <f ca="1">IF(G8="已包含在土地购买价格中",0,C9+C10)</f>
        <v>3311284</v>
      </c>
      <c r="D8" s="266"/>
      <c r="E8" s="264"/>
      <c r="F8" s="265"/>
      <c r="G8" s="2554"/>
    </row>
    <row r="9" spans="1:8" s="258" customFormat="1" ht="13.5" customHeight="1">
      <c r="A9" s="950" t="s">
        <v>800</v>
      </c>
      <c r="B9" s="268" t="s">
        <v>2346</v>
      </c>
      <c r="C9" s="269">
        <f ca="1">ROUND(D9*E9,0)</f>
        <v>0</v>
      </c>
      <c r="D9" s="1032">
        <f ca="1">IF(B1="",'数据-汇总表'!E5,IF(INDIRECT("'数据-取费表'!c"&amp;$G$1)="住宅",INDIRECT("'数据-取费表'!k"&amp;$G$1),0))</f>
        <v>0</v>
      </c>
      <c r="E9" s="269">
        <f>'数据-取费表'!B27</f>
        <v>100</v>
      </c>
      <c r="F9" s="265"/>
      <c r="G9" s="270"/>
    </row>
    <row r="10" spans="1:8" s="258" customFormat="1" ht="13.5" customHeight="1">
      <c r="A10" s="950" t="s">
        <v>801</v>
      </c>
      <c r="B10" s="268" t="s">
        <v>2348</v>
      </c>
      <c r="C10" s="269">
        <f ca="1">ROUND(D10*E10,0)</f>
        <v>3311284</v>
      </c>
      <c r="D10" s="1032">
        <f ca="1">IF(B1="",'数据-汇总表'!E6,IF(INDIRECT("'数据-取费表'!c"&amp;$G$1)="住宅",INDIRECT("'数据-取费表'!s"&amp;$G$1),INDIRECT("'数据-取费表'!k"&amp;$G$1)+INDIRECT("'数据-取费表'!s"&amp;$G$1)))</f>
        <v>33112.840000000157</v>
      </c>
      <c r="E10" s="269">
        <f>'数据-取费表'!B28</f>
        <v>100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6622568</v>
      </c>
      <c r="D19" s="1036">
        <f ca="1">D9+D10</f>
        <v>33112.840000000157</v>
      </c>
      <c r="E19" s="255">
        <f>'数据-取费表'!B31</f>
        <v>200</v>
      </c>
      <c r="F19" s="275"/>
      <c r="G19" s="2554"/>
    </row>
    <row r="20" spans="1:7" s="258" customFormat="1" ht="13.5" customHeight="1">
      <c r="A20" s="299" t="s">
        <v>2442</v>
      </c>
      <c r="B20" s="254" t="s">
        <v>2443</v>
      </c>
      <c r="C20" s="276">
        <f ca="1">ROUND((C5+C19)*F20,0)</f>
        <v>198677</v>
      </c>
      <c r="D20" s="276"/>
      <c r="E20" s="276"/>
      <c r="F20" s="277">
        <f>'数据-取费表'!B37</f>
        <v>0.02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0">
        <f ca="1">ROUND(SUM(C23:C25),0)</f>
        <v>2045544</v>
      </c>
      <c r="D22" s="279">
        <f ca="1">C26</f>
        <v>2.8999999999999998E-3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675407</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1350814</v>
      </c>
      <c r="D24" s="282"/>
      <c r="E24" s="282"/>
      <c r="F24" s="283"/>
      <c r="G24" s="284" t="s">
        <v>2454</v>
      </c>
    </row>
    <row r="25" spans="1:7" s="258" customFormat="1" ht="24">
      <c r="A25" s="951" t="s">
        <v>2344</v>
      </c>
      <c r="B25" s="259" t="s">
        <v>2455</v>
      </c>
      <c r="C25" s="1381">
        <f ca="1">ROUND(IF('数据-取费表'!B22&lt;=1,C20*F22*'数据-取费表'!B22/2,C20*(POWER((1+F22),'数据-取费表'!B22/2)-1)),0)</f>
        <v>19323</v>
      </c>
      <c r="D25" s="282"/>
      <c r="E25" s="285"/>
      <c r="F25" s="283"/>
      <c r="G25" s="286" t="s">
        <v>2456</v>
      </c>
    </row>
    <row r="26" spans="1:7" s="258" customFormat="1">
      <c r="A26" s="951" t="s">
        <v>795</v>
      </c>
      <c r="B26" s="259" t="s">
        <v>2379</v>
      </c>
      <c r="C26" s="282">
        <f ca="1">ROUND(IF('数据-取费表'!B22&lt;=1,F21*F22*'数据-取费表'!B22/2,F21*(POWER((1+F22),'数据-取费表'!B22/2)-1)),4)</f>
        <v>2.8999999999999998E-3</v>
      </c>
      <c r="D26" s="282"/>
      <c r="E26" s="285"/>
      <c r="F26" s="283"/>
      <c r="G26" s="287"/>
    </row>
    <row r="27" spans="1:7" s="258" customFormat="1" ht="24.75">
      <c r="A27" s="299" t="s">
        <v>2380</v>
      </c>
      <c r="B27" s="288" t="s">
        <v>2381</v>
      </c>
      <c r="C27" s="289">
        <f ca="1">C28</f>
        <v>2533132</v>
      </c>
      <c r="D27" s="279">
        <f ca="1">C29</f>
        <v>7.4999999999999997E-3</v>
      </c>
      <c r="E27" s="280" t="s">
        <v>2382</v>
      </c>
      <c r="F27" s="290">
        <f ca="1">IF(B1="",'数据-取费表'!Q16,INDIRECT("'数据-取费表'!q"&amp;$G$1))</f>
        <v>0.25</v>
      </c>
      <c r="G27" s="291" t="s">
        <v>2383</v>
      </c>
    </row>
    <row r="28" spans="1:7" s="258" customFormat="1" ht="13.5" customHeight="1">
      <c r="A28" s="951" t="s">
        <v>791</v>
      </c>
      <c r="B28" s="292" t="s">
        <v>2384</v>
      </c>
      <c r="C28" s="293">
        <f ca="1">ROUND((C5+C19+C20)*F27,0)</f>
        <v>2533132</v>
      </c>
      <c r="D28" s="279"/>
      <c r="E28" s="280"/>
      <c r="F28" s="290"/>
      <c r="G28" s="291"/>
    </row>
    <row r="29" spans="1:7" s="258" customFormat="1" ht="13.5" customHeight="1">
      <c r="A29" s="951" t="s">
        <v>792</v>
      </c>
      <c r="B29" s="292" t="s">
        <v>2385</v>
      </c>
      <c r="C29" s="282">
        <f ca="1">ROUND(C21*F27,4)</f>
        <v>7.4999999999999997E-3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16232158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127732780</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115894940</v>
      </c>
      <c r="D34" s="261"/>
      <c r="E34" s="264"/>
      <c r="F34" s="301"/>
      <c r="G34" s="263"/>
    </row>
    <row r="35" spans="1:7" ht="13.5" customHeight="1">
      <c r="A35" s="951" t="s">
        <v>796</v>
      </c>
      <c r="B35" s="259" t="s">
        <v>2395</v>
      </c>
      <c r="C35" s="264">
        <f ca="1">ROUND(C34*F35,0)</f>
        <v>3476848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1" t="s">
        <v>798</v>
      </c>
      <c r="B37" s="259" t="s">
        <v>2399</v>
      </c>
      <c r="C37" s="293">
        <f ca="1">ROUND(E37*D37,0)</f>
        <v>6622568</v>
      </c>
      <c r="D37" s="261">
        <f ca="1">D19</f>
        <v>33112.840000000157</v>
      </c>
      <c r="E37" s="293">
        <f>'数据-取费表'!B35</f>
        <v>200</v>
      </c>
      <c r="F37" s="303"/>
      <c r="G37" s="305"/>
    </row>
    <row r="38" spans="1:7" ht="13.5" customHeight="1">
      <c r="A38" s="951" t="s">
        <v>799</v>
      </c>
      <c r="B38" s="259" t="s">
        <v>2401</v>
      </c>
      <c r="C38" s="264">
        <f ca="1">ROUND(C34*F38,0)</f>
        <v>1738424</v>
      </c>
      <c r="D38" s="264"/>
      <c r="E38" s="264"/>
      <c r="F38" s="303">
        <f>'数据-取费表'!B36</f>
        <v>1.4999999999999999E-2</v>
      </c>
      <c r="G38" s="263" t="s">
        <v>2396</v>
      </c>
    </row>
    <row r="39" spans="1:7" s="258" customFormat="1" ht="13.5" customHeight="1">
      <c r="A39" s="299" t="s">
        <v>2402</v>
      </c>
      <c r="B39" s="254" t="s">
        <v>2403</v>
      </c>
      <c r="C39" s="276">
        <f ca="1">ROUND(C33*F20,0)</f>
        <v>2554656</v>
      </c>
      <c r="D39" s="276"/>
      <c r="E39" s="276"/>
      <c r="F39" s="277"/>
      <c r="G39" s="278" t="s">
        <v>2404</v>
      </c>
    </row>
    <row r="40" spans="1:7" s="258" customFormat="1" ht="13.5" customHeight="1">
      <c r="A40" s="299" t="s">
        <v>2405</v>
      </c>
      <c r="B40" s="254" t="s">
        <v>2406</v>
      </c>
      <c r="C40" s="1728">
        <f>F21</f>
        <v>0.03</v>
      </c>
      <c r="D40" s="280" t="s">
        <v>2407</v>
      </c>
      <c r="E40" s="276"/>
      <c r="F40" s="277"/>
      <c r="G40" s="278" t="s">
        <v>2408</v>
      </c>
    </row>
    <row r="41" spans="1:7" s="258" customFormat="1" ht="13.5" customHeight="1">
      <c r="A41" s="299" t="s">
        <v>2409</v>
      </c>
      <c r="B41" s="254" t="s">
        <v>2410</v>
      </c>
      <c r="C41" s="276">
        <f ca="1">ROUND(SUM(C42:C43),0)</f>
        <v>12671267</v>
      </c>
      <c r="D41" s="279">
        <f ca="1">C44</f>
        <v>2.8999999999999998E-3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12422811</v>
      </c>
      <c r="D42" s="282"/>
      <c r="E42" s="282"/>
      <c r="F42" s="283"/>
      <c r="G42" s="3138" t="s">
        <v>2459</v>
      </c>
    </row>
    <row r="43" spans="1:7" ht="13.5" customHeight="1">
      <c r="A43" s="951" t="s">
        <v>792</v>
      </c>
      <c r="B43" s="259" t="s">
        <v>2413</v>
      </c>
      <c r="C43" s="282">
        <f ca="1">ROUND(IF('数据-取费表'!B22&lt;=1,C39*F22*'数据-取费表'!B20/2,C39*(POWER((1+F22),'数据-取费表'!B20/2)-1)),0)</f>
        <v>248456</v>
      </c>
      <c r="D43" s="282"/>
      <c r="E43" s="282"/>
      <c r="F43" s="283"/>
      <c r="G43" s="3139"/>
    </row>
    <row r="44" spans="1:7" ht="13.5" customHeight="1">
      <c r="A44" s="951" t="s">
        <v>793</v>
      </c>
      <c r="B44" s="259" t="s">
        <v>2414</v>
      </c>
      <c r="C44" s="282">
        <f ca="1">ROUND(IF('数据-取费表'!B22&lt;=1,C40*F22*'数据-取费表'!B20/2,C40*(POWER((1+F22),'数据-取费表'!B20/2)-1)),4)</f>
        <v>2.8999999999999998E-3</v>
      </c>
      <c r="D44" s="282"/>
      <c r="E44" s="282"/>
      <c r="F44" s="283"/>
      <c r="G44" s="3140"/>
    </row>
    <row r="45" spans="1:7" s="258" customFormat="1" ht="13.5" customHeight="1">
      <c r="A45" s="299" t="s">
        <v>2415</v>
      </c>
      <c r="B45" s="288" t="s">
        <v>2381</v>
      </c>
      <c r="C45" s="289">
        <f ca="1">C46</f>
        <v>32571859</v>
      </c>
      <c r="D45" s="279">
        <f ca="1">C47</f>
        <v>7.4999999999999997E-3</v>
      </c>
      <c r="E45" s="280" t="s">
        <v>2407</v>
      </c>
      <c r="F45" s="290"/>
      <c r="G45" s="291" t="s">
        <v>2416</v>
      </c>
    </row>
    <row r="46" spans="1:7" s="258" customFormat="1" ht="13.5" customHeight="1">
      <c r="A46" s="951" t="s">
        <v>791</v>
      </c>
      <c r="B46" s="292" t="s">
        <v>2417</v>
      </c>
      <c r="C46" s="293">
        <f ca="1">ROUND((C33+C39)*F27,0)</f>
        <v>32571859</v>
      </c>
      <c r="D46" s="307"/>
      <c r="E46" s="280"/>
      <c r="F46" s="290"/>
      <c r="G46" s="291"/>
    </row>
    <row r="47" spans="1:7" s="258" customFormat="1" ht="13.5" customHeight="1">
      <c r="A47" s="951" t="s">
        <v>792</v>
      </c>
      <c r="B47" s="292" t="s">
        <v>2418</v>
      </c>
      <c r="C47" s="282">
        <f ca="1">ROUND(C40*F27,4)</f>
        <v>7.4999999999999997E-3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193678210</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193678210</v>
      </c>
      <c r="D51" s="276"/>
      <c r="E51" s="276"/>
      <c r="F51" s="308"/>
      <c r="G51" s="278" t="s">
        <v>2428</v>
      </c>
    </row>
    <row r="52" spans="1:7" s="252" customFormat="1" ht="16.5" thickBot="1">
      <c r="A52" s="309" t="s">
        <v>2429</v>
      </c>
      <c r="B52" s="310"/>
      <c r="C52" s="311">
        <f ca="1">C31+C51</f>
        <v>209910368</v>
      </c>
      <c r="D52" s="310"/>
      <c r="E52" s="310"/>
      <c r="F52" s="310"/>
      <c r="G52" s="312"/>
    </row>
    <row r="55" spans="1:7" ht="15">
      <c r="B55" s="314" t="s">
        <v>2430</v>
      </c>
      <c r="C55" s="315"/>
    </row>
    <row r="56" spans="1:7">
      <c r="B56" s="317" t="s">
        <v>1509</v>
      </c>
      <c r="C56" s="319">
        <f ca="1">1-C57</f>
        <v>7.6999999999999957E-2</v>
      </c>
    </row>
    <row r="57" spans="1:7">
      <c r="B57" s="317" t="s">
        <v>1510</v>
      </c>
      <c r="C57" s="318">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M27" sqref="M2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8659</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2615</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184" t="s">
        <v>2648</v>
      </c>
      <c r="AC4" s="3183" t="s">
        <v>2649</v>
      </c>
    </row>
    <row r="5" spans="1:30" ht="33.75" customHeight="1">
      <c r="A5" s="404"/>
      <c r="B5" s="405"/>
      <c r="C5" s="3205" t="s">
        <v>2542</v>
      </c>
      <c r="D5" s="3206"/>
      <c r="E5" s="3284" t="s">
        <v>3642</v>
      </c>
      <c r="F5" s="3206"/>
      <c r="G5" s="3284" t="s">
        <v>3795</v>
      </c>
      <c r="H5" s="3206"/>
      <c r="I5" s="3284" t="s">
        <v>3644</v>
      </c>
      <c r="J5" s="3206"/>
      <c r="K5" s="610"/>
      <c r="L5" s="1130"/>
      <c r="M5" s="1131"/>
      <c r="N5" s="1131"/>
      <c r="O5" s="1131"/>
      <c r="P5" s="3192"/>
      <c r="Q5" s="3193"/>
      <c r="R5" s="3198"/>
      <c r="S5" s="3199"/>
      <c r="T5" s="3198"/>
      <c r="U5" s="3199"/>
      <c r="V5" s="3202"/>
      <c r="W5" s="3202"/>
      <c r="X5" s="1813"/>
      <c r="Y5" s="3198"/>
      <c r="Z5" s="3199"/>
      <c r="AA5" s="3184"/>
      <c r="AB5" s="3184"/>
      <c r="AC5" s="3184"/>
    </row>
    <row r="6" spans="1:30" ht="15.75" thickBot="1">
      <c r="A6" s="406"/>
      <c r="B6" s="407"/>
      <c r="C6" s="3203" t="s">
        <v>2546</v>
      </c>
      <c r="D6" s="3204"/>
      <c r="E6" s="3210" t="s">
        <v>2546</v>
      </c>
      <c r="F6" s="3211"/>
      <c r="G6" s="3203" t="s">
        <v>2546</v>
      </c>
      <c r="H6" s="3204"/>
      <c r="I6" s="3203" t="s">
        <v>2546</v>
      </c>
      <c r="J6" s="3204"/>
      <c r="K6" s="610" t="s">
        <v>2547</v>
      </c>
      <c r="L6" s="1130"/>
      <c r="M6" s="1131"/>
      <c r="N6" s="1131"/>
      <c r="O6" s="1131"/>
      <c r="P6" s="3194"/>
      <c r="Q6" s="3195"/>
      <c r="R6" s="3198"/>
      <c r="S6" s="3199"/>
      <c r="T6" s="3200"/>
      <c r="U6" s="3201"/>
      <c r="V6" s="3202"/>
      <c r="W6" s="3202"/>
      <c r="X6" s="1813"/>
      <c r="Y6" s="3200"/>
      <c r="Z6" s="3201"/>
      <c r="AA6" s="3185"/>
      <c r="AB6" s="3185"/>
      <c r="AC6" s="3185"/>
    </row>
    <row r="7" spans="1:30" s="117" customFormat="1" ht="15.75" thickBot="1">
      <c r="A7" s="408" t="s">
        <v>2548</v>
      </c>
      <c r="B7" s="409"/>
      <c r="C7" s="410">
        <f>'数据-取费表'!B2</f>
        <v>43573</v>
      </c>
      <c r="D7" s="411">
        <v>100</v>
      </c>
      <c r="E7" s="412" t="s">
        <v>3645</v>
      </c>
      <c r="F7" s="413">
        <f>SUMIF(70:70,YEAR(E7)&amp;"-"&amp;INT((MONTH(E7)+2)/3),71:71)</f>
        <v>97</v>
      </c>
      <c r="G7" s="2698" t="str">
        <f>Sheet2!L8</f>
        <v>2017-12-26</v>
      </c>
      <c r="H7" s="411">
        <f>SUMIF(70:70,YEAR(G7)&amp;"-"&amp;INT((MONTH(G7)+2)/3),71:71)</f>
        <v>91</v>
      </c>
      <c r="I7" s="2698" t="s">
        <v>3657</v>
      </c>
      <c r="J7" s="411">
        <f>SUMIF(70:70,YEAR(I7)&amp;"-"&amp;INT((MONTH(I7)+2)/3),71:71)</f>
        <v>85</v>
      </c>
      <c r="K7" s="611"/>
      <c r="L7" s="1132"/>
      <c r="M7" s="1133"/>
      <c r="N7" s="1133"/>
      <c r="O7" s="1133"/>
      <c r="P7" s="3207" t="s">
        <v>2549</v>
      </c>
      <c r="Q7" s="3209"/>
      <c r="R7" s="770" t="s">
        <v>17</v>
      </c>
      <c r="S7" s="771">
        <f t="shared" ref="S7:S15" si="0">F7</f>
        <v>97</v>
      </c>
      <c r="T7" s="770" t="s">
        <v>17</v>
      </c>
      <c r="U7" s="771">
        <f t="shared" ref="U7:U15" si="1">H7</f>
        <v>91</v>
      </c>
      <c r="V7" s="770" t="s">
        <v>17</v>
      </c>
      <c r="W7" s="771">
        <f t="shared" ref="W7:W15" si="2">J7</f>
        <v>85</v>
      </c>
      <c r="X7" s="772"/>
      <c r="Y7" s="3207" t="s">
        <v>2549</v>
      </c>
      <c r="Z7" s="3208"/>
      <c r="AA7" s="773">
        <f>D7/F7</f>
        <v>1.0309278350515463</v>
      </c>
      <c r="AB7" s="773">
        <f>D7/H7</f>
        <v>1.098901098901099</v>
      </c>
      <c r="AC7" s="773">
        <f>D7/J7</f>
        <v>1.1764705882352942</v>
      </c>
    </row>
    <row r="8" spans="1:30" s="117" customFormat="1" ht="15.75" thickBot="1">
      <c r="A8" s="408" t="s">
        <v>2550</v>
      </c>
      <c r="B8" s="409"/>
      <c r="C8" s="414" t="s">
        <v>2551</v>
      </c>
      <c r="D8" s="411">
        <v>100</v>
      </c>
      <c r="E8" s="414" t="s">
        <v>3646</v>
      </c>
      <c r="F8" s="413">
        <f>SUMIF(73:73,E8,74:74)-SUMIF(73:73,C8,74:74)+100</f>
        <v>100</v>
      </c>
      <c r="G8" s="414" t="s">
        <v>3646</v>
      </c>
      <c r="H8" s="411">
        <f>SUMIF(73:73,G8,74:74)-SUMIF(73:73,C8,74:74)+100</f>
        <v>100</v>
      </c>
      <c r="I8" s="414" t="s">
        <v>3646</v>
      </c>
      <c r="J8" s="411">
        <f>SUMIF(73:73,I8,74:74)-SUMIF(73:73,C8,74:74)+100</f>
        <v>100</v>
      </c>
      <c r="K8" s="611"/>
      <c r="L8" s="1132"/>
      <c r="M8" s="1133"/>
      <c r="N8" s="1133"/>
      <c r="O8" s="1133"/>
      <c r="P8" s="3207" t="s">
        <v>2552</v>
      </c>
      <c r="Q8" s="3208"/>
      <c r="R8" s="770" t="s">
        <v>17</v>
      </c>
      <c r="S8" s="771">
        <f t="shared" si="0"/>
        <v>100</v>
      </c>
      <c r="T8" s="770" t="s">
        <v>17</v>
      </c>
      <c r="U8" s="771">
        <f t="shared" si="1"/>
        <v>100</v>
      </c>
      <c r="V8" s="770" t="s">
        <v>17</v>
      </c>
      <c r="W8" s="771">
        <f t="shared" si="2"/>
        <v>100</v>
      </c>
      <c r="X8" s="772"/>
      <c r="Y8" s="3207" t="s">
        <v>2552</v>
      </c>
      <c r="Z8" s="3208"/>
      <c r="AA8" s="773">
        <f t="shared" ref="AA8:AA45" si="3">D8/F8</f>
        <v>1</v>
      </c>
      <c r="AB8" s="773">
        <f t="shared" ref="AB8:AB45" si="4">D8/H8</f>
        <v>1</v>
      </c>
      <c r="AC8" s="773">
        <f t="shared" ref="AC8:AC45" si="5">D8/J8</f>
        <v>1</v>
      </c>
    </row>
    <row r="9" spans="1:30" s="117" customFormat="1">
      <c r="A9" s="415" t="s">
        <v>2553</v>
      </c>
      <c r="B9" s="71" t="s">
        <v>2554</v>
      </c>
      <c r="C9" s="2701" t="s">
        <v>1373</v>
      </c>
      <c r="D9" s="135">
        <v>100</v>
      </c>
      <c r="E9" s="2701" t="s">
        <v>1373</v>
      </c>
      <c r="F9" s="135">
        <f>SUMIF(75:75,E9,76:76)-SUMIF(75:75,C9,76:76)+100</f>
        <v>100</v>
      </c>
      <c r="G9" s="2701" t="s">
        <v>1373</v>
      </c>
      <c r="H9" s="135">
        <f>SUMIF(75:75,G9,76:76)-SUMIF(75:75,C9,76:76)+100</f>
        <v>100</v>
      </c>
      <c r="I9" s="2701" t="s">
        <v>1373</v>
      </c>
      <c r="J9" s="135">
        <f>SUMIF(75:75,I9,76:76)-SUMIF(75:75,C9,76:76)+100</f>
        <v>100</v>
      </c>
      <c r="K9" s="611"/>
      <c r="L9" s="1132"/>
      <c r="M9" s="1133"/>
      <c r="N9" s="1133"/>
      <c r="O9" s="1134"/>
      <c r="P9" s="3171"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773">
        <f t="shared" si="5"/>
        <v>1</v>
      </c>
    </row>
    <row r="10" spans="1:30" s="427" customFormat="1" ht="27">
      <c r="A10" s="421"/>
      <c r="B10" s="422" t="s">
        <v>2557</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171"/>
      <c r="Q10" s="1795" t="str">
        <f t="shared" si="6"/>
        <v>土地使用年限（年）</v>
      </c>
      <c r="R10" s="770" t="s">
        <v>17</v>
      </c>
      <c r="S10" s="771">
        <f t="shared" si="0"/>
        <v>102</v>
      </c>
      <c r="T10" s="770" t="s">
        <v>17</v>
      </c>
      <c r="U10" s="771">
        <f t="shared" si="1"/>
        <v>102</v>
      </c>
      <c r="V10" s="770" t="s">
        <v>17</v>
      </c>
      <c r="W10" s="771">
        <f t="shared" si="2"/>
        <v>102</v>
      </c>
      <c r="X10" s="772"/>
      <c r="Y10" s="2996"/>
      <c r="Z10" s="55" t="str">
        <f t="shared" si="7"/>
        <v>土地使用年限（年）</v>
      </c>
      <c r="AA10" s="773">
        <f t="shared" si="3"/>
        <v>0.98039215686274506</v>
      </c>
      <c r="AB10" s="773">
        <f t="shared" si="4"/>
        <v>0.98039215686274506</v>
      </c>
      <c r="AC10" s="773">
        <f t="shared" si="5"/>
        <v>0.98039215686274506</v>
      </c>
    </row>
    <row r="11" spans="1:30" ht="15">
      <c r="A11" s="428"/>
      <c r="B11" s="422" t="s">
        <v>2558</v>
      </c>
      <c r="C11" s="429">
        <v>3.5</v>
      </c>
      <c r="D11" s="136">
        <v>100</v>
      </c>
      <c r="E11" s="429">
        <v>4.5</v>
      </c>
      <c r="F11" s="136">
        <f>LOOKUP(E11,80:80,81:81)-LOOKUP(C11,80:80,81:81)+100</f>
        <v>95</v>
      </c>
      <c r="G11" s="430">
        <f>Sheet2!K8</f>
        <v>2.2000000000000002</v>
      </c>
      <c r="H11" s="136">
        <f>LOOKUP(G11,80:80,81:81)-LOOKUP(C11,80:80,81:81)+100</f>
        <v>105</v>
      </c>
      <c r="I11" s="429">
        <v>5.5</v>
      </c>
      <c r="J11" s="136">
        <f>LOOKUP(I11,80:80,81:81)-LOOKUP(C11,80:80,81:81)+100</f>
        <v>90</v>
      </c>
      <c r="K11" s="673">
        <v>5</v>
      </c>
      <c r="L11" s="1138"/>
      <c r="M11" s="1131"/>
      <c r="N11" s="1131"/>
      <c r="O11" s="1139"/>
      <c r="P11" s="3171"/>
      <c r="Q11" s="1795" t="str">
        <f t="shared" si="6"/>
        <v>容积率</v>
      </c>
      <c r="R11" s="770" t="s">
        <v>17</v>
      </c>
      <c r="S11" s="771">
        <f t="shared" si="0"/>
        <v>95</v>
      </c>
      <c r="T11" s="770" t="s">
        <v>17</v>
      </c>
      <c r="U11" s="771">
        <f t="shared" si="1"/>
        <v>105</v>
      </c>
      <c r="V11" s="770" t="s">
        <v>17</v>
      </c>
      <c r="W11" s="771">
        <f t="shared" si="2"/>
        <v>90</v>
      </c>
      <c r="X11" s="772"/>
      <c r="Y11" s="2996"/>
      <c r="Z11" s="55" t="str">
        <f t="shared" si="7"/>
        <v>容积率</v>
      </c>
      <c r="AA11" s="773">
        <f t="shared" si="3"/>
        <v>1.0526315789473684</v>
      </c>
      <c r="AB11" s="773">
        <f t="shared" si="4"/>
        <v>0.95238095238095233</v>
      </c>
      <c r="AC11" s="773">
        <f t="shared" si="5"/>
        <v>1.1111111111111112</v>
      </c>
    </row>
    <row r="12" spans="1:30" s="117" customFormat="1" ht="15">
      <c r="A12" s="431"/>
      <c r="B12" s="2603" t="s">
        <v>2747</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1"/>
      <c r="Q12" s="1795" t="str">
        <f t="shared" si="6"/>
        <v>配建</v>
      </c>
      <c r="R12" s="770" t="s">
        <v>17</v>
      </c>
      <c r="S12" s="771">
        <f t="shared" si="0"/>
        <v>100</v>
      </c>
      <c r="T12" s="770" t="s">
        <v>17</v>
      </c>
      <c r="U12" s="771">
        <f t="shared" si="1"/>
        <v>100</v>
      </c>
      <c r="V12" s="770" t="s">
        <v>17</v>
      </c>
      <c r="W12" s="771">
        <f t="shared" si="2"/>
        <v>100</v>
      </c>
      <c r="X12" s="772"/>
      <c r="Y12" s="2996"/>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t="s">
        <v>3656</v>
      </c>
      <c r="H14" s="438">
        <f>SUMIF(86:86,G14,87:87)-SUMIF(86:86,C14,87:87)+100</f>
        <v>100</v>
      </c>
      <c r="I14" s="674"/>
      <c r="J14" s="438">
        <f>SUMIF(86:86,I14,87:87)-SUMIF(86:86,C14,87:87)+100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D14/F14</f>
        <v>1</v>
      </c>
      <c r="AB14" s="773">
        <f>D14/H14</f>
        <v>1</v>
      </c>
      <c r="AC14" s="773">
        <f>D14/J14</f>
        <v>1</v>
      </c>
    </row>
    <row r="15" spans="1:30" ht="99.75">
      <c r="A15" s="440" t="s">
        <v>2559</v>
      </c>
      <c r="B15" s="69" t="s">
        <v>2086</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173" t="s">
        <v>2560</v>
      </c>
      <c r="Q15" s="1810" t="str">
        <f t="shared" si="6"/>
        <v>居住社区成熟度</v>
      </c>
      <c r="R15" s="774" t="s">
        <v>17</v>
      </c>
      <c r="S15" s="775">
        <f t="shared" si="0"/>
        <v>100</v>
      </c>
      <c r="T15" s="774" t="s">
        <v>17</v>
      </c>
      <c r="U15" s="775">
        <f t="shared" si="1"/>
        <v>100</v>
      </c>
      <c r="V15" s="774" t="s">
        <v>17</v>
      </c>
      <c r="W15" s="775">
        <f t="shared" si="2"/>
        <v>100</v>
      </c>
      <c r="X15" s="1813"/>
      <c r="Y15" s="3173" t="s">
        <v>2560</v>
      </c>
      <c r="Z15" s="1814" t="str">
        <f t="shared" si="7"/>
        <v>居住社区成熟度</v>
      </c>
      <c r="AA15" s="1811">
        <f t="shared" si="3"/>
        <v>1</v>
      </c>
      <c r="AB15" s="1811">
        <f t="shared" si="4"/>
        <v>1</v>
      </c>
      <c r="AC15" s="1811">
        <f t="shared" si="5"/>
        <v>1</v>
      </c>
    </row>
    <row r="16" spans="1:30" ht="15">
      <c r="A16" s="428"/>
      <c r="B16" s="446"/>
      <c r="C16" s="447" t="s">
        <v>3658</v>
      </c>
      <c r="D16" s="448"/>
      <c r="E16" s="2608" t="s">
        <v>3647</v>
      </c>
      <c r="F16" s="448"/>
      <c r="G16" s="2608" t="s">
        <v>3647</v>
      </c>
      <c r="H16" s="450"/>
      <c r="I16" s="2607" t="s">
        <v>3647</v>
      </c>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71.25">
      <c r="A17" s="428"/>
      <c r="B17" s="451" t="s">
        <v>2653</v>
      </c>
      <c r="C17" s="2666" t="str">
        <f>估价对象房地状况!C16</f>
        <v>估价对象位于XX商圈，周边商业氛围成熟，人流量大，商业繁华度好</v>
      </c>
      <c r="D17" s="450">
        <v>100</v>
      </c>
      <c r="E17" s="452"/>
      <c r="F17" s="450">
        <f>SUMIF(90:90,E18,91:91)-SUMIF(90:90,C18,91:91)+100</f>
        <v>103</v>
      </c>
      <c r="G17" s="452"/>
      <c r="H17" s="455">
        <f>SUMIF(90:90,G18,91:91)-SUMIF(90:90,C18,91:91)+100</f>
        <v>103</v>
      </c>
      <c r="I17" s="454"/>
      <c r="J17" s="455">
        <f>SUMIF(90:90,I18,91:91)-SUMIF(90:90,C18,91:91)+100</f>
        <v>103</v>
      </c>
      <c r="K17" s="673">
        <v>3</v>
      </c>
      <c r="L17" s="1140"/>
      <c r="M17" s="1131"/>
      <c r="N17" s="1131"/>
      <c r="O17" s="1139"/>
      <c r="P17" s="3174"/>
      <c r="Q17" s="1810" t="str">
        <f>B17</f>
        <v>商业繁华度</v>
      </c>
      <c r="R17" s="774" t="s">
        <v>17</v>
      </c>
      <c r="S17" s="775">
        <f>F17</f>
        <v>103</v>
      </c>
      <c r="T17" s="774" t="s">
        <v>17</v>
      </c>
      <c r="U17" s="775">
        <f>H17</f>
        <v>103</v>
      </c>
      <c r="V17" s="774" t="s">
        <v>17</v>
      </c>
      <c r="W17" s="775">
        <f>J17</f>
        <v>103</v>
      </c>
      <c r="X17" s="1813"/>
      <c r="Y17" s="3174"/>
      <c r="Z17" s="1814" t="str">
        <f>Q17</f>
        <v>商业繁华度</v>
      </c>
      <c r="AA17" s="1811">
        <f t="shared" si="3"/>
        <v>0.970873786407767</v>
      </c>
      <c r="AB17" s="1811">
        <f t="shared" si="4"/>
        <v>0.970873786407767</v>
      </c>
      <c r="AC17" s="1811">
        <f t="shared" si="5"/>
        <v>0.970873786407767</v>
      </c>
    </row>
    <row r="18" spans="1:29" ht="15">
      <c r="A18" s="428"/>
      <c r="B18" s="456"/>
      <c r="C18" s="2611" t="s">
        <v>3658</v>
      </c>
      <c r="D18" s="450"/>
      <c r="E18" s="2614" t="s">
        <v>3647</v>
      </c>
      <c r="F18" s="450"/>
      <c r="G18" s="2614" t="s">
        <v>3647</v>
      </c>
      <c r="H18" s="448"/>
      <c r="I18" s="2614" t="s">
        <v>3647</v>
      </c>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71.25" hidden="1">
      <c r="A19" s="428"/>
      <c r="B19" s="451" t="s">
        <v>2687</v>
      </c>
      <c r="C19" s="2666" t="str">
        <f>估价对象房地状况!C17</f>
        <v>估价对象位于XX商圈，周边办公楼项目较多，入驻率高，办公集聚程度较好</v>
      </c>
      <c r="D19" s="455">
        <v>100</v>
      </c>
      <c r="E19" s="459"/>
      <c r="F19" s="455">
        <f>SUMIF(92:92,E20,93:93)-SUMIF(92:92,C20,93:93)+100</f>
        <v>100</v>
      </c>
      <c r="G19" s="459"/>
      <c r="H19" s="450">
        <f>SUMIF(92:92,G20,93:93)-SUMIF(92:92,C20,93:93)+100</f>
        <v>100</v>
      </c>
      <c r="I19" s="459"/>
      <c r="J19" s="450">
        <f>SUMIF(92:92,I20,93:93)-SUMIF(92:92,C20,93:93)+100</f>
        <v>100</v>
      </c>
      <c r="K19" s="673">
        <v>0</v>
      </c>
      <c r="L19" s="1140"/>
      <c r="M19" s="1131"/>
      <c r="N19" s="1131"/>
      <c r="O19" s="1139"/>
      <c r="P19" s="3174"/>
      <c r="Q19" s="1810" t="str">
        <f>B19</f>
        <v>办公集聚程度</v>
      </c>
      <c r="R19" s="774" t="s">
        <v>17</v>
      </c>
      <c r="S19" s="775">
        <f>F19</f>
        <v>100</v>
      </c>
      <c r="T19" s="774" t="s">
        <v>17</v>
      </c>
      <c r="U19" s="775">
        <f>H19</f>
        <v>100</v>
      </c>
      <c r="V19" s="774" t="s">
        <v>17</v>
      </c>
      <c r="W19" s="775">
        <f>J19</f>
        <v>100</v>
      </c>
      <c r="X19" s="1813"/>
      <c r="Y19" s="3174"/>
      <c r="Z19" s="1814" t="str">
        <f>Q19</f>
        <v>办公集聚程度</v>
      </c>
      <c r="AA19" s="1811">
        <f t="shared" si="3"/>
        <v>1</v>
      </c>
      <c r="AB19" s="1811">
        <f t="shared" si="4"/>
        <v>1</v>
      </c>
      <c r="AC19" s="1811">
        <f t="shared" si="5"/>
        <v>1</v>
      </c>
    </row>
    <row r="20" spans="1:29" ht="15" hidden="1">
      <c r="A20" s="428"/>
      <c r="B20" s="456"/>
      <c r="C20" s="447" t="s">
        <v>3658</v>
      </c>
      <c r="D20" s="448"/>
      <c r="E20" s="2614" t="s">
        <v>3648</v>
      </c>
      <c r="F20" s="448"/>
      <c r="G20" s="2614" t="s">
        <v>3648</v>
      </c>
      <c r="H20" s="448"/>
      <c r="I20" s="2614" t="s">
        <v>3648</v>
      </c>
      <c r="J20" s="448"/>
      <c r="K20" s="672"/>
      <c r="L20" s="1140"/>
      <c r="M20" s="1131"/>
      <c r="N20" s="1131"/>
      <c r="O20" s="1139"/>
      <c r="P20" s="3174"/>
      <c r="Q20" s="1810"/>
      <c r="R20" s="774"/>
      <c r="S20" s="775"/>
      <c r="T20" s="774"/>
      <c r="U20" s="775"/>
      <c r="V20" s="774"/>
      <c r="W20" s="775"/>
      <c r="X20" s="1813"/>
      <c r="Y20" s="3174"/>
      <c r="Z20" s="1814"/>
      <c r="AA20" s="1811">
        <v>1</v>
      </c>
      <c r="AB20" s="1811">
        <v>1</v>
      </c>
      <c r="AC20" s="1811">
        <v>1</v>
      </c>
    </row>
    <row r="21" spans="1:29" ht="85.5">
      <c r="A21" s="428"/>
      <c r="B21" s="451" t="s">
        <v>2709</v>
      </c>
      <c r="C21" s="2610" t="str">
        <f>估价对象房地状况!C18</f>
        <v>估价对象周边道路状况、公共交通通达情况、停车便捷程度，综合评价交通便捷度较好</v>
      </c>
      <c r="D21" s="450">
        <v>100</v>
      </c>
      <c r="E21" s="454"/>
      <c r="F21" s="455">
        <f>SUMIF(94:94,E22,95:95)-SUMIF(94:94,C22,95:95)+100</f>
        <v>105</v>
      </c>
      <c r="G21" s="454"/>
      <c r="H21" s="450">
        <f>SUMIF(94:94,G22,95:95)-SUMIF(94:94,C22,95:95)+100</f>
        <v>105</v>
      </c>
      <c r="I21" s="454"/>
      <c r="J21" s="450">
        <f>SUMIF(94:94,I22,95:95)-SUMIF(94:94,C22,95:95)+100</f>
        <v>105</v>
      </c>
      <c r="K21" s="673">
        <v>5</v>
      </c>
      <c r="L21" s="1140"/>
      <c r="M21" s="1131"/>
      <c r="N21" s="1131"/>
      <c r="O21" s="1139"/>
      <c r="P21" s="3174"/>
      <c r="Q21" s="1810" t="str">
        <f>B21</f>
        <v>交通便捷度</v>
      </c>
      <c r="R21" s="774" t="s">
        <v>17</v>
      </c>
      <c r="S21" s="775">
        <f>F21</f>
        <v>105</v>
      </c>
      <c r="T21" s="774" t="s">
        <v>17</v>
      </c>
      <c r="U21" s="775">
        <f>H21</f>
        <v>105</v>
      </c>
      <c r="V21" s="774" t="s">
        <v>17</v>
      </c>
      <c r="W21" s="775">
        <f>J21</f>
        <v>105</v>
      </c>
      <c r="X21" s="1813"/>
      <c r="Y21" s="3174"/>
      <c r="Z21" s="1814" t="str">
        <f>Q21</f>
        <v>交通便捷度</v>
      </c>
      <c r="AA21" s="1811">
        <f t="shared" si="3"/>
        <v>0.95238095238095233</v>
      </c>
      <c r="AB21" s="1811">
        <f t="shared" si="4"/>
        <v>0.95238095238095233</v>
      </c>
      <c r="AC21" s="1811">
        <f t="shared" si="5"/>
        <v>0.95238095238095233</v>
      </c>
    </row>
    <row r="22" spans="1:29" ht="15">
      <c r="A22" s="428"/>
      <c r="B22" s="1384"/>
      <c r="C22" s="447" t="s">
        <v>3647</v>
      </c>
      <c r="D22" s="450"/>
      <c r="E22" s="2614" t="s">
        <v>3648</v>
      </c>
      <c r="F22" s="448"/>
      <c r="G22" s="2614" t="s">
        <v>3648</v>
      </c>
      <c r="H22" s="448"/>
      <c r="I22" s="2614" t="s">
        <v>3648</v>
      </c>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ht="15">
      <c r="A23" s="404"/>
      <c r="B23" s="451" t="s">
        <v>2748</v>
      </c>
      <c r="C23" s="1389">
        <f>估价对象房地状况!C19</f>
        <v>0</v>
      </c>
      <c r="D23" s="455">
        <v>100</v>
      </c>
      <c r="E23" s="454"/>
      <c r="F23" s="455">
        <f>SUMIF(96:96,E24,97:97)-SUMIF(96:96,C24,97:97)+100</f>
        <v>100</v>
      </c>
      <c r="G23" s="454"/>
      <c r="H23" s="455">
        <f>SUMIF(96:96,G24,97:97)-SUMIF(96:96,C24,97:97)+100</f>
        <v>100</v>
      </c>
      <c r="I23" s="454"/>
      <c r="J23" s="455">
        <f>SUMIF(96:96,I24,97:97)-SUMIF(96:96,C24,97:97)+100</f>
        <v>100</v>
      </c>
      <c r="K23" s="673">
        <v>5</v>
      </c>
      <c r="L23" s="1140"/>
      <c r="M23" s="1131"/>
      <c r="N23" s="1131"/>
      <c r="O23" s="1139"/>
      <c r="P23" s="3174"/>
      <c r="Q23" s="1810" t="str">
        <f t="shared" ref="Q23:Q37" si="8">B23</f>
        <v>区域土地利用方向</v>
      </c>
      <c r="R23" s="774" t="s">
        <v>17</v>
      </c>
      <c r="S23" s="775">
        <f>F23</f>
        <v>100</v>
      </c>
      <c r="T23" s="774" t="s">
        <v>17</v>
      </c>
      <c r="U23" s="775">
        <f>H23</f>
        <v>100</v>
      </c>
      <c r="V23" s="774" t="s">
        <v>17</v>
      </c>
      <c r="W23" s="775">
        <f>J23</f>
        <v>100</v>
      </c>
      <c r="X23" s="1813"/>
      <c r="Y23" s="3174"/>
      <c r="Z23" s="1814" t="str">
        <f>Q23</f>
        <v>区域土地利用方向</v>
      </c>
      <c r="AA23" s="1811">
        <f t="shared" si="3"/>
        <v>1</v>
      </c>
      <c r="AB23" s="1811">
        <f t="shared" si="4"/>
        <v>1</v>
      </c>
      <c r="AC23" s="1811">
        <f t="shared" si="5"/>
        <v>1</v>
      </c>
    </row>
    <row r="24" spans="1:29" ht="15">
      <c r="A24" s="404"/>
      <c r="B24" s="456"/>
      <c r="C24" s="616" t="s">
        <v>3648</v>
      </c>
      <c r="D24" s="448"/>
      <c r="E24" s="2614" t="s">
        <v>3648</v>
      </c>
      <c r="F24" s="448"/>
      <c r="G24" s="2614" t="s">
        <v>3648</v>
      </c>
      <c r="H24" s="448"/>
      <c r="I24" s="2614" t="s">
        <v>3648</v>
      </c>
      <c r="J24" s="448"/>
      <c r="K24" s="812"/>
      <c r="L24" s="1140"/>
      <c r="M24" s="1131"/>
      <c r="N24" s="1131"/>
      <c r="O24" s="1139"/>
      <c r="P24" s="3174"/>
      <c r="Q24" s="1810"/>
      <c r="R24" s="774"/>
      <c r="S24" s="775"/>
      <c r="T24" s="774"/>
      <c r="U24" s="775"/>
      <c r="V24" s="774"/>
      <c r="W24" s="775"/>
      <c r="X24" s="1813"/>
      <c r="Y24" s="3174"/>
      <c r="Z24" s="1814"/>
      <c r="AA24" s="1811"/>
      <c r="AB24" s="1811"/>
      <c r="AC24" s="1811"/>
    </row>
    <row r="25" spans="1:29" ht="57">
      <c r="A25" s="404"/>
      <c r="B25" s="1384" t="s">
        <v>2749</v>
      </c>
      <c r="C25" s="2666" t="str">
        <f>估价对象房地状况!C20</f>
        <v>区域自然环境：；人文环境；综合评价环境状况一般</v>
      </c>
      <c r="D25" s="450">
        <v>100</v>
      </c>
      <c r="E25" s="454"/>
      <c r="F25" s="450">
        <f>SUMIF(98:98,E26,99:99)-SUMIF(98:98,C26,99:99)+100</f>
        <v>100</v>
      </c>
      <c r="G25" s="454"/>
      <c r="H25" s="450">
        <f>SUMIF(98:98,G26,99:99)-SUMIF(98:98,C26,99:99)+100</f>
        <v>100</v>
      </c>
      <c r="I25" s="454"/>
      <c r="J25" s="450">
        <f>SUMIF(98:98,I26,99:99)-SUMIF(98:98,C26,99:99)+100</f>
        <v>95</v>
      </c>
      <c r="K25" s="673">
        <v>5</v>
      </c>
      <c r="L25" s="1140"/>
      <c r="M25" s="1131"/>
      <c r="N25" s="1131"/>
      <c r="O25" s="1139"/>
      <c r="P25" s="3174"/>
      <c r="Q25" s="1810" t="str">
        <f t="shared" si="8"/>
        <v>自然及人文环境状况</v>
      </c>
      <c r="R25" s="774" t="s">
        <v>17</v>
      </c>
      <c r="S25" s="775">
        <f>F25</f>
        <v>100</v>
      </c>
      <c r="T25" s="774" t="s">
        <v>17</v>
      </c>
      <c r="U25" s="775">
        <f>H25</f>
        <v>100</v>
      </c>
      <c r="V25" s="774" t="s">
        <v>17</v>
      </c>
      <c r="W25" s="775">
        <f>J25</f>
        <v>95</v>
      </c>
      <c r="X25" s="1813"/>
      <c r="Y25" s="3174"/>
      <c r="Z25" s="1814" t="str">
        <f>Q25</f>
        <v>自然及人文环境状况</v>
      </c>
      <c r="AA25" s="1811">
        <f t="shared" si="3"/>
        <v>1</v>
      </c>
      <c r="AB25" s="1811">
        <f t="shared" si="4"/>
        <v>1</v>
      </c>
      <c r="AC25" s="1811">
        <f t="shared" si="5"/>
        <v>1.0526315789473684</v>
      </c>
    </row>
    <row r="26" spans="1:29" ht="15">
      <c r="A26" s="404"/>
      <c r="B26" s="456"/>
      <c r="C26" s="447" t="s">
        <v>3647</v>
      </c>
      <c r="D26" s="448"/>
      <c r="E26" s="2614" t="s">
        <v>3647</v>
      </c>
      <c r="F26" s="448"/>
      <c r="G26" s="2614" t="s">
        <v>3647</v>
      </c>
      <c r="H26" s="448"/>
      <c r="I26" s="2614" t="s">
        <v>3658</v>
      </c>
      <c r="J26" s="448"/>
      <c r="K26" s="672"/>
      <c r="L26" s="1140"/>
      <c r="M26" s="1131"/>
      <c r="N26" s="1131"/>
      <c r="O26" s="1139"/>
      <c r="P26" s="3174"/>
      <c r="Q26" s="1810"/>
      <c r="R26" s="774"/>
      <c r="S26" s="775"/>
      <c r="T26" s="774"/>
      <c r="U26" s="775"/>
      <c r="V26" s="774"/>
      <c r="W26" s="775"/>
      <c r="X26" s="1813"/>
      <c r="Y26" s="3174"/>
      <c r="Z26" s="1814"/>
      <c r="AA26" s="1811">
        <v>1</v>
      </c>
      <c r="AB26" s="1811">
        <v>1</v>
      </c>
      <c r="AC26" s="1811">
        <v>1</v>
      </c>
    </row>
    <row r="27" spans="1:29" s="117" customFormat="1" ht="42.75">
      <c r="A27" s="649"/>
      <c r="B27" s="1384" t="s">
        <v>2654</v>
      </c>
      <c r="C27" s="2610" t="str">
        <f>估价对象房地状况!C21</f>
        <v>估价对象所在区域公共配套设施齐备情况</v>
      </c>
      <c r="D27" s="450">
        <v>100</v>
      </c>
      <c r="E27" s="454"/>
      <c r="F27" s="450">
        <f>SUMIF(100:100,E28,101:101)-SUMIF(100:100,C28,101:101)+100</f>
        <v>105</v>
      </c>
      <c r="G27" s="454"/>
      <c r="H27" s="450">
        <f>SUMIF(100:100,G28,101:101)-SUMIF(100:100,C28,101:101)+100</f>
        <v>105</v>
      </c>
      <c r="I27" s="454"/>
      <c r="J27" s="450">
        <f>SUMIF(100:100,I28,101:101)-SUMIF(100:100,C28,101:101)+100</f>
        <v>105</v>
      </c>
      <c r="K27" s="673">
        <v>5</v>
      </c>
      <c r="L27" s="1132"/>
      <c r="M27" s="1133"/>
      <c r="N27" s="1133"/>
      <c r="O27" s="1134"/>
      <c r="P27" s="3174"/>
      <c r="Q27" s="1795" t="str">
        <f t="shared" si="8"/>
        <v>公共配套设施</v>
      </c>
      <c r="R27" s="770" t="s">
        <v>17</v>
      </c>
      <c r="S27" s="771">
        <f>F27</f>
        <v>105</v>
      </c>
      <c r="T27" s="770" t="s">
        <v>17</v>
      </c>
      <c r="U27" s="771">
        <f>H27</f>
        <v>105</v>
      </c>
      <c r="V27" s="770" t="s">
        <v>17</v>
      </c>
      <c r="W27" s="771">
        <f>J27</f>
        <v>105</v>
      </c>
      <c r="X27" s="772"/>
      <c r="Y27" s="3174"/>
      <c r="Z27" s="55" t="str">
        <f>Q27</f>
        <v>公共配套设施</v>
      </c>
      <c r="AA27" s="1811">
        <f>D27/F27</f>
        <v>0.95238095238095233</v>
      </c>
      <c r="AB27" s="1811">
        <f>D27/H27</f>
        <v>0.95238095238095233</v>
      </c>
      <c r="AC27" s="1811">
        <f>D27/J27</f>
        <v>0.95238095238095233</v>
      </c>
    </row>
    <row r="28" spans="1:29" s="117" customFormat="1" ht="15">
      <c r="A28" s="649"/>
      <c r="B28" s="456"/>
      <c r="C28" s="2702" t="s">
        <v>3658</v>
      </c>
      <c r="D28" s="448"/>
      <c r="E28" s="2614" t="s">
        <v>3647</v>
      </c>
      <c r="F28" s="448"/>
      <c r="G28" s="2614" t="s">
        <v>3647</v>
      </c>
      <c r="H28" s="448"/>
      <c r="I28" s="2614" t="s">
        <v>3647</v>
      </c>
      <c r="J28" s="448"/>
      <c r="K28" s="672"/>
      <c r="L28" s="1132"/>
      <c r="M28" s="1133"/>
      <c r="N28" s="1133"/>
      <c r="O28" s="1134"/>
      <c r="P28" s="3174"/>
      <c r="Q28" s="1795"/>
      <c r="R28" s="770"/>
      <c r="S28" s="771"/>
      <c r="T28" s="770"/>
      <c r="U28" s="771"/>
      <c r="V28" s="770"/>
      <c r="W28" s="771"/>
      <c r="X28" s="772"/>
      <c r="Y28" s="3174"/>
      <c r="Z28" s="55"/>
      <c r="AA28" s="1811">
        <v>1</v>
      </c>
      <c r="AB28" s="1811">
        <v>1</v>
      </c>
      <c r="AC28" s="1811">
        <v>1</v>
      </c>
    </row>
    <row r="29" spans="1:29" s="117" customFormat="1" ht="28.5">
      <c r="A29" s="649"/>
      <c r="B29" s="1384" t="s">
        <v>2655</v>
      </c>
      <c r="C29" s="2610" t="str">
        <f>估价对象房地状况!C22</f>
        <v>估价对象所在区域基础设施水平</v>
      </c>
      <c r="D29" s="450">
        <v>100</v>
      </c>
      <c r="E29" s="454"/>
      <c r="F29" s="450">
        <f>SUMIF(102:102,E30,103:103)-SUMIF(102:102,C30,103:103)+100</f>
        <v>100</v>
      </c>
      <c r="G29" s="454"/>
      <c r="H29" s="450">
        <f>SUMIF(102:102,G30,103:103)-SUMIF(102:102,C30,103:103)+100</f>
        <v>100</v>
      </c>
      <c r="I29" s="454"/>
      <c r="J29" s="450">
        <f>SUMIF(102:102,I30,103:103)-SUMIF(102:102,C30,103:103)+100</f>
        <v>100</v>
      </c>
      <c r="K29" s="673">
        <v>1</v>
      </c>
      <c r="L29" s="1132"/>
      <c r="M29" s="1133"/>
      <c r="N29" s="1133"/>
      <c r="O29" s="1134"/>
      <c r="P29" s="3174"/>
      <c r="Q29" s="1795"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1">
        <f>D29/F29</f>
        <v>1</v>
      </c>
      <c r="AB29" s="1811">
        <f>D29/H29</f>
        <v>1</v>
      </c>
      <c r="AC29" s="1811">
        <f>D29/J29</f>
        <v>1</v>
      </c>
    </row>
    <row r="30" spans="1:29" s="117" customFormat="1" ht="15">
      <c r="A30" s="649"/>
      <c r="B30" s="456"/>
      <c r="C30" s="2702" t="s">
        <v>3649</v>
      </c>
      <c r="D30" s="448"/>
      <c r="E30" s="2702" t="s">
        <v>3649</v>
      </c>
      <c r="F30" s="448"/>
      <c r="G30" s="2702" t="s">
        <v>3649</v>
      </c>
      <c r="H30" s="448"/>
      <c r="I30" s="2702" t="s">
        <v>3649</v>
      </c>
      <c r="J30" s="448"/>
      <c r="K30" s="672"/>
      <c r="L30" s="1132"/>
      <c r="M30" s="1133"/>
      <c r="N30" s="1133"/>
      <c r="O30" s="1134"/>
      <c r="P30" s="3174"/>
      <c r="Q30" s="1795"/>
      <c r="R30" s="770"/>
      <c r="S30" s="771"/>
      <c r="T30" s="770"/>
      <c r="U30" s="771"/>
      <c r="V30" s="770"/>
      <c r="W30" s="771"/>
      <c r="X30" s="772"/>
      <c r="Y30" s="3174"/>
      <c r="Z30" s="55"/>
      <c r="AA30" s="1811">
        <v>1</v>
      </c>
      <c r="AB30" s="1811">
        <v>1</v>
      </c>
      <c r="AC30" s="1811">
        <v>1</v>
      </c>
    </row>
    <row r="31" spans="1:29" ht="15" hidden="1">
      <c r="A31" s="428"/>
      <c r="B31" s="456" t="s">
        <v>2656</v>
      </c>
      <c r="C31" s="616" t="s">
        <v>3791</v>
      </c>
      <c r="D31" s="435">
        <v>100</v>
      </c>
      <c r="E31" s="616" t="s">
        <v>3650</v>
      </c>
      <c r="F31" s="435">
        <f>SUMIF(104:104,E31,105:105)-SUMIF(104:104,C31,105:105)+100</f>
        <v>100</v>
      </c>
      <c r="G31" s="616" t="s">
        <v>3650</v>
      </c>
      <c r="H31" s="435">
        <f>SUMIF(104:104,G31,105:105)-SUMIF(104:104,C31,105:105)+100</f>
        <v>100</v>
      </c>
      <c r="I31" s="616" t="s">
        <v>3650</v>
      </c>
      <c r="J31" s="435">
        <f>SUMIF(104:104,I31,105:105)-SUMIF(104:104,C31,105:105)+100</f>
        <v>100</v>
      </c>
      <c r="K31" s="673">
        <v>0</v>
      </c>
      <c r="L31" s="1140"/>
      <c r="M31" s="1131"/>
      <c r="N31" s="1131"/>
      <c r="O31" s="1139"/>
      <c r="P31" s="317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4"/>
      <c r="Z31" s="1814" t="str">
        <f t="shared" ref="Z31:Z45" si="13">Q31</f>
        <v>临街状况</v>
      </c>
      <c r="AA31" s="1811">
        <f t="shared" si="3"/>
        <v>1</v>
      </c>
      <c r="AB31" s="1811">
        <f t="shared" si="4"/>
        <v>1</v>
      </c>
      <c r="AC31" s="1811">
        <f t="shared" si="5"/>
        <v>1</v>
      </c>
    </row>
    <row r="32" spans="1:29" ht="27">
      <c r="A32" s="428"/>
      <c r="B32" s="1384" t="s">
        <v>2691</v>
      </c>
      <c r="C32" s="454"/>
      <c r="D32" s="450">
        <v>100</v>
      </c>
      <c r="E32" s="454"/>
      <c r="F32" s="450">
        <f>SUMIF(106:106,E33,107:107)-SUMIF(106:106,C33,107:107)+100</f>
        <v>100</v>
      </c>
      <c r="G32" s="454"/>
      <c r="H32" s="450">
        <f>SUMIF(106:106,G33,107:107)-SUMIF(106:106,C33,107:107)+100</f>
        <v>99</v>
      </c>
      <c r="I32" s="454"/>
      <c r="J32" s="450">
        <f>SUMIF(106:106,I33,107:107)-SUMIF(106:106,C33,107:107)+100</f>
        <v>99</v>
      </c>
      <c r="K32" s="673">
        <v>1</v>
      </c>
      <c r="L32" s="1140"/>
      <c r="M32" s="1131"/>
      <c r="N32" s="1131"/>
      <c r="O32" s="1139"/>
      <c r="P32" s="3174"/>
      <c r="Q32" s="1810" t="str">
        <f t="shared" si="8"/>
        <v>毗邻道路的类型与等级</v>
      </c>
      <c r="R32" s="774" t="s">
        <v>17</v>
      </c>
      <c r="S32" s="775">
        <f t="shared" si="10"/>
        <v>100</v>
      </c>
      <c r="T32" s="774" t="s">
        <v>17</v>
      </c>
      <c r="U32" s="775">
        <f t="shared" si="11"/>
        <v>99</v>
      </c>
      <c r="V32" s="774" t="s">
        <v>17</v>
      </c>
      <c r="W32" s="775">
        <f t="shared" si="12"/>
        <v>99</v>
      </c>
      <c r="X32" s="1813"/>
      <c r="Y32" s="3174"/>
      <c r="Z32" s="1814" t="str">
        <f t="shared" si="13"/>
        <v>毗邻道路的类型与等级</v>
      </c>
      <c r="AA32" s="1811">
        <f t="shared" si="3"/>
        <v>1</v>
      </c>
      <c r="AB32" s="1811">
        <f t="shared" si="4"/>
        <v>1.0101010101010102</v>
      </c>
      <c r="AC32" s="1811">
        <f t="shared" si="5"/>
        <v>1.0101010101010102</v>
      </c>
    </row>
    <row r="33" spans="1:29" ht="15">
      <c r="A33" s="428"/>
      <c r="B33" s="456"/>
      <c r="C33" s="447" t="s">
        <v>3786</v>
      </c>
      <c r="D33" s="448"/>
      <c r="E33" s="447" t="s">
        <v>3786</v>
      </c>
      <c r="F33" s="448"/>
      <c r="G33" s="447" t="s">
        <v>3651</v>
      </c>
      <c r="H33" s="448"/>
      <c r="I33" s="447" t="s">
        <v>3651</v>
      </c>
      <c r="J33" s="448"/>
      <c r="K33" s="613"/>
      <c r="L33" s="1140"/>
      <c r="M33" s="1131"/>
      <c r="N33" s="1131"/>
      <c r="O33" s="1139"/>
      <c r="P33" s="3174"/>
      <c r="Q33" s="1810"/>
      <c r="R33" s="774"/>
      <c r="S33" s="775"/>
      <c r="T33" s="774"/>
      <c r="U33" s="775"/>
      <c r="V33" s="774"/>
      <c r="W33" s="775"/>
      <c r="X33" s="1813"/>
      <c r="Y33" s="3174"/>
      <c r="Z33" s="1814"/>
      <c r="AA33" s="1811">
        <v>1</v>
      </c>
      <c r="AB33" s="1811">
        <v>1</v>
      </c>
      <c r="AC33" s="1811">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4"/>
      <c r="Q34" s="1810" t="str">
        <f t="shared" si="8"/>
        <v>土地级别</v>
      </c>
      <c r="R34" s="774" t="s">
        <v>17</v>
      </c>
      <c r="S34" s="775">
        <f t="shared" si="10"/>
        <v>100</v>
      </c>
      <c r="T34" s="774" t="s">
        <v>17</v>
      </c>
      <c r="U34" s="775">
        <f t="shared" si="11"/>
        <v>100</v>
      </c>
      <c r="V34" s="774" t="s">
        <v>17</v>
      </c>
      <c r="W34" s="775">
        <f t="shared" si="12"/>
        <v>100</v>
      </c>
      <c r="X34" s="1813"/>
      <c r="Y34" s="317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4"/>
      <c r="Q35" s="1810">
        <f t="shared" si="8"/>
        <v>111</v>
      </c>
      <c r="R35" s="774" t="s">
        <v>17</v>
      </c>
      <c r="S35" s="775">
        <f t="shared" si="10"/>
        <v>100</v>
      </c>
      <c r="T35" s="774" t="s">
        <v>17</v>
      </c>
      <c r="U35" s="775">
        <f t="shared" si="11"/>
        <v>100</v>
      </c>
      <c r="V35" s="774" t="s">
        <v>17</v>
      </c>
      <c r="W35" s="775">
        <f t="shared" si="12"/>
        <v>100</v>
      </c>
      <c r="X35" s="1813"/>
      <c r="Y35" s="317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29" t="s">
        <v>2565</v>
      </c>
      <c r="Q36" s="1810">
        <f t="shared" si="8"/>
        <v>111</v>
      </c>
      <c r="R36" s="774" t="s">
        <v>17</v>
      </c>
      <c r="S36" s="775">
        <f t="shared" si="10"/>
        <v>100</v>
      </c>
      <c r="T36" s="774" t="s">
        <v>17</v>
      </c>
      <c r="U36" s="775">
        <f t="shared" si="11"/>
        <v>100</v>
      </c>
      <c r="V36" s="774" t="s">
        <v>17</v>
      </c>
      <c r="W36" s="775">
        <f t="shared" si="12"/>
        <v>100</v>
      </c>
      <c r="X36" s="1813"/>
      <c r="Y36" s="3178" t="s">
        <v>2565</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8"/>
      <c r="Q37" s="1810">
        <f t="shared" si="8"/>
        <v>111</v>
      </c>
      <c r="R37" s="777" t="s">
        <v>17</v>
      </c>
      <c r="S37" s="778">
        <f t="shared" si="10"/>
        <v>100</v>
      </c>
      <c r="T37" s="777" t="s">
        <v>17</v>
      </c>
      <c r="U37" s="778">
        <f t="shared" si="11"/>
        <v>100</v>
      </c>
      <c r="V37" s="777" t="s">
        <v>17</v>
      </c>
      <c r="W37" s="778">
        <f t="shared" si="12"/>
        <v>100</v>
      </c>
      <c r="X37" s="779"/>
      <c r="Y37" s="3178"/>
      <c r="Z37" s="780">
        <f t="shared" si="13"/>
        <v>111</v>
      </c>
      <c r="AA37" s="1811">
        <f t="shared" si="3"/>
        <v>1</v>
      </c>
      <c r="AB37" s="1811">
        <f t="shared" si="4"/>
        <v>1</v>
      </c>
      <c r="AC37" s="1811">
        <f t="shared" si="5"/>
        <v>1</v>
      </c>
    </row>
    <row r="38" spans="1:29" ht="15">
      <c r="A38" s="472" t="s">
        <v>2563</v>
      </c>
      <c r="B38" s="456" t="s">
        <v>2751</v>
      </c>
      <c r="C38" s="679">
        <v>26187.22</v>
      </c>
      <c r="D38" s="467">
        <v>100</v>
      </c>
      <c r="E38" s="679">
        <v>15182.58</v>
      </c>
      <c r="F38" s="467">
        <f>LOOKUP(E38,117:117,118:118)-LOOKUP(C38,117:117,118:118)+100</f>
        <v>100</v>
      </c>
      <c r="G38" s="679">
        <v>53401</v>
      </c>
      <c r="H38" s="467">
        <f>LOOKUP(G38,117:117,118:118)-LOOKUP(C38,117:117,118:118)+100</f>
        <v>100</v>
      </c>
      <c r="I38" s="530">
        <v>39593.699999999997</v>
      </c>
      <c r="J38" s="467">
        <f>LOOKUP(I38,117:117,118:118)-LOOKUP(C38,117:117,118:118)+100</f>
        <v>100</v>
      </c>
      <c r="K38" s="613"/>
      <c r="L38" s="1140"/>
      <c r="M38" s="1131"/>
      <c r="N38" s="1131"/>
      <c r="O38" s="1139"/>
      <c r="P38" s="3178"/>
      <c r="Q38" s="1810" t="str">
        <f>B38</f>
        <v>宗地面积</v>
      </c>
      <c r="R38" s="774" t="s">
        <v>17</v>
      </c>
      <c r="S38" s="775">
        <f t="shared" si="10"/>
        <v>100</v>
      </c>
      <c r="T38" s="774" t="s">
        <v>17</v>
      </c>
      <c r="U38" s="775">
        <f t="shared" si="11"/>
        <v>100</v>
      </c>
      <c r="V38" s="774" t="s">
        <v>17</v>
      </c>
      <c r="W38" s="775">
        <f t="shared" si="12"/>
        <v>100</v>
      </c>
      <c r="X38" s="1813"/>
      <c r="Y38" s="3178"/>
      <c r="Z38" s="1814" t="str">
        <f t="shared" si="13"/>
        <v>宗地面积</v>
      </c>
      <c r="AA38" s="1811">
        <f t="shared" si="3"/>
        <v>1</v>
      </c>
      <c r="AB38" s="1811">
        <f t="shared" si="4"/>
        <v>1</v>
      </c>
      <c r="AC38" s="1811">
        <f t="shared" si="5"/>
        <v>1</v>
      </c>
    </row>
    <row r="39" spans="1:29" ht="15">
      <c r="A39" s="472"/>
      <c r="B39" s="422" t="s">
        <v>2752</v>
      </c>
      <c r="C39" s="2616" t="s">
        <v>3652</v>
      </c>
      <c r="D39" s="435">
        <v>100</v>
      </c>
      <c r="E39" s="2616" t="s">
        <v>3652</v>
      </c>
      <c r="F39" s="435">
        <f>SUMIF(119:119,E39,120:120)-SUMIF(119:119,C39,120:120)+100</f>
        <v>100</v>
      </c>
      <c r="G39" s="2616" t="s">
        <v>3652</v>
      </c>
      <c r="H39" s="435">
        <f>SUMIF(119:119,G39,120:120)-SUMIF(119:119,C39,120:120)+100</f>
        <v>100</v>
      </c>
      <c r="I39" s="2616" t="s">
        <v>3652</v>
      </c>
      <c r="J39" s="435">
        <f>SUMIF(119:119,I39,120:120)-SUMIF(119:119,C39,120:120)+100</f>
        <v>100</v>
      </c>
      <c r="K39" s="612">
        <v>3</v>
      </c>
      <c r="L39" s="1140"/>
      <c r="M39" s="1131"/>
      <c r="N39" s="1131"/>
      <c r="O39" s="1139"/>
      <c r="P39" s="3178"/>
      <c r="Q39" s="1810" t="str">
        <f t="shared" ref="Q39:Q45" si="14">B39</f>
        <v>宗地形状</v>
      </c>
      <c r="R39" s="774" t="s">
        <v>17</v>
      </c>
      <c r="S39" s="775">
        <f t="shared" si="10"/>
        <v>100</v>
      </c>
      <c r="T39" s="774" t="s">
        <v>17</v>
      </c>
      <c r="U39" s="775">
        <f t="shared" si="11"/>
        <v>100</v>
      </c>
      <c r="V39" s="774" t="s">
        <v>17</v>
      </c>
      <c r="W39" s="775">
        <f t="shared" si="12"/>
        <v>100</v>
      </c>
      <c r="X39" s="1813"/>
      <c r="Y39" s="3178"/>
      <c r="Z39" s="1814" t="str">
        <f t="shared" si="13"/>
        <v>宗地形状</v>
      </c>
      <c r="AA39" s="1811">
        <f t="shared" si="3"/>
        <v>1</v>
      </c>
      <c r="AB39" s="1811">
        <f t="shared" si="4"/>
        <v>1</v>
      </c>
      <c r="AC39" s="1811">
        <f t="shared" si="5"/>
        <v>1</v>
      </c>
    </row>
    <row r="40" spans="1:29" ht="15">
      <c r="A40" s="472"/>
      <c r="B40" s="422" t="s">
        <v>2753</v>
      </c>
      <c r="C40" s="2616" t="s">
        <v>3653</v>
      </c>
      <c r="D40" s="435">
        <v>100</v>
      </c>
      <c r="E40" s="2616" t="s">
        <v>3653</v>
      </c>
      <c r="F40" s="435">
        <f>SUMIF(121:121,E40,122:122)-SUMIF(121:121,C40,122:122)+100</f>
        <v>100</v>
      </c>
      <c r="G40" s="2616" t="s">
        <v>3653</v>
      </c>
      <c r="H40" s="435">
        <f>SUMIF(121:121,G40,122:122)-SUMIF(121:121,C40,122:122)+100</f>
        <v>100</v>
      </c>
      <c r="I40" s="2616" t="s">
        <v>3653</v>
      </c>
      <c r="J40" s="435">
        <f>SUMIF(121:121,I40,122:122)-SUMIF(121:121,C40,122:122)+100</f>
        <v>100</v>
      </c>
      <c r="K40" s="612">
        <v>1</v>
      </c>
      <c r="L40" s="1140"/>
      <c r="M40" s="1131"/>
      <c r="N40" s="1131"/>
      <c r="O40" s="1139"/>
      <c r="P40" s="3178"/>
      <c r="Q40" s="1810" t="str">
        <f t="shared" si="14"/>
        <v>临街宽度及深度</v>
      </c>
      <c r="R40" s="774" t="s">
        <v>17</v>
      </c>
      <c r="S40" s="775">
        <f t="shared" si="10"/>
        <v>100</v>
      </c>
      <c r="T40" s="774" t="s">
        <v>17</v>
      </c>
      <c r="U40" s="775">
        <f t="shared" si="11"/>
        <v>100</v>
      </c>
      <c r="V40" s="774" t="s">
        <v>17</v>
      </c>
      <c r="W40" s="775">
        <f t="shared" si="12"/>
        <v>100</v>
      </c>
      <c r="X40" s="1813"/>
      <c r="Y40" s="3178"/>
      <c r="Z40" s="1814" t="str">
        <f t="shared" si="13"/>
        <v>临街宽度及深度</v>
      </c>
      <c r="AA40" s="1811">
        <f t="shared" si="3"/>
        <v>1</v>
      </c>
      <c r="AB40" s="1811">
        <f t="shared" si="4"/>
        <v>1</v>
      </c>
      <c r="AC40" s="1811">
        <f t="shared" si="5"/>
        <v>1</v>
      </c>
    </row>
    <row r="41" spans="1:29" s="117" customFormat="1" ht="15">
      <c r="A41" s="473"/>
      <c r="B41" s="422" t="s">
        <v>2754</v>
      </c>
      <c r="C41" s="2704" t="s">
        <v>3654</v>
      </c>
      <c r="D41" s="136">
        <v>100</v>
      </c>
      <c r="E41" s="2704" t="s">
        <v>3654</v>
      </c>
      <c r="F41" s="435">
        <f>SUMIF(123:123,E41,124:124)-SUMIF(123:123,C41,124:124)+100</f>
        <v>100</v>
      </c>
      <c r="G41" s="2704" t="s">
        <v>3654</v>
      </c>
      <c r="H41" s="435">
        <f>SUMIF(123:123,G41,124:124)-SUMIF(123:123,C41,124:124)+100</f>
        <v>100</v>
      </c>
      <c r="I41" s="2704" t="s">
        <v>3654</v>
      </c>
      <c r="J41" s="435">
        <f>SUMIF(123:123,I41,124:124)-SUMIF(123:123,C41,124:124)+100</f>
        <v>100</v>
      </c>
      <c r="K41" s="612">
        <v>1</v>
      </c>
      <c r="L41" s="1132"/>
      <c r="M41" s="1133"/>
      <c r="N41" s="1133"/>
      <c r="O41" s="1134"/>
      <c r="P41" s="3178"/>
      <c r="Q41" s="1810"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2755</v>
      </c>
      <c r="C42" s="2616" t="s">
        <v>3648</v>
      </c>
      <c r="D42" s="435">
        <v>100</v>
      </c>
      <c r="E42" s="2616" t="s">
        <v>3648</v>
      </c>
      <c r="F42" s="435">
        <f>SUMIF(125:125,E42,126:126)-SUMIF(125:125,C42,126:126)+100</f>
        <v>100</v>
      </c>
      <c r="G42" s="2616" t="s">
        <v>3648</v>
      </c>
      <c r="H42" s="435">
        <f>SUMIF(125:125,G42,126:126)-SUMIF(125:125,C42,126:126)+100</f>
        <v>100</v>
      </c>
      <c r="I42" s="2616" t="s">
        <v>3648</v>
      </c>
      <c r="J42" s="435">
        <f>SUMIF(125:125,I42,126:126)-SUMIF(125:125,C42,126:126)+100</f>
        <v>100</v>
      </c>
      <c r="K42" s="612">
        <v>1</v>
      </c>
      <c r="L42" s="1140"/>
      <c r="M42" s="1131"/>
      <c r="N42" s="1131"/>
      <c r="O42" s="1139"/>
      <c r="P42" s="3178" t="s">
        <v>2565</v>
      </c>
      <c r="Q42" s="1810" t="str">
        <f t="shared" si="14"/>
        <v>工程地质条件</v>
      </c>
      <c r="R42" s="774" t="s">
        <v>17</v>
      </c>
      <c r="S42" s="775">
        <f t="shared" si="10"/>
        <v>100</v>
      </c>
      <c r="T42" s="774" t="s">
        <v>17</v>
      </c>
      <c r="U42" s="775">
        <f t="shared" si="11"/>
        <v>100</v>
      </c>
      <c r="V42" s="774" t="s">
        <v>17</v>
      </c>
      <c r="W42" s="775">
        <f t="shared" si="12"/>
        <v>100</v>
      </c>
      <c r="X42" s="1813"/>
      <c r="Y42" s="3178" t="s">
        <v>2565</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8"/>
      <c r="Q43" s="1810">
        <f t="shared" si="14"/>
        <v>111</v>
      </c>
      <c r="R43" s="774" t="s">
        <v>17</v>
      </c>
      <c r="S43" s="775">
        <f t="shared" si="10"/>
        <v>100</v>
      </c>
      <c r="T43" s="774" t="s">
        <v>17</v>
      </c>
      <c r="U43" s="775">
        <f t="shared" si="11"/>
        <v>100</v>
      </c>
      <c r="V43" s="774" t="s">
        <v>17</v>
      </c>
      <c r="W43" s="775">
        <f t="shared" si="12"/>
        <v>100</v>
      </c>
      <c r="X43" s="1813"/>
      <c r="Y43" s="317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8"/>
      <c r="Q44" s="1810">
        <f t="shared" si="14"/>
        <v>111</v>
      </c>
      <c r="R44" s="774" t="s">
        <v>17</v>
      </c>
      <c r="S44" s="775">
        <f t="shared" si="10"/>
        <v>100</v>
      </c>
      <c r="T44" s="774" t="s">
        <v>17</v>
      </c>
      <c r="U44" s="775">
        <f t="shared" si="11"/>
        <v>100</v>
      </c>
      <c r="V44" s="774" t="s">
        <v>17</v>
      </c>
      <c r="W44" s="775">
        <f t="shared" si="12"/>
        <v>100</v>
      </c>
      <c r="X44" s="1813"/>
      <c r="Y44" s="317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8"/>
      <c r="Q45" s="1810">
        <f t="shared" si="14"/>
        <v>111</v>
      </c>
      <c r="R45" s="777" t="s">
        <v>17</v>
      </c>
      <c r="S45" s="778">
        <f t="shared" si="10"/>
        <v>100</v>
      </c>
      <c r="T45" s="777" t="s">
        <v>17</v>
      </c>
      <c r="U45" s="778">
        <f t="shared" si="11"/>
        <v>100</v>
      </c>
      <c r="V45" s="777" t="s">
        <v>17</v>
      </c>
      <c r="W45" s="778">
        <f t="shared" si="12"/>
        <v>100</v>
      </c>
      <c r="X45" s="779"/>
      <c r="Y45" s="3178"/>
      <c r="Z45" s="780">
        <f t="shared" si="13"/>
        <v>111</v>
      </c>
      <c r="AA45" s="1811">
        <f t="shared" si="3"/>
        <v>1</v>
      </c>
      <c r="AB45" s="1811">
        <f t="shared" si="4"/>
        <v>1</v>
      </c>
      <c r="AC45" s="1811">
        <f t="shared" si="5"/>
        <v>1</v>
      </c>
    </row>
    <row r="46" spans="1:29" ht="15">
      <c r="A46" s="479" t="s">
        <v>2720</v>
      </c>
      <c r="B46" s="2706" t="s">
        <v>2756</v>
      </c>
      <c r="C46" s="682" t="s">
        <v>1</v>
      </c>
      <c r="D46" s="481"/>
      <c r="E46" s="482">
        <v>2943.42</v>
      </c>
      <c r="F46" s="483"/>
      <c r="G46" s="484">
        <f>Sheet2!Q8</f>
        <v>2681.26</v>
      </c>
      <c r="H46" s="485"/>
      <c r="I46" s="482">
        <v>2199.15</v>
      </c>
      <c r="J46" s="485"/>
      <c r="K46" s="783"/>
      <c r="L46" s="1143"/>
      <c r="M46" s="1144"/>
      <c r="N46" s="1131"/>
      <c r="O46" s="1144"/>
      <c r="P46" s="3171" t="str">
        <f>A46</f>
        <v>成交单价</v>
      </c>
      <c r="Q46" s="3171"/>
      <c r="R46" s="3202">
        <f>E46</f>
        <v>2943.42</v>
      </c>
      <c r="S46" s="3202"/>
      <c r="T46" s="3202">
        <f>G46</f>
        <v>2681.26</v>
      </c>
      <c r="U46" s="3202"/>
      <c r="V46" s="3202">
        <f>I46</f>
        <v>2199.15</v>
      </c>
      <c r="W46" s="3202"/>
      <c r="X46" s="759"/>
      <c r="Y46" s="781"/>
      <c r="Z46" s="759"/>
      <c r="AA46" s="759"/>
      <c r="AB46" s="759"/>
      <c r="AC46" s="759"/>
    </row>
    <row r="47" spans="1:29" ht="15.75" thickBot="1">
      <c r="A47" s="486" t="s">
        <v>2669</v>
      </c>
      <c r="B47" s="683"/>
      <c r="C47" s="490">
        <f>R48</f>
        <v>2615</v>
      </c>
      <c r="D47" s="489"/>
      <c r="E47" s="490">
        <f>R47</f>
        <v>2758</v>
      </c>
      <c r="F47" s="491"/>
      <c r="G47" s="488">
        <f>T47</f>
        <v>2447</v>
      </c>
      <c r="H47" s="489"/>
      <c r="I47" s="490">
        <f>V47</f>
        <v>2639</v>
      </c>
      <c r="J47" s="489"/>
      <c r="K47" s="784"/>
      <c r="L47" s="1143"/>
      <c r="M47" s="1144"/>
      <c r="N47" s="1144"/>
      <c r="O47" s="1144"/>
      <c r="P47" s="3171" t="str">
        <f>A47</f>
        <v>比较价值（元/平方米）</v>
      </c>
      <c r="Q47" s="3171"/>
      <c r="R47" s="3230">
        <f>ROUND(PRODUCT(R46,AA7:AA45),0)</f>
        <v>2758</v>
      </c>
      <c r="S47" s="3230"/>
      <c r="T47" s="3230">
        <f>ROUND(PRODUCT(T46,AB7:AB45),0)</f>
        <v>2447</v>
      </c>
      <c r="U47" s="3230"/>
      <c r="V47" s="3230">
        <f>ROUND(PRODUCT(V46,AC7:AC45),0)</f>
        <v>2639</v>
      </c>
      <c r="W47" s="3230"/>
      <c r="X47" s="759"/>
      <c r="Y47" s="759"/>
      <c r="Z47" s="759"/>
      <c r="AA47" s="759"/>
      <c r="AB47" s="759"/>
      <c r="AC47" s="759"/>
    </row>
    <row r="48" spans="1:29" ht="15.75" thickBot="1">
      <c r="A48" s="492" t="s">
        <v>2757</v>
      </c>
      <c r="B48" s="493"/>
      <c r="C48" s="494">
        <f>R48</f>
        <v>2615</v>
      </c>
      <c r="D48" s="494"/>
      <c r="E48" s="494"/>
      <c r="F48" s="494"/>
      <c r="G48" s="494"/>
      <c r="H48" s="494"/>
      <c r="I48" s="494"/>
      <c r="J48" s="494"/>
      <c r="K48" s="785"/>
      <c r="L48" s="1143"/>
      <c r="M48" s="1144"/>
      <c r="N48" s="1144"/>
      <c r="O48" s="1144"/>
      <c r="P48" s="3168" t="str">
        <f>A48</f>
        <v>估价对象XX用房的比较价值（楼面单价，元/平方米）</v>
      </c>
      <c r="Q48" s="3169"/>
      <c r="R48" s="3231">
        <f>ROUND(AVERAGE(R47:V47),0)</f>
        <v>2615</v>
      </c>
      <c r="S48" s="3231"/>
      <c r="T48" s="3231"/>
      <c r="U48" s="3231"/>
      <c r="V48" s="3231"/>
      <c r="W48" s="323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2671</v>
      </c>
      <c r="D51" s="498"/>
      <c r="E51" s="499">
        <f>IF(E46&lt;E47,E47/E46-1,E46/E47-1)</f>
        <v>6.7229876722262549E-2</v>
      </c>
      <c r="F51" s="500" t="str">
        <f>IF(OR(E51&gt;=0.3,E51&lt;=-0.3),"超过30%","")</f>
        <v/>
      </c>
      <c r="G51" s="499">
        <f>IF(G46&lt;G47,G47/G46-1,G46/G47-1)</f>
        <v>9.5733551287290553E-2</v>
      </c>
      <c r="H51" s="500" t="str">
        <f>IF(OR(G51&gt;=0.3,G51&lt;=-0.3),"超过30%","")</f>
        <v/>
      </c>
      <c r="I51" s="499">
        <f>IF(I46&lt;I47,I47/I46-1,I46/I47-1)</f>
        <v>0.2000090944228452</v>
      </c>
      <c r="J51" s="500" t="str">
        <f>IF(OR(I51&gt;=0.3,I51&lt;=-0.3),"超过30%","")</f>
        <v/>
      </c>
      <c r="K51" s="1105"/>
      <c r="L51" s="1106"/>
      <c r="M51" s="1144"/>
      <c r="N51" s="1144"/>
      <c r="O51" s="1144"/>
    </row>
    <row r="52" spans="1:15" ht="13.5" customHeight="1">
      <c r="A52" s="1144"/>
      <c r="B52" s="1144"/>
      <c r="C52" s="497" t="s">
        <v>2672</v>
      </c>
      <c r="D52" s="501"/>
      <c r="E52" s="499">
        <f>IF(E47&lt;G47,G47/E47-1,E47/G47-1)</f>
        <v>0.12709440130772376</v>
      </c>
      <c r="F52" s="500" t="str">
        <f>IF(OR(E52&gt;=0.2,E52&lt;=-0.2),"超过20%","")</f>
        <v/>
      </c>
      <c r="G52" s="499">
        <f>IF(G47&lt;I47,I47/G47-1,G47/I47-1)</f>
        <v>7.8463424601552978E-2</v>
      </c>
      <c r="H52" s="500" t="str">
        <f>IF(OR(G52&gt;=0.2,G52&lt;=-0.2),"超过20%","")</f>
        <v/>
      </c>
      <c r="I52" s="499">
        <f>IF(I47&lt;E47,E47/I47-1,I47/E47-1)</f>
        <v>4.5092838196286511E-2</v>
      </c>
      <c r="J52" s="500" t="str">
        <f>IF(OR(I52&gt;=0.2,I52&lt;=-0.2),"超过20%","")</f>
        <v/>
      </c>
      <c r="K52" s="1105"/>
      <c r="L52" s="1106"/>
      <c r="M52" s="1144"/>
      <c r="N52" s="1144"/>
      <c r="O52" s="1144"/>
    </row>
    <row r="53" spans="1:15" s="502" customFormat="1" ht="13.5" customHeight="1">
      <c r="A53" s="1145"/>
      <c r="B53" s="1145"/>
      <c r="C53" s="497" t="s">
        <v>2673</v>
      </c>
      <c r="D53" s="501"/>
      <c r="E53" s="499">
        <f>IF(E46&lt;G46,G46/E46-1,E46/G46-1)</f>
        <v>9.7774926713559918E-2</v>
      </c>
      <c r="F53" s="500" t="str">
        <f>IF(OR(E53&gt;=0.3,E53&lt;=-0.3),"超过30%","")</f>
        <v/>
      </c>
      <c r="G53" s="499">
        <f>IF(G46&lt;I46,I46/G46-1,G46/I46-1)</f>
        <v>0.21922560989473205</v>
      </c>
      <c r="H53" s="500" t="str">
        <f>IF(OR(G53&gt;=0.3,G53&lt;=-0.3),"超过30%","")</f>
        <v/>
      </c>
      <c r="I53" s="499">
        <f>IF(I46&lt;E46,E46/I46-1,I46/E46-1)</f>
        <v>0.33843530454948501</v>
      </c>
      <c r="J53" s="500" t="str">
        <f>IF(OR(I53&gt;=0.3,I53&lt;=-0.3),"超过30%","")</f>
        <v>超过30%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2758</v>
      </c>
      <c r="B55" s="685" t="s">
        <v>2759</v>
      </c>
      <c r="C55" s="2707" t="s">
        <v>2760</v>
      </c>
      <c r="D55" s="2708" t="s">
        <v>2761</v>
      </c>
      <c r="E55" s="686" t="s">
        <v>2762</v>
      </c>
      <c r="F55" s="1107" t="s">
        <v>2763</v>
      </c>
      <c r="G55" s="3186" t="s">
        <v>2764</v>
      </c>
      <c r="H55" s="3232"/>
      <c r="I55" s="144" t="s">
        <v>2765</v>
      </c>
      <c r="J55" s="2709">
        <f>项目基本情况!F35</f>
        <v>0</v>
      </c>
      <c r="K55" s="2710" t="s">
        <v>2766</v>
      </c>
      <c r="L55" s="1106"/>
      <c r="M55" s="1144"/>
      <c r="N55" s="1144"/>
      <c r="O55" s="1144"/>
    </row>
    <row r="56" spans="1:15" s="692" customFormat="1">
      <c r="A56" s="688" t="s">
        <v>2767</v>
      </c>
      <c r="B56" s="689">
        <f>C48</f>
        <v>2615</v>
      </c>
      <c r="C56" s="690">
        <v>1</v>
      </c>
      <c r="D56" s="1163">
        <v>1</v>
      </c>
      <c r="E56" s="690">
        <f>'数据-汇总表'!E8+'数据-汇总表'!E9</f>
        <v>33112.840000000157</v>
      </c>
      <c r="F56" s="1103">
        <f t="shared" ref="F56:F65" si="15">ROUND(B56*E56/10000,0)</f>
        <v>8659</v>
      </c>
      <c r="G56" s="3182"/>
      <c r="H56" s="3171"/>
      <c r="I56" s="1108">
        <v>1</v>
      </c>
      <c r="J56" s="1111">
        <v>1</v>
      </c>
      <c r="K56" s="1145"/>
      <c r="L56" s="941"/>
      <c r="M56" s="941"/>
      <c r="N56" s="941"/>
      <c r="O56" s="941"/>
    </row>
    <row r="57" spans="1:15" s="692" customFormat="1">
      <c r="A57" s="693" t="s">
        <v>2768</v>
      </c>
      <c r="B57" s="262">
        <f>ROUND($C$48*C57*D57,0)</f>
        <v>0</v>
      </c>
      <c r="C57" s="200">
        <f t="shared" ref="C57:C65" si="16">IF($C$55="北京市系数",I57,J57)</f>
        <v>0</v>
      </c>
      <c r="D57" s="1164">
        <v>0.25</v>
      </c>
      <c r="E57" s="694"/>
      <c r="F57" s="1103">
        <f t="shared" si="15"/>
        <v>0</v>
      </c>
      <c r="G57" s="3233" t="s">
        <v>2769</v>
      </c>
      <c r="H57" s="1104">
        <f>项目基本情况!B37</f>
        <v>0</v>
      </c>
      <c r="I57" s="1108">
        <f>SUMIF(修正!A45:A56,H57,修正!B45:B56)</f>
        <v>0</v>
      </c>
      <c r="J57" s="1112"/>
      <c r="K57" s="1144"/>
      <c r="L57" s="941"/>
      <c r="M57" s="941"/>
      <c r="N57" s="941"/>
      <c r="O57" s="941"/>
    </row>
    <row r="58" spans="1:15" s="692" customFormat="1">
      <c r="A58" s="693" t="s">
        <v>2770</v>
      </c>
      <c r="B58" s="262">
        <f t="shared" ref="B58:B65" si="17">ROUND($C$48*C58*D58,0)</f>
        <v>0</v>
      </c>
      <c r="C58" s="200">
        <f t="shared" si="16"/>
        <v>0</v>
      </c>
      <c r="D58" s="1164">
        <v>0.25</v>
      </c>
      <c r="E58" s="694"/>
      <c r="F58" s="1103">
        <f t="shared" si="15"/>
        <v>0</v>
      </c>
      <c r="G58" s="3233"/>
      <c r="H58" s="1104">
        <f>项目基本情况!B37</f>
        <v>0</v>
      </c>
      <c r="I58" s="1108">
        <f>SUMIF(修正!A45:A56,H58,修正!C45:C56)</f>
        <v>0</v>
      </c>
      <c r="J58" s="1112"/>
      <c r="K58" s="1145"/>
      <c r="L58" s="941"/>
      <c r="M58" s="941"/>
      <c r="N58" s="941"/>
      <c r="O58" s="941"/>
    </row>
    <row r="59" spans="1:15" s="692" customFormat="1">
      <c r="A59" s="693" t="s">
        <v>2771</v>
      </c>
      <c r="B59" s="262">
        <f t="shared" si="17"/>
        <v>0</v>
      </c>
      <c r="C59" s="200">
        <f t="shared" si="16"/>
        <v>0</v>
      </c>
      <c r="D59" s="1164">
        <v>0.25</v>
      </c>
      <c r="E59" s="694"/>
      <c r="F59" s="1103">
        <f t="shared" si="15"/>
        <v>0</v>
      </c>
      <c r="G59" s="3233"/>
      <c r="H59" s="1104">
        <f>项目基本情况!B37</f>
        <v>0</v>
      </c>
      <c r="I59" s="1108">
        <f>SUMIF(修正!A45:A56,H59,修正!D45:D56)</f>
        <v>0</v>
      </c>
      <c r="J59" s="1112"/>
      <c r="K59" s="1144"/>
      <c r="L59" s="941"/>
      <c r="M59" s="941"/>
      <c r="N59" s="941"/>
      <c r="O59" s="941"/>
    </row>
    <row r="60" spans="1:15" s="692" customFormat="1">
      <c r="A60" s="693" t="s">
        <v>2772</v>
      </c>
      <c r="B60" s="262">
        <f t="shared" si="17"/>
        <v>0</v>
      </c>
      <c r="C60" s="200">
        <f t="shared" si="16"/>
        <v>0</v>
      </c>
      <c r="D60" s="1164">
        <v>0.25</v>
      </c>
      <c r="E60" s="694"/>
      <c r="F60" s="1103">
        <f t="shared" si="15"/>
        <v>0</v>
      </c>
      <c r="G60" s="3233"/>
      <c r="H60" s="1104">
        <f>项目基本情况!B37</f>
        <v>0</v>
      </c>
      <c r="I60" s="1108">
        <f>SUMIF(修正!A45:A56,H60,修正!E45:E56)</f>
        <v>0</v>
      </c>
      <c r="J60" s="1112"/>
      <c r="K60" s="1145"/>
      <c r="L60" s="941"/>
      <c r="M60" s="941"/>
      <c r="N60" s="941"/>
      <c r="O60" s="941"/>
    </row>
    <row r="61" spans="1:15" s="692" customFormat="1">
      <c r="A61" s="693" t="s">
        <v>2773</v>
      </c>
      <c r="B61" s="262">
        <f t="shared" si="17"/>
        <v>0</v>
      </c>
      <c r="C61" s="200">
        <f t="shared" si="16"/>
        <v>0</v>
      </c>
      <c r="D61" s="1164">
        <v>0.25</v>
      </c>
      <c r="E61" s="261">
        <f>'数据-汇总表'!E11</f>
        <v>0</v>
      </c>
      <c r="F61" s="1103">
        <f t="shared" si="15"/>
        <v>0</v>
      </c>
      <c r="G61" s="2711" t="s">
        <v>2774</v>
      </c>
      <c r="H61" s="1104">
        <f>项目基本情况!C37</f>
        <v>0</v>
      </c>
      <c r="I61" s="1108">
        <f>SUMIF(修正!A45:A56,H61,修正!F45:F56)</f>
        <v>0</v>
      </c>
      <c r="J61" s="1112"/>
      <c r="K61" s="1144"/>
      <c r="L61" s="941"/>
      <c r="M61" s="941"/>
      <c r="N61" s="941"/>
      <c r="O61" s="941"/>
    </row>
    <row r="62" spans="1:15" s="692" customFormat="1">
      <c r="A62" s="693"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2777</v>
      </c>
      <c r="B63" s="262">
        <f t="shared" si="17"/>
        <v>0</v>
      </c>
      <c r="C63" s="200">
        <f t="shared" si="16"/>
        <v>0</v>
      </c>
      <c r="D63" s="1164">
        <v>0.25</v>
      </c>
      <c r="E63" s="261">
        <f>'数据-汇总表'!E13</f>
        <v>0</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2779</v>
      </c>
      <c r="B64" s="262">
        <f t="shared" si="17"/>
        <v>0</v>
      </c>
      <c r="C64" s="200">
        <f t="shared" si="16"/>
        <v>0</v>
      </c>
      <c r="D64" s="1164">
        <v>0.25</v>
      </c>
      <c r="E64" s="261">
        <f>'数据-汇总表'!E14</f>
        <v>0</v>
      </c>
      <c r="F64" s="1103">
        <f t="shared" si="15"/>
        <v>0</v>
      </c>
      <c r="G64" s="2711" t="s">
        <v>2769</v>
      </c>
      <c r="H64" s="1104">
        <f>项目基本情况!B37</f>
        <v>0</v>
      </c>
      <c r="I64" s="1108">
        <f>SUMIF(修正!A45:A56,H64,修正!H45:H56)</f>
        <v>0</v>
      </c>
      <c r="J64" s="1112"/>
      <c r="K64" s="1145"/>
      <c r="L64" s="941"/>
      <c r="M64" s="941"/>
      <c r="N64" s="941"/>
      <c r="O64" s="941"/>
    </row>
    <row r="65" spans="1:17" s="692" customFormat="1" ht="15" thickBot="1">
      <c r="A65" s="693" t="s">
        <v>2780</v>
      </c>
      <c r="B65" s="262">
        <f t="shared" si="17"/>
        <v>0</v>
      </c>
      <c r="C65" s="200">
        <f t="shared" si="16"/>
        <v>0</v>
      </c>
      <c r="D65" s="1164">
        <v>0.25</v>
      </c>
      <c r="E65" s="261">
        <f>'数据-汇总表'!E15</f>
        <v>0</v>
      </c>
      <c r="F65" s="1103">
        <f t="shared" si="15"/>
        <v>0</v>
      </c>
      <c r="G65" s="2712" t="s">
        <v>2774</v>
      </c>
      <c r="H65" s="1114">
        <f>项目基本情况!C37</f>
        <v>0</v>
      </c>
      <c r="I65" s="1110">
        <f>SUMIF(修正!A45:A56,H65,修正!H45:H56)</f>
        <v>0</v>
      </c>
      <c r="J65" s="1113"/>
      <c r="K65" s="1144"/>
      <c r="L65" s="941"/>
      <c r="M65" s="941"/>
      <c r="N65" s="941"/>
      <c r="O65" s="941"/>
    </row>
    <row r="66" spans="1:17" s="692" customFormat="1" ht="13.5" thickBot="1">
      <c r="A66" s="695" t="s">
        <v>2781</v>
      </c>
      <c r="B66" s="696" t="s">
        <v>28</v>
      </c>
      <c r="C66" s="696" t="s">
        <v>29</v>
      </c>
      <c r="D66" s="696" t="s">
        <v>1026</v>
      </c>
      <c r="E66" s="696">
        <f>IF(B46="楼面地价",SUM(E56:E65),'数据-汇总表'!D3)</f>
        <v>33112.840000000157</v>
      </c>
      <c r="F66" s="697">
        <f>IF(B46="楼面地价",SUM(F56:F65),ROUND(C48*E66/10000,0))</f>
        <v>8659</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2674</v>
      </c>
      <c r="B69" s="759"/>
      <c r="C69" s="764"/>
      <c r="D69" s="764"/>
      <c r="E69" s="764"/>
      <c r="F69" s="765"/>
      <c r="G69" s="765"/>
      <c r="H69" s="764"/>
      <c r="I69" s="764"/>
      <c r="J69" s="1159"/>
      <c r="K69" s="1160"/>
      <c r="L69" s="1161"/>
      <c r="M69" s="1159"/>
      <c r="N69" s="1159"/>
      <c r="O69" s="1159"/>
      <c r="P69" s="503"/>
      <c r="Q69" s="504"/>
    </row>
    <row r="70" spans="1:17" s="508" customFormat="1" ht="15">
      <c r="A70" s="2713" t="s">
        <v>2782</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4" t="s">
        <v>1373</v>
      </c>
      <c r="B71" s="332" t="str">
        <f>"北京市平均增长率"&amp;TEXT(SUMIF(基准地价修正!N21:N25,A71,基准地价修正!P21:P25),"0.00%")</f>
        <v>北京市平均增长率1.46%</v>
      </c>
      <c r="C71" s="603">
        <v>100</v>
      </c>
      <c r="D71" s="3288">
        <v>98.5</v>
      </c>
      <c r="E71" s="3288">
        <v>97</v>
      </c>
      <c r="F71" s="3288">
        <v>95.5</v>
      </c>
      <c r="G71" s="3288">
        <v>94</v>
      </c>
      <c r="H71" s="3288">
        <v>92.5</v>
      </c>
      <c r="I71" s="3288">
        <v>91</v>
      </c>
      <c r="J71" s="3288">
        <v>89.5</v>
      </c>
      <c r="K71" s="3288">
        <v>88</v>
      </c>
      <c r="L71" s="3288">
        <v>86.5</v>
      </c>
      <c r="M71" s="3288">
        <v>85</v>
      </c>
      <c r="N71" s="3288">
        <v>83.5</v>
      </c>
      <c r="O71" s="1568"/>
      <c r="P71" s="504"/>
    </row>
    <row r="72" spans="1:17" s="117" customFormat="1" ht="15.75" thickBot="1">
      <c r="A72" s="515" t="s">
        <v>2585</v>
      </c>
      <c r="B72" s="516"/>
      <c r="C72" s="517"/>
      <c r="D72" s="518"/>
      <c r="E72" s="518"/>
      <c r="F72" s="518"/>
      <c r="G72" s="518"/>
      <c r="H72" s="518"/>
      <c r="I72" s="518"/>
      <c r="J72" s="518"/>
      <c r="K72" s="518"/>
      <c r="L72" s="518"/>
      <c r="M72" s="519"/>
      <c r="N72" s="518"/>
      <c r="O72" s="1162"/>
      <c r="P72" s="504"/>
      <c r="Q72" s="504"/>
    </row>
    <row r="73" spans="1:17" s="117" customFormat="1" ht="15">
      <c r="A73" s="521" t="s">
        <v>2550</v>
      </c>
      <c r="B73" s="510"/>
      <c r="C73" s="522" t="s">
        <v>2652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2588</v>
      </c>
      <c r="B75" s="528" t="s">
        <v>2554</v>
      </c>
      <c r="C75" s="3287" t="s">
        <v>3779</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2557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2558</v>
      </c>
      <c r="C79" s="547" t="str">
        <f>C80&amp;"（含）"&amp;"-"&amp;D80</f>
        <v>1（含）-2</v>
      </c>
      <c r="D79" s="547" t="str">
        <f t="shared" ref="D79:L79" si="20">D80&amp;"（含）"&amp;"-"&amp;E80</f>
        <v>2（含）-3</v>
      </c>
      <c r="E79" s="547" t="str">
        <f t="shared" si="20"/>
        <v>3（含）-4</v>
      </c>
      <c r="F79" s="547" t="str">
        <f t="shared" si="20"/>
        <v>4（含）-5</v>
      </c>
      <c r="G79" s="547" t="str">
        <f t="shared" si="20"/>
        <v>5（含）-6</v>
      </c>
      <c r="H79" s="547" t="str">
        <f t="shared" si="20"/>
        <v>6（含）-7</v>
      </c>
      <c r="I79" s="547" t="str">
        <f t="shared" si="20"/>
        <v>7（含）-8</v>
      </c>
      <c r="J79" s="547" t="str">
        <f t="shared" si="20"/>
        <v>8（含）-9</v>
      </c>
      <c r="K79" s="547" t="str">
        <f t="shared" si="20"/>
        <v>9（含）-10</v>
      </c>
      <c r="L79" s="547" t="str">
        <f t="shared" si="20"/>
        <v>10（含）-11</v>
      </c>
      <c r="M79" s="448" t="str">
        <f>M80&amp;"（含）"&amp;"-"&amp;P80</f>
        <v>11（含）-</v>
      </c>
      <c r="N79" s="1153"/>
      <c r="O79" s="1153"/>
      <c r="P79" s="45"/>
      <c r="Q79" s="504"/>
    </row>
    <row r="80" spans="1:17" ht="15">
      <c r="A80" s="534"/>
      <c r="B80" s="548"/>
      <c r="C80" s="549">
        <v>1</v>
      </c>
      <c r="D80" s="549">
        <v>2</v>
      </c>
      <c r="E80" s="549">
        <v>3</v>
      </c>
      <c r="F80" s="549">
        <v>4</v>
      </c>
      <c r="G80" s="549">
        <v>5</v>
      </c>
      <c r="H80" s="549">
        <v>6</v>
      </c>
      <c r="I80" s="549">
        <v>7</v>
      </c>
      <c r="J80" s="549">
        <v>8</v>
      </c>
      <c r="K80" s="549">
        <v>9</v>
      </c>
      <c r="L80" s="549">
        <v>10</v>
      </c>
      <c r="M80" s="549">
        <v>11</v>
      </c>
      <c r="N80" s="1152"/>
      <c r="O80" s="1152"/>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3"/>
      <c r="O81" s="1153"/>
      <c r="P81" s="45"/>
      <c r="Q81" s="504"/>
    </row>
    <row r="82" spans="1:17" s="471" customFormat="1" ht="15.75" thickTop="1">
      <c r="A82" s="553"/>
      <c r="B82" s="538" t="str">
        <f>B12</f>
        <v>配建</v>
      </c>
      <c r="C82" s="3289" t="s">
        <v>3780</v>
      </c>
      <c r="D82" s="3290" t="s">
        <v>3781</v>
      </c>
      <c r="E82" s="3289" t="s">
        <v>3782</v>
      </c>
      <c r="F82" s="3289" t="s">
        <v>3783</v>
      </c>
      <c r="G82" s="554"/>
      <c r="H82" s="555"/>
      <c r="I82" s="555"/>
      <c r="J82" s="555"/>
      <c r="K82" s="555"/>
      <c r="L82" s="556"/>
      <c r="M82" s="557"/>
      <c r="N82" s="1154"/>
      <c r="O82" s="1154"/>
      <c r="P82" s="558"/>
      <c r="Q82" s="559"/>
    </row>
    <row r="83" spans="1:17" s="471" customFormat="1" ht="15.75" thickBot="1">
      <c r="A83" s="553"/>
      <c r="B83" s="543"/>
      <c r="C83" s="560">
        <v>100</v>
      </c>
      <c r="D83" s="560">
        <v>95</v>
      </c>
      <c r="E83" s="560">
        <v>90</v>
      </c>
      <c r="F83" s="560">
        <v>85</v>
      </c>
      <c r="G83" s="536"/>
      <c r="H83" s="536"/>
      <c r="I83" s="536"/>
      <c r="J83" s="536"/>
      <c r="K83" s="536"/>
      <c r="L83" s="536"/>
      <c r="M83" s="537"/>
      <c r="N83" s="1153"/>
      <c r="O83" s="1153"/>
      <c r="P83" s="558"/>
      <c r="Q83" s="559"/>
    </row>
    <row r="84" spans="1:17" s="471" customFormat="1" ht="15.75" thickTop="1">
      <c r="A84" s="553"/>
      <c r="B84" s="538">
        <f>B13</f>
        <v>111</v>
      </c>
      <c r="C84" s="3289" t="s">
        <v>3784</v>
      </c>
      <c r="D84" s="3289" t="s">
        <v>3781</v>
      </c>
      <c r="E84" s="554"/>
      <c r="F84" s="554"/>
      <c r="G84" s="554"/>
      <c r="H84" s="555"/>
      <c r="I84" s="555"/>
      <c r="J84" s="555"/>
      <c r="K84" s="555"/>
      <c r="L84" s="556"/>
      <c r="M84" s="557"/>
      <c r="N84" s="1154"/>
      <c r="O84" s="1154"/>
      <c r="P84" s="470"/>
      <c r="Q84" s="561"/>
    </row>
    <row r="85" spans="1:17" s="471" customFormat="1" ht="15.75" thickBot="1">
      <c r="A85" s="553"/>
      <c r="B85" s="543"/>
      <c r="C85" s="560">
        <v>100</v>
      </c>
      <c r="D85" s="560">
        <v>90</v>
      </c>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2597</v>
      </c>
      <c r="D90" s="578" t="s">
        <v>2598</v>
      </c>
      <c r="E90" s="578" t="s">
        <v>2599</v>
      </c>
      <c r="F90" s="578" t="s">
        <v>2600</v>
      </c>
      <c r="G90" s="578" t="s">
        <v>2601</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2"/>
      <c r="O94" s="1152"/>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3"/>
      <c r="O95" s="1153"/>
      <c r="P95" s="45"/>
      <c r="Q95" s="504"/>
    </row>
    <row r="96" spans="1:17" s="117" customFormat="1" ht="15.75" thickTop="1">
      <c r="A96" s="579"/>
      <c r="B96" s="538" t="s">
        <v>2784</v>
      </c>
      <c r="C96" s="578" t="s">
        <v>2597</v>
      </c>
      <c r="D96" s="578" t="s">
        <v>2598</v>
      </c>
      <c r="E96" s="578" t="s">
        <v>2599</v>
      </c>
      <c r="F96" s="578" t="s">
        <v>2600</v>
      </c>
      <c r="G96" s="578" t="s">
        <v>2601</v>
      </c>
      <c r="H96" s="578"/>
      <c r="I96" s="578"/>
      <c r="J96" s="578"/>
      <c r="K96" s="578"/>
      <c r="L96" s="698"/>
      <c r="M96" s="622"/>
      <c r="N96" s="1151"/>
      <c r="O96" s="1151"/>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3"/>
      <c r="O97" s="1153"/>
      <c r="P97" s="45"/>
      <c r="Q97" s="504"/>
    </row>
    <row r="98" spans="1:17" s="117" customFormat="1" ht="27.75" thickTop="1">
      <c r="A98" s="579"/>
      <c r="B98" s="538" t="s">
        <v>2785</v>
      </c>
      <c r="C98" s="573" t="s">
        <v>2597</v>
      </c>
      <c r="D98" s="573" t="s">
        <v>2598</v>
      </c>
      <c r="E98" s="573" t="s">
        <v>2599</v>
      </c>
      <c r="F98" s="573" t="s">
        <v>2600</v>
      </c>
      <c r="G98" s="573" t="s">
        <v>2601</v>
      </c>
      <c r="H98" s="578"/>
      <c r="I98" s="578"/>
      <c r="J98" s="578"/>
      <c r="K98" s="578"/>
      <c r="L98" s="578"/>
      <c r="M98" s="622"/>
      <c r="N98" s="1151"/>
      <c r="O98" s="1151"/>
      <c r="P98" s="45"/>
      <c r="Q98" s="504"/>
    </row>
    <row r="99" spans="1:17" s="117" customFormat="1" ht="15.75" thickBot="1">
      <c r="A99" s="579"/>
      <c r="B99" s="543"/>
      <c r="C99" s="544">
        <v>100</v>
      </c>
      <c r="D99" s="544">
        <f>C99-$K25</f>
        <v>95</v>
      </c>
      <c r="E99" s="544">
        <f>D99-$K25</f>
        <v>90</v>
      </c>
      <c r="F99" s="544">
        <f>E99-$K25</f>
        <v>85</v>
      </c>
      <c r="G99" s="544">
        <f>F99-$K25</f>
        <v>80</v>
      </c>
      <c r="H99" s="544"/>
      <c r="I99" s="544"/>
      <c r="J99" s="544"/>
      <c r="K99" s="544"/>
      <c r="L99" s="544"/>
      <c r="M99" s="545"/>
      <c r="N99" s="1153"/>
      <c r="O99" s="1153"/>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4"/>
      <c r="O100" s="1154"/>
      <c r="P100" s="558"/>
      <c r="Q100" s="559"/>
    </row>
    <row r="101" spans="1:17" s="471" customFormat="1" ht="15.75" thickBot="1">
      <c r="A101" s="553"/>
      <c r="B101" s="543"/>
      <c r="C101" s="544">
        <v>100</v>
      </c>
      <c r="D101" s="544">
        <f>C101-$K27</f>
        <v>95</v>
      </c>
      <c r="E101" s="544">
        <f>D101-$K27</f>
        <v>90</v>
      </c>
      <c r="F101" s="544">
        <f>E101-$K27</f>
        <v>85</v>
      </c>
      <c r="G101" s="544">
        <f>F101-$K27</f>
        <v>80</v>
      </c>
      <c r="H101" s="607"/>
      <c r="I101" s="607"/>
      <c r="J101" s="607"/>
      <c r="K101" s="607"/>
      <c r="L101" s="607"/>
      <c r="M101" s="608"/>
      <c r="N101" s="1154"/>
      <c r="O101" s="1154"/>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2691</v>
      </c>
      <c r="C106" s="3289" t="s">
        <v>3785</v>
      </c>
      <c r="D106" s="3289" t="s">
        <v>3786</v>
      </c>
      <c r="E106" s="3289" t="s">
        <v>3651</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2750</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2563</v>
      </c>
      <c r="B116" s="528" t="s">
        <v>2790</v>
      </c>
      <c r="C116" s="529" t="str">
        <f>C117&amp;"(含)"&amp;"-"&amp;D117</f>
        <v>0(含)-500000</v>
      </c>
      <c r="D116" s="529" t="str">
        <f t="shared" ref="D116:M116" si="25">D117&amp;"(含)"&amp;"-"&amp;E117</f>
        <v>500000(含)-100000</v>
      </c>
      <c r="E116" s="529" t="str">
        <f t="shared" si="25"/>
        <v>100000(含)-150000</v>
      </c>
      <c r="F116" s="529" t="str">
        <f t="shared" si="25"/>
        <v>150000(含)-200000</v>
      </c>
      <c r="G116" s="529" t="str">
        <f t="shared" si="25"/>
        <v>200000(含)-250000</v>
      </c>
      <c r="H116" s="529" t="str">
        <f t="shared" si="25"/>
        <v>250000(含)-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500000</v>
      </c>
      <c r="E117" s="595">
        <v>100000</v>
      </c>
      <c r="F117" s="595">
        <v>150000</v>
      </c>
      <c r="G117" s="595">
        <v>200000</v>
      </c>
      <c r="H117" s="595">
        <v>250000</v>
      </c>
      <c r="I117" s="595"/>
      <c r="J117" s="596"/>
      <c r="K117" s="596"/>
      <c r="L117" s="597"/>
      <c r="M117" s="598"/>
      <c r="N117" s="1152"/>
      <c r="O117" s="1152"/>
      <c r="P117" s="45"/>
      <c r="Q117" s="504"/>
    </row>
    <row r="118" spans="1:17" ht="15.75" thickBot="1">
      <c r="A118" s="534"/>
      <c r="B118" s="543"/>
      <c r="C118" s="3291">
        <v>100</v>
      </c>
      <c r="D118" s="3292">
        <v>102</v>
      </c>
      <c r="E118" s="3291">
        <v>104</v>
      </c>
      <c r="F118" s="3292">
        <v>106</v>
      </c>
      <c r="G118" s="3291">
        <v>108</v>
      </c>
      <c r="H118" s="3292">
        <v>110</v>
      </c>
      <c r="I118" s="591"/>
      <c r="J118" s="591"/>
      <c r="K118" s="591"/>
      <c r="L118" s="591"/>
      <c r="M118" s="592"/>
      <c r="N118" s="1153"/>
      <c r="O118" s="1153"/>
      <c r="P118" s="45"/>
      <c r="Q118" s="504"/>
    </row>
    <row r="119" spans="1:17" ht="15" thickTop="1">
      <c r="A119" s="599"/>
      <c r="B119" s="538" t="s">
        <v>2791</v>
      </c>
      <c r="C119" s="583" t="s">
        <v>3652</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3"/>
      <c r="O120" s="1153"/>
      <c r="P120" s="45"/>
      <c r="Q120" s="504"/>
    </row>
    <row r="121" spans="1:17" ht="15" thickTop="1">
      <c r="A121" s="599"/>
      <c r="B121" s="538" t="s">
        <v>2792</v>
      </c>
      <c r="C121" s="554" t="s">
        <v>3653</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2793</v>
      </c>
      <c r="C123" s="554" t="s">
        <v>3787</v>
      </c>
      <c r="D123" s="554" t="s">
        <v>3654</v>
      </c>
      <c r="E123" s="554" t="s">
        <v>3788</v>
      </c>
      <c r="F123" s="554" t="s">
        <v>3789</v>
      </c>
      <c r="G123" s="554" t="s">
        <v>3790</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2794</v>
      </c>
      <c r="C125" s="554" t="s">
        <v>3648</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7" sqref="C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1"/>
      <c r="C1" s="1582"/>
      <c r="D1" s="1580"/>
      <c r="E1" s="320"/>
      <c r="F1" s="320"/>
      <c r="G1" s="1581"/>
      <c r="H1" s="320"/>
      <c r="I1" s="320"/>
      <c r="J1" s="320"/>
      <c r="K1" s="320">
        <f>MATCH(C1,'数据-取费表'!A6:A16,0)+5</f>
        <v>7</v>
      </c>
    </row>
    <row r="2" spans="1:33" ht="18" customHeight="1">
      <c r="A2" s="245" t="s">
        <v>2330</v>
      </c>
      <c r="B2" s="248">
        <f ca="1">C32</f>
        <v>24319</v>
      </c>
      <c r="C2" s="320" t="s">
        <v>2463</v>
      </c>
      <c r="D2" s="320"/>
      <c r="E2" s="320"/>
      <c r="F2" s="320"/>
      <c r="G2" s="320"/>
      <c r="H2" s="320"/>
      <c r="I2" s="320"/>
      <c r="J2" s="320"/>
      <c r="K2" s="320"/>
    </row>
    <row r="3" spans="1:33" ht="18" customHeight="1" thickBot="1">
      <c r="A3" s="247" t="s">
        <v>2332</v>
      </c>
      <c r="B3" s="248">
        <f ca="1">ROUND(B2*10000/IF(C1="",'数据-汇总表'!E3,INDIRECT("'数据-取费表'!K"&amp;$K$1)),0)</f>
        <v>7344</v>
      </c>
      <c r="C3" s="320" t="s">
        <v>2464</v>
      </c>
      <c r="D3" s="320"/>
      <c r="E3" s="320"/>
      <c r="F3" s="320"/>
      <c r="G3" s="320"/>
      <c r="H3" s="320"/>
      <c r="I3" s="320"/>
      <c r="J3" s="320"/>
      <c r="K3" s="320"/>
    </row>
    <row r="4" spans="1:33" s="956" customFormat="1" ht="16.5" customHeight="1">
      <c r="A4" s="953" t="s">
        <v>2465</v>
      </c>
      <c r="B4" s="954"/>
      <c r="C4" s="996">
        <f>SUM(C8:K8)</f>
        <v>39603</v>
      </c>
      <c r="D4" s="954"/>
      <c r="E4" s="954"/>
      <c r="F4" s="954"/>
      <c r="G4" s="954"/>
      <c r="H4" s="954"/>
      <c r="I4" s="954"/>
      <c r="J4" s="954"/>
      <c r="K4" s="955"/>
    </row>
    <row r="5" spans="1:33" s="960" customFormat="1" ht="15">
      <c r="A5" s="957" t="s">
        <v>2466</v>
      </c>
      <c r="B5" s="958" t="s">
        <v>2467</v>
      </c>
      <c r="C5" s="2558" t="s">
        <v>3070</v>
      </c>
      <c r="D5" s="2558"/>
      <c r="E5" s="2558"/>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f>'比较法-住宅'!B3</f>
        <v>11960</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33112.840000000157</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2471</v>
      </c>
      <c r="B8" s="177" t="s">
        <v>2472</v>
      </c>
      <c r="C8" s="997">
        <f>'比较法-住宅'!B2</f>
        <v>39603</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1330</v>
      </c>
      <c r="B11" s="972" t="s">
        <v>2480</v>
      </c>
      <c r="C11" s="323">
        <f ca="1">IF(C1="",'数据-取费表'!P16,INDIRECT("'数据-取费表'!p"&amp;$K$1)+INDIRECT("'数据-取费表'!ar"&amp;$K$1))</f>
        <v>4636</v>
      </c>
      <c r="D11" s="973"/>
      <c r="E11" s="375"/>
      <c r="F11" s="974">
        <f ca="1">1-IF('数据-取费表'!B24=0,1,IF(C1="",'数据-取费表'!N16,INDIRECT("'数据-取费表'!n"&amp;$K$1)))</f>
        <v>0.4</v>
      </c>
      <c r="G11" s="8"/>
      <c r="H11" s="968"/>
      <c r="I11" s="968"/>
      <c r="J11" s="968"/>
      <c r="K11" s="969"/>
    </row>
    <row r="12" spans="1:33" s="975" customFormat="1" ht="13.5" customHeight="1">
      <c r="A12" s="971" t="s">
        <v>1331</v>
      </c>
      <c r="B12" s="972" t="s">
        <v>2481</v>
      </c>
      <c r="C12" s="24">
        <f ca="1">ROUND(C11*F12,0)</f>
        <v>139</v>
      </c>
      <c r="D12" s="973"/>
      <c r="E12" s="375"/>
      <c r="F12" s="976">
        <f>'数据-取费表'!B33</f>
        <v>0.03</v>
      </c>
      <c r="G12" s="8" t="s">
        <v>2482</v>
      </c>
      <c r="H12" s="968"/>
      <c r="I12" s="968"/>
      <c r="J12" s="968"/>
      <c r="K12" s="969"/>
    </row>
    <row r="13" spans="1:33" s="975" customFormat="1" ht="13.5" customHeight="1">
      <c r="A13" s="971" t="s">
        <v>1332</v>
      </c>
      <c r="B13" s="972" t="s">
        <v>2483</v>
      </c>
      <c r="C13" s="24">
        <f ca="1">ROUND(IF(C1="",SUMIF('数据-取费表'!C:C,"住宅",'数据-取费表'!P:P)*F13,IF(INDIRECT("'数据-取费表'!c"&amp;$K$1)="住宅",INDIRECT("'数据-取费表'!P"&amp;$K$1)*F13,0)),0)</f>
        <v>0</v>
      </c>
      <c r="D13" s="1033"/>
      <c r="E13" s="375"/>
      <c r="F13" s="976">
        <f>'数据-取费表'!B34</f>
        <v>0</v>
      </c>
      <c r="G13" s="8" t="s">
        <v>2484</v>
      </c>
      <c r="H13" s="968"/>
      <c r="I13" s="968"/>
      <c r="J13" s="968"/>
      <c r="K13" s="969"/>
    </row>
    <row r="14" spans="1:33" s="977" customFormat="1" ht="13.5" customHeight="1">
      <c r="A14" s="971" t="s">
        <v>1333</v>
      </c>
      <c r="B14" s="972" t="s">
        <v>2485</v>
      </c>
      <c r="C14" s="24">
        <f ca="1">ROUND(D14*E14*F11/10000,0)</f>
        <v>265</v>
      </c>
      <c r="D14" s="1033">
        <f ca="1">IF(C1="",'数据-汇总表'!E3,INDIRECT("'数据-取费表'!K"&amp;$K$1)+INDIRECT("'数据-取费表'!S"&amp;$K$1))</f>
        <v>33112.840000000157</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2487</v>
      </c>
      <c r="C15" s="983">
        <f ca="1">ROUND(C11*F15,0)</f>
        <v>70</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5110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33112.840000000157</v>
      </c>
      <c r="E17" s="24">
        <f>'数据-取费表'!B32</f>
        <v>0</v>
      </c>
      <c r="F17" s="978"/>
      <c r="G17" s="140" t="s">
        <v>2491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2492</v>
      </c>
      <c r="C18" s="24">
        <f ca="1">C19+C20-IF(C1="",'数据-取费表'!B29,IF(G18="已全部缴纳",C19+C20,H18))</f>
        <v>331</v>
      </c>
      <c r="D18" s="1033"/>
      <c r="E18" s="24"/>
      <c r="F18" s="976"/>
      <c r="G18" s="2560"/>
      <c r="H18" s="1577"/>
      <c r="I18" s="2561" t="s">
        <v>2493</v>
      </c>
      <c r="J18" s="979"/>
      <c r="K18" s="980"/>
    </row>
    <row r="19" spans="1:33" s="975" customFormat="1" ht="13.5" customHeight="1">
      <c r="A19" s="971" t="s">
        <v>805</v>
      </c>
      <c r="B19" s="972" t="s">
        <v>2494</v>
      </c>
      <c r="C19" s="24">
        <f ca="1">ROUND(D19*E19/10000,0)</f>
        <v>0</v>
      </c>
      <c r="D19" s="1033">
        <f ca="1">IF(C1="",'数据-汇总表'!E5,IF(INDIRECT("'数据-取费表'!c"&amp;$K$1)="住宅",INDIRECT("'数据-取费表'!k"&amp;$K$1),0))</f>
        <v>0</v>
      </c>
      <c r="E19" s="24">
        <f>'数据-取费表'!B27</f>
        <v>100</v>
      </c>
      <c r="F19" s="976"/>
      <c r="G19" s="15"/>
      <c r="H19" s="1579"/>
      <c r="I19" s="981"/>
      <c r="J19" s="981"/>
      <c r="K19" s="982"/>
    </row>
    <row r="20" spans="1:33" s="975" customFormat="1" ht="13.5" customHeight="1">
      <c r="A20" s="971" t="s">
        <v>806</v>
      </c>
      <c r="B20" s="972" t="s">
        <v>2495</v>
      </c>
      <c r="C20" s="24">
        <f ca="1">ROUND(D20*E20/10000,0)</f>
        <v>331</v>
      </c>
      <c r="D20" s="1033">
        <f ca="1">IF(C1="",'数据-汇总表'!E6,IF(INDIRECT("'数据-取费表'!c"&amp;$K$1)="住宅",INDIRECT("'数据-取费表'!s"&amp;$K$1),INDIRECT("'数据-取费表'!k"&amp;$K$1)+INDIRECT("'数据-取费表'!s"&amp;$K$1)))</f>
        <v>33112.840000000157</v>
      </c>
      <c r="E20" s="24">
        <f>'数据-取费表'!B28</f>
        <v>100</v>
      </c>
      <c r="F20" s="976"/>
      <c r="G20" s="15"/>
      <c r="H20" s="981"/>
      <c r="I20" s="981"/>
      <c r="J20" s="981"/>
      <c r="K20" s="982"/>
    </row>
    <row r="21" spans="1:33" s="975" customFormat="1" ht="13.5" customHeight="1">
      <c r="A21" s="961" t="s">
        <v>802</v>
      </c>
      <c r="B21" s="985" t="s">
        <v>2496</v>
      </c>
      <c r="C21" s="986">
        <f ca="1">C16+C17+C18</f>
        <v>5441</v>
      </c>
      <c r="D21" s="987"/>
      <c r="E21" s="325"/>
      <c r="F21" s="325"/>
      <c r="G21" s="140" t="s">
        <v>2497</v>
      </c>
      <c r="H21" s="979"/>
      <c r="I21" s="979"/>
      <c r="J21" s="979"/>
      <c r="K21" s="980"/>
    </row>
    <row r="22" spans="1:33" s="975" customFormat="1" ht="13.5" customHeight="1">
      <c r="A22" s="961" t="s">
        <v>2469</v>
      </c>
      <c r="B22" s="985" t="s">
        <v>2498</v>
      </c>
      <c r="C22" s="986">
        <f ca="1">ROUND(C21*F22,0)</f>
        <v>109</v>
      </c>
      <c r="D22" s="325"/>
      <c r="E22" s="325"/>
      <c r="F22" s="988">
        <f>'数据-取费表'!B37</f>
        <v>0.02</v>
      </c>
      <c r="G22" s="8" t="s">
        <v>2499</v>
      </c>
      <c r="H22" s="968"/>
      <c r="I22" s="968"/>
      <c r="J22" s="968"/>
      <c r="K22" s="969"/>
    </row>
    <row r="23" spans="1:33" s="975" customFormat="1" ht="13.5" customHeight="1">
      <c r="A23" s="961" t="s">
        <v>2471</v>
      </c>
      <c r="B23" s="985" t="s">
        <v>2500</v>
      </c>
      <c r="C23" s="986">
        <f ca="1">ROUND(C4*F23*F11,0)</f>
        <v>475</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3.8600000000000002E-2</v>
      </c>
      <c r="D24" s="325" t="s">
        <v>15</v>
      </c>
      <c r="E24" s="325"/>
      <c r="F24" s="988">
        <f>'数据-取费表'!B48+'数据-取费表'!B49</f>
        <v>4.0500000000000001E-2</v>
      </c>
      <c r="G24" s="8" t="s">
        <v>2504</v>
      </c>
      <c r="H24" s="990"/>
      <c r="I24" s="990"/>
      <c r="J24" s="990"/>
      <c r="K24" s="991"/>
    </row>
    <row r="25" spans="1:33" s="975" customFormat="1" ht="13.5" customHeight="1">
      <c r="A25" s="961" t="s">
        <v>2505</v>
      </c>
      <c r="B25" s="987" t="s">
        <v>2506</v>
      </c>
      <c r="C25" s="1356">
        <f ca="1">C27</f>
        <v>228</v>
      </c>
      <c r="D25" s="324">
        <f ca="1">C26</f>
        <v>8.0100000000000005E-2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8.0100000000000005E-2</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228</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2509</v>
      </c>
      <c r="B28" s="2563" t="s">
        <v>2510</v>
      </c>
      <c r="C28" s="331">
        <f ca="1">C30</f>
        <v>1506</v>
      </c>
      <c r="D28" s="324">
        <f ca="1">C29</f>
        <v>0.10390000000000001</v>
      </c>
      <c r="E28" s="326" t="s">
        <v>15</v>
      </c>
      <c r="F28" s="332">
        <f ca="1">IF(C1="",'数据-取费表'!Q16,INDIRECT("'数据-取费表'!q"&amp;$K$1))</f>
        <v>0.25</v>
      </c>
      <c r="G28" s="989"/>
      <c r="H28" s="990"/>
      <c r="I28" s="990"/>
      <c r="J28" s="990"/>
      <c r="K28" s="991"/>
    </row>
    <row r="29" spans="1:33" s="335" customFormat="1" ht="13.5" customHeight="1">
      <c r="A29" s="971" t="s">
        <v>803</v>
      </c>
      <c r="B29" s="994" t="s">
        <v>2511</v>
      </c>
      <c r="C29" s="328">
        <f ca="1">ROUND((1+C24)*F28*'数据-取费表'!B24/'数据-取费表'!B20,4)</f>
        <v>0.10390000000000001</v>
      </c>
      <c r="D29" s="328"/>
      <c r="E29" s="329"/>
      <c r="F29" s="334"/>
      <c r="G29" s="140" t="s">
        <v>2512</v>
      </c>
      <c r="H29" s="979"/>
      <c r="I29" s="979"/>
      <c r="J29" s="979"/>
      <c r="K29" s="980"/>
    </row>
    <row r="30" spans="1:33" s="335" customFormat="1" ht="13.5" customHeight="1">
      <c r="A30" s="971" t="s">
        <v>804</v>
      </c>
      <c r="B30" s="994" t="s">
        <v>2513</v>
      </c>
      <c r="C30" s="336">
        <f ca="1">ROUND((C21+C22+C23)*F28,0)</f>
        <v>1506</v>
      </c>
      <c r="D30" s="328"/>
      <c r="E30" s="329"/>
      <c r="F30" s="334"/>
      <c r="G30" s="140"/>
      <c r="H30" s="979"/>
      <c r="I30" s="979"/>
      <c r="J30" s="979"/>
      <c r="K30" s="980"/>
    </row>
    <row r="31" spans="1:33" s="975" customFormat="1" ht="13.5" customHeight="1" thickBot="1">
      <c r="A31" s="2564" t="s">
        <v>2514</v>
      </c>
      <c r="B31" s="1005" t="s">
        <v>2515</v>
      </c>
      <c r="C31" s="1006">
        <f>ROUND(C4*F31/(1+'数据-取费表'!C42),0)</f>
        <v>2112</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24319</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t="e">
        <f ca="1">C40+J29+L46</f>
        <v>#DIV/0!</v>
      </c>
      <c r="C2" s="1845" t="s">
        <v>1512</v>
      </c>
      <c r="D2" s="1845"/>
      <c r="E2" s="1846"/>
      <c r="F2" s="1847"/>
      <c r="G2" s="1848"/>
      <c r="H2" s="1840"/>
      <c r="I2" s="1840"/>
      <c r="J2" s="1840"/>
      <c r="K2" s="1841"/>
      <c r="L2" s="1840"/>
      <c r="M2" s="1840"/>
    </row>
    <row r="3" spans="1:37" ht="18" customHeight="1" thickBot="1">
      <c r="A3" s="1849" t="s">
        <v>1513</v>
      </c>
      <c r="B3" s="1850">
        <f ca="1">IF(ISERROR(B2*10000/F43),0,ROUND(B2*10000/F43,0))</f>
        <v>0</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0</v>
      </c>
      <c r="D5" s="1822" t="s">
        <v>1398</v>
      </c>
      <c r="E5" s="1293"/>
      <c r="F5" s="1294"/>
      <c r="G5" s="1851"/>
      <c r="H5" s="344">
        <v>1</v>
      </c>
      <c r="I5" s="345" t="s">
        <v>1397</v>
      </c>
      <c r="J5" s="1292">
        <f ca="1">J6+J10+J12</f>
        <v>0</v>
      </c>
      <c r="K5" s="1822" t="s">
        <v>1398</v>
      </c>
      <c r="L5" s="1293"/>
      <c r="M5" s="1294"/>
    </row>
    <row r="6" spans="1:37" ht="18" customHeight="1">
      <c r="A6" s="1291" t="s">
        <v>1032</v>
      </c>
      <c r="B6" s="3143" t="s">
        <v>1399</v>
      </c>
      <c r="C6" s="1296">
        <f ca="1">ROUND(F6*F8*F7*(1-F9)/10000,0)</f>
        <v>0</v>
      </c>
      <c r="D6" s="164" t="s">
        <v>3032</v>
      </c>
      <c r="E6" s="347" t="s">
        <v>1401</v>
      </c>
      <c r="F6" s="348">
        <f ca="1">INDIRECT("'数据-取费表'!u"&amp;$G$1)</f>
        <v>0</v>
      </c>
      <c r="G6" s="1851"/>
      <c r="H6" s="1291" t="s">
        <v>1032</v>
      </c>
      <c r="I6" s="3143" t="s">
        <v>1399</v>
      </c>
      <c r="J6" s="346">
        <f ca="1">ROUND(M6*M8*M7*(1-M9)/10000,0)</f>
        <v>0</v>
      </c>
      <c r="K6" s="164" t="s">
        <v>3031</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ROUND(F17*(F43+INDIRECT("'数据-取费表'!S"&amp;$G$1))/10000,0)</f>
        <v>0</v>
      </c>
      <c r="D17" s="347" t="s">
        <v>1423</v>
      </c>
      <c r="E17" s="347" t="s">
        <v>1424</v>
      </c>
      <c r="F17" s="26">
        <f>'数据-取费表'!B35</f>
        <v>200</v>
      </c>
      <c r="G17" s="1854"/>
      <c r="H17" s="1201" t="s">
        <v>1032</v>
      </c>
      <c r="I17" s="347" t="s">
        <v>1425</v>
      </c>
      <c r="J17" s="24">
        <f ca="1">ROUND(IF(项目基本情况!B11="自然人",J5*M17,J18+J19+J20),1)</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IF(K19="按租金收入计税",ROUND(J5*M19,2),ROUND(C29*M19*0.7,2))</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ROUND(M20*M21/10000,2)</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4</v>
      </c>
      <c r="G23" s="1854"/>
      <c r="H23" s="1201" t="s">
        <v>1072</v>
      </c>
      <c r="I23" s="347" t="s">
        <v>1449</v>
      </c>
      <c r="J23" s="24">
        <f ca="1">ROUND(J13*M23,1)</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2.8999999999999998E-3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ROUND(C13*F37,1)</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t="e">
        <f ca="1">C68-C40</f>
        <v>#DIV/0!</v>
      </c>
      <c r="D46" s="1872" t="str">
        <f>C2</f>
        <v>万元</v>
      </c>
      <c r="E46" s="1866"/>
      <c r="F46" s="1866"/>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368"/>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0</v>
      </c>
      <c r="D56" s="1914"/>
      <c r="E56" s="1915"/>
      <c r="F56" s="1907"/>
      <c r="I56" s="1916" t="s">
        <v>1550</v>
      </c>
      <c r="J56" s="1917"/>
      <c r="K56" s="1887" t="s">
        <v>1551</v>
      </c>
      <c r="L56" s="1890">
        <f ca="1">IF(L48&lt;J51,"——",L48-J53)</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1553</v>
      </c>
      <c r="L57" s="1890">
        <f ca="1">IF(L48&lt;J51,"——",IF(L55="比较法",L49,IF(L55="基准地价",L50,L51)))</f>
        <v>0</v>
      </c>
      <c r="O57" s="1884" t="s">
        <v>1038</v>
      </c>
      <c r="P57" s="1885" t="s">
        <v>1554</v>
      </c>
      <c r="Q57" s="1886" t="e">
        <f ca="1">L60</f>
        <v>#DIV/0!</v>
      </c>
      <c r="R57" s="1886" t="s">
        <v>1555</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ROUND(C48*F66,1)</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c r="O70" s="1894" t="s">
        <v>1046</v>
      </c>
      <c r="P70" s="1934" t="s">
        <v>1581</v>
      </c>
      <c r="Q70" s="1886">
        <f ca="1">C13</f>
        <v>0</v>
      </c>
      <c r="R70" s="1886" t="s">
        <v>1525</v>
      </c>
    </row>
    <row r="71" spans="1:18" s="1842" customFormat="1" ht="13.5" thickBot="1">
      <c r="A71" s="1190" t="s">
        <v>1030</v>
      </c>
      <c r="B71" s="1191" t="s">
        <v>1483</v>
      </c>
      <c r="C71" s="382" t="e">
        <f ca="1">ROUND(C68*10000/F71,0)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2" priority="56">
      <formula>$L$48&gt;$J$51</formula>
    </cfRule>
  </conditionalFormatting>
  <conditionalFormatting sqref="I55 I60">
    <cfRule type="expression" dxfId="251" priority="57">
      <formula>$J$51&gt;$L$48</formula>
    </cfRule>
  </conditionalFormatting>
  <conditionalFormatting sqref="C11">
    <cfRule type="expression" dxfId="250" priority="3">
      <formula>$F$10="自定义"</formula>
    </cfRule>
  </conditionalFormatting>
  <conditionalFormatting sqref="J11">
    <cfRule type="expression" dxfId="249" priority="2">
      <formula>$M$10="自定义"</formula>
    </cfRule>
  </conditionalFormatting>
  <conditionalFormatting sqref="C54">
    <cfRule type="expression" dxfId="2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3" t="s">
        <v>1399</v>
      </c>
      <c r="C6" s="1296">
        <f ca="1">ROUND(F6*F8*F7*(1-F9),0)</f>
        <v>0</v>
      </c>
      <c r="D6" s="164" t="s">
        <v>3029</v>
      </c>
      <c r="E6" s="347" t="s">
        <v>1401</v>
      </c>
      <c r="F6" s="348">
        <f ca="1">INDIRECT("'数据-取费表'!u"&amp;$G$1)</f>
        <v>0</v>
      </c>
      <c r="G6" s="1851"/>
      <c r="H6" s="1291" t="s">
        <v>1032</v>
      </c>
      <c r="I6" s="3143" t="s">
        <v>1399</v>
      </c>
      <c r="J6" s="346">
        <f ca="1">ROUND(M6*M8*M7*(1-M9),0)</f>
        <v>0</v>
      </c>
      <c r="K6" s="1834" t="s">
        <v>3030</v>
      </c>
      <c r="L6" s="347" t="s">
        <v>1401</v>
      </c>
      <c r="M6" s="348">
        <f ca="1">INDIRECT("'数据-取费表'!z"&amp;$G$1)</f>
        <v>0</v>
      </c>
    </row>
    <row r="7" spans="1:37" ht="18" customHeight="1">
      <c r="A7" s="1295"/>
      <c r="B7" s="3144"/>
      <c r="C7" s="1297"/>
      <c r="D7" s="352"/>
      <c r="E7" s="1298" t="s">
        <v>1402</v>
      </c>
      <c r="F7" s="348">
        <f ca="1">IF(INDIRECT("'数据-取费表'!ah"&amp;$G$1)="",INDIRECT("'数据-取费表'!k"&amp;$G$1),INDIRECT("'数据-取费表'!ah"&amp;$G$1))</f>
        <v>0</v>
      </c>
      <c r="G7" s="1851"/>
      <c r="H7" s="349"/>
      <c r="I7" s="3144"/>
      <c r="J7" s="351"/>
      <c r="K7" s="352"/>
      <c r="L7" s="347" t="s">
        <v>1402</v>
      </c>
      <c r="M7" s="348">
        <f ca="1">F7</f>
        <v>0</v>
      </c>
    </row>
    <row r="8" spans="1:37" ht="18" customHeight="1">
      <c r="A8" s="349"/>
      <c r="B8" s="3144"/>
      <c r="C8" s="351"/>
      <c r="D8" s="352"/>
      <c r="E8" s="347" t="s">
        <v>1403</v>
      </c>
      <c r="F8" s="348">
        <f ca="1">INDIRECT("'数据-取费表'!ai"&amp;$G$1)</f>
        <v>0</v>
      </c>
      <c r="G8" s="1851"/>
      <c r="H8" s="349"/>
      <c r="I8" s="3144"/>
      <c r="J8" s="351"/>
      <c r="K8" s="352"/>
      <c r="L8" s="347" t="s">
        <v>1403</v>
      </c>
      <c r="M8" s="348">
        <f ca="1">INDIRECT("'数据-取费表'!ai"&amp;$G$1)</f>
        <v>0</v>
      </c>
    </row>
    <row r="9" spans="1:37" ht="18" customHeight="1">
      <c r="A9" s="349"/>
      <c r="B9" s="3145"/>
      <c r="C9" s="351"/>
      <c r="D9" s="352"/>
      <c r="E9" s="347" t="s">
        <v>1404</v>
      </c>
      <c r="F9" s="357">
        <f ca="1">INDIRECT("'数据-取费表'!w"&amp;$G$1)</f>
        <v>0</v>
      </c>
      <c r="G9" s="1851"/>
      <c r="H9" s="349"/>
      <c r="I9" s="3145"/>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3040</v>
      </c>
      <c r="E10" s="358" t="s">
        <v>1406</v>
      </c>
      <c r="F10" s="1366"/>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0.03</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4</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2.8999999999999998E-3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0</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1" t="s">
        <v>1544</v>
      </c>
      <c r="L53" s="3142"/>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0</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247" priority="4">
      <formula>$L$48&gt;$J$51</formula>
    </cfRule>
  </conditionalFormatting>
  <conditionalFormatting sqref="I55 I60">
    <cfRule type="expression" dxfId="246" priority="5">
      <formula>$J$51&gt;$L$48</formula>
    </cfRule>
  </conditionalFormatting>
  <conditionalFormatting sqref="C11">
    <cfRule type="expression" dxfId="245" priority="3">
      <formula>$F$10="自定义"</formula>
    </cfRule>
  </conditionalFormatting>
  <conditionalFormatting sqref="J11">
    <cfRule type="expression" dxfId="244" priority="2">
      <formula>$M$10="自定义"</formula>
    </cfRule>
  </conditionalFormatting>
  <conditionalFormatting sqref="C54">
    <cfRule type="expression" dxfId="2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2526</v>
      </c>
      <c r="B1" s="2566"/>
      <c r="C1" s="2566"/>
      <c r="D1" s="2566"/>
      <c r="E1" s="2567"/>
    </row>
    <row r="2" spans="1:6" ht="15.75">
      <c r="A2" s="2568" t="s">
        <v>2330</v>
      </c>
      <c r="B2" s="2569">
        <f ca="1">SUMIF(B6:B13,"&lt;&gt;#ref!",B6:B13)</f>
        <v>0</v>
      </c>
      <c r="C2" s="2570" t="s">
        <v>2519</v>
      </c>
      <c r="D2" s="2571" t="s">
        <v>2520</v>
      </c>
      <c r="E2" s="2572">
        <f>SUM(E6:E13)</f>
        <v>0</v>
      </c>
    </row>
    <row r="3" spans="1:6" ht="15.75">
      <c r="A3" s="2568" t="s">
        <v>1391</v>
      </c>
      <c r="B3" s="2569" t="e">
        <f ca="1">ROUND(B2*10000/E2,0)</f>
        <v>#DIV/0!</v>
      </c>
      <c r="C3" s="2570" t="s">
        <v>2527</v>
      </c>
      <c r="D3" s="2573"/>
      <c r="E3" s="2574"/>
    </row>
    <row r="4" spans="1:6" ht="15.75">
      <c r="A4" s="2575"/>
      <c r="B4" s="2573"/>
      <c r="C4" s="2573"/>
      <c r="D4" s="2573"/>
      <c r="E4" s="2574"/>
    </row>
    <row r="5" spans="1:6" ht="15">
      <c r="A5" s="2576" t="s">
        <v>2521</v>
      </c>
      <c r="B5" s="3146" t="s">
        <v>2522</v>
      </c>
      <c r="C5" s="3146"/>
      <c r="D5" s="2577"/>
      <c r="E5" s="2578" t="s">
        <v>2523</v>
      </c>
      <c r="F5" s="2579" t="s">
        <v>2524</v>
      </c>
    </row>
    <row r="6" spans="1:6">
      <c r="A6" s="2580">
        <f>'数据-取费表'!AN6</f>
        <v>0</v>
      </c>
      <c r="B6" s="2579" t="e">
        <f ca="1">IF(F6="是",'数据-取费表'!AO6,0)</f>
        <v>#REF!</v>
      </c>
      <c r="C6" s="2570" t="s">
        <v>2519</v>
      </c>
      <c r="D6" s="2573"/>
      <c r="E6" s="2581">
        <f>IF(OR(A6=0,F6="否"),0,'数据-取费表'!K6+'数据-取费表'!S6)</f>
        <v>0</v>
      </c>
      <c r="F6" s="2582" t="s">
        <v>2525</v>
      </c>
    </row>
    <row r="7" spans="1:6">
      <c r="A7" s="2580">
        <f>'数据-取费表'!AN7</f>
        <v>0</v>
      </c>
      <c r="B7" s="2579" t="e">
        <f ca="1">IF(F7="是",'数据-取费表'!AO7,0)</f>
        <v>#REF!</v>
      </c>
      <c r="C7" s="2570" t="s">
        <v>2519</v>
      </c>
      <c r="D7" s="2573"/>
      <c r="E7" s="2581">
        <f>IF(OR(A7=0,F7="否"),0,'数据-取费表'!K7+'数据-取费表'!S7)</f>
        <v>0</v>
      </c>
      <c r="F7" s="2582" t="s">
        <v>2525</v>
      </c>
    </row>
    <row r="8" spans="1:6">
      <c r="A8" s="2580">
        <f>'数据-取费表'!AN8</f>
        <v>0</v>
      </c>
      <c r="B8" s="2579" t="e">
        <f ca="1">IF(F8="是",'数据-取费表'!AO8,0)</f>
        <v>#REF!</v>
      </c>
      <c r="C8" s="2570" t="s">
        <v>2519</v>
      </c>
      <c r="D8" s="2573"/>
      <c r="E8" s="2581">
        <f>IF(OR(A8=0,F8="否"),0,'数据-取费表'!K8+'数据-取费表'!S8)</f>
        <v>0</v>
      </c>
      <c r="F8" s="2582" t="s">
        <v>2525</v>
      </c>
    </row>
    <row r="9" spans="1:6">
      <c r="A9" s="2580">
        <f>'数据-取费表'!AN9</f>
        <v>0</v>
      </c>
      <c r="B9" s="2579" t="e">
        <f ca="1">IF(F9="是",'数据-取费表'!AO9,0)</f>
        <v>#REF!</v>
      </c>
      <c r="C9" s="2570" t="s">
        <v>2519</v>
      </c>
      <c r="D9" s="2573"/>
      <c r="E9" s="2581">
        <f>IF(OR(A9=0,F9="否"),0,'数据-取费表'!K9+'数据-取费表'!S9)</f>
        <v>0</v>
      </c>
      <c r="F9" s="2582" t="s">
        <v>2525</v>
      </c>
    </row>
    <row r="10" spans="1:6">
      <c r="A10" s="2580">
        <f>'数据-取费表'!AN10</f>
        <v>0</v>
      </c>
      <c r="B10" s="2579" t="e">
        <f ca="1">IF(F10="是",'数据-取费表'!AO10,0)</f>
        <v>#REF!</v>
      </c>
      <c r="C10" s="2570" t="s">
        <v>2519</v>
      </c>
      <c r="D10" s="2573"/>
      <c r="E10" s="2581">
        <f>IF(OR(A10=0,F10="否"),0,'数据-取费表'!K10+'数据-取费表'!S10)</f>
        <v>0</v>
      </c>
      <c r="F10" s="2582" t="s">
        <v>2525</v>
      </c>
    </row>
    <row r="11" spans="1:6">
      <c r="A11" s="2580">
        <f>'数据-取费表'!AN11</f>
        <v>0</v>
      </c>
      <c r="B11" s="2579" t="e">
        <f ca="1">IF(F11="是",'数据-取费表'!AO11,0)</f>
        <v>#REF!</v>
      </c>
      <c r="C11" s="2570" t="s">
        <v>2519</v>
      </c>
      <c r="D11" s="2573"/>
      <c r="E11" s="2581">
        <f>IF(OR(A11=0,F11="否"),0,'数据-取费表'!K11+'数据-取费表'!S11)</f>
        <v>0</v>
      </c>
      <c r="F11" s="2582" t="s">
        <v>2525</v>
      </c>
    </row>
    <row r="12" spans="1:6">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3" t="s">
        <v>1073</v>
      </c>
      <c r="B1" s="3164"/>
      <c r="C1" s="3165"/>
      <c r="D1" s="3166">
        <f>SUM(I10,I15,I20,I21,I23)</f>
        <v>0</v>
      </c>
      <c r="E1" s="3166"/>
      <c r="F1" s="3166"/>
      <c r="G1" s="3166"/>
      <c r="H1" s="3166"/>
      <c r="I1" s="3167"/>
    </row>
    <row r="2" spans="1:9">
      <c r="A2" s="3153" t="s">
        <v>1074</v>
      </c>
      <c r="B2" s="3154" t="s">
        <v>1075</v>
      </c>
      <c r="C2" s="3154"/>
      <c r="D2" s="1301" t="s">
        <v>1076</v>
      </c>
      <c r="E2" s="1301" t="s">
        <v>1077</v>
      </c>
      <c r="F2" s="1301" t="s">
        <v>1078</v>
      </c>
      <c r="G2" s="1301" t="s">
        <v>1079</v>
      </c>
      <c r="H2" s="1301" t="s">
        <v>1080</v>
      </c>
      <c r="I2" s="1302" t="s">
        <v>1081</v>
      </c>
    </row>
    <row r="3" spans="1:9">
      <c r="A3" s="3153"/>
      <c r="B3" s="3154" t="s">
        <v>1082</v>
      </c>
      <c r="C3" s="3154"/>
      <c r="D3" s="1303"/>
      <c r="E3" s="1301"/>
      <c r="F3" s="1304"/>
      <c r="G3" s="1304"/>
      <c r="H3" s="1305"/>
      <c r="I3" s="1306">
        <f>ROUND(D3*E3*F3*G3*H3/10000,0)</f>
        <v>0</v>
      </c>
    </row>
    <row r="4" spans="1:9">
      <c r="A4" s="3153"/>
      <c r="B4" s="3154" t="s">
        <v>1083</v>
      </c>
      <c r="C4" s="3154"/>
      <c r="D4" s="1303"/>
      <c r="E4" s="1301"/>
      <c r="F4" s="1304"/>
      <c r="G4" s="1304"/>
      <c r="H4" s="1305"/>
      <c r="I4" s="1306">
        <f t="shared" ref="I4:I9" si="0">ROUND(D4*E4*F4*G4*H4/10000,0)</f>
        <v>0</v>
      </c>
    </row>
    <row r="5" spans="1:9">
      <c r="A5" s="3153"/>
      <c r="B5" s="3154" t="s">
        <v>1084</v>
      </c>
      <c r="C5" s="3154"/>
      <c r="D5" s="1303"/>
      <c r="E5" s="1301"/>
      <c r="F5" s="1304"/>
      <c r="G5" s="1304"/>
      <c r="H5" s="1305"/>
      <c r="I5" s="1306">
        <f t="shared" si="0"/>
        <v>0</v>
      </c>
    </row>
    <row r="6" spans="1:9">
      <c r="A6" s="3153"/>
      <c r="B6" s="3154" t="s">
        <v>1085</v>
      </c>
      <c r="C6" s="3154"/>
      <c r="D6" s="1303"/>
      <c r="E6" s="1301"/>
      <c r="F6" s="1304"/>
      <c r="G6" s="1304"/>
      <c r="H6" s="1305"/>
      <c r="I6" s="1306">
        <f t="shared" si="0"/>
        <v>0</v>
      </c>
    </row>
    <row r="7" spans="1:9">
      <c r="A7" s="3153"/>
      <c r="B7" s="3154" t="s">
        <v>1086</v>
      </c>
      <c r="C7" s="3154"/>
      <c r="D7" s="1303"/>
      <c r="E7" s="1301"/>
      <c r="F7" s="1304"/>
      <c r="G7" s="1304"/>
      <c r="H7" s="1305"/>
      <c r="I7" s="1306">
        <f t="shared" si="0"/>
        <v>0</v>
      </c>
    </row>
    <row r="8" spans="1:9">
      <c r="A8" s="3153"/>
      <c r="B8" s="3154" t="s">
        <v>1087</v>
      </c>
      <c r="C8" s="3154"/>
      <c r="D8" s="1303"/>
      <c r="E8" s="1301"/>
      <c r="F8" s="1304"/>
      <c r="G8" s="1304"/>
      <c r="H8" s="1305"/>
      <c r="I8" s="1306">
        <f t="shared" si="0"/>
        <v>0</v>
      </c>
    </row>
    <row r="9" spans="1:9">
      <c r="A9" s="3153"/>
      <c r="B9" s="3154" t="s">
        <v>1088</v>
      </c>
      <c r="C9" s="3154"/>
      <c r="D9" s="1303"/>
      <c r="E9" s="1301"/>
      <c r="F9" s="1304"/>
      <c r="G9" s="1304"/>
      <c r="H9" s="1305"/>
      <c r="I9" s="1306">
        <f t="shared" si="0"/>
        <v>0</v>
      </c>
    </row>
    <row r="10" spans="1:9">
      <c r="A10" s="3153"/>
      <c r="B10" s="3155" t="s">
        <v>1089</v>
      </c>
      <c r="C10" s="3155"/>
      <c r="D10" s="1307"/>
      <c r="E10" s="1307" t="e">
        <f>ROUND(D1*10000/D10/H9,0)</f>
        <v>#DIV/0!</v>
      </c>
      <c r="F10" s="1308"/>
      <c r="G10" s="1308"/>
      <c r="H10" s="1309"/>
      <c r="I10" s="1310">
        <f>SUM(I3:I9)</f>
        <v>0</v>
      </c>
    </row>
    <row r="11" spans="1:9" ht="14.25">
      <c r="A11" s="3153" t="s">
        <v>1090</v>
      </c>
      <c r="B11" s="3154" t="s">
        <v>1091</v>
      </c>
      <c r="C11" s="3154"/>
      <c r="D11" s="1303" t="s">
        <v>1092</v>
      </c>
      <c r="E11" s="1303" t="s">
        <v>1093</v>
      </c>
      <c r="F11" s="1304" t="s">
        <v>1094</v>
      </c>
      <c r="G11" s="1304" t="s">
        <v>1080</v>
      </c>
      <c r="H11" s="1311" t="s">
        <v>1095</v>
      </c>
      <c r="I11" s="1302" t="s">
        <v>1081</v>
      </c>
    </row>
    <row r="12" spans="1:9">
      <c r="A12" s="3153"/>
      <c r="B12" s="3154" t="s">
        <v>1096</v>
      </c>
      <c r="C12" s="3154"/>
      <c r="D12" s="1303"/>
      <c r="E12" s="1303"/>
      <c r="F12" s="1304"/>
      <c r="G12" s="1305"/>
      <c r="H12" s="1312"/>
      <c r="I12" s="1302">
        <f>ROUND(D12*E12*F12*G12/10000,0)</f>
        <v>0</v>
      </c>
    </row>
    <row r="13" spans="1:9">
      <c r="A13" s="3153"/>
      <c r="B13" s="3154" t="s">
        <v>1097</v>
      </c>
      <c r="C13" s="3154"/>
      <c r="D13" s="1303"/>
      <c r="E13" s="1303"/>
      <c r="F13" s="1304"/>
      <c r="G13" s="1305"/>
      <c r="H13" s="1312"/>
      <c r="I13" s="1302">
        <f>ROUND(D13*E13*F13*G13/10000,0)</f>
        <v>0</v>
      </c>
    </row>
    <row r="14" spans="1:9">
      <c r="A14" s="3153"/>
      <c r="B14" s="3154" t="s">
        <v>1098</v>
      </c>
      <c r="C14" s="3154"/>
      <c r="D14" s="1303"/>
      <c r="E14" s="1303"/>
      <c r="F14" s="1304"/>
      <c r="G14" s="1305"/>
      <c r="H14" s="1312"/>
      <c r="I14" s="1302">
        <f>ROUND(D14*E14*F14*G14/10000,0)</f>
        <v>0</v>
      </c>
    </row>
    <row r="15" spans="1:9">
      <c r="A15" s="3153"/>
      <c r="B15" s="3155" t="s">
        <v>1089</v>
      </c>
      <c r="C15" s="3155"/>
      <c r="D15" s="1307"/>
      <c r="E15" s="1307">
        <f>SUM(E12:E14)</f>
        <v>0</v>
      </c>
      <c r="F15" s="1308"/>
      <c r="G15" s="1305"/>
      <c r="H15" s="1312"/>
      <c r="I15" s="1313">
        <f>SUM(I12:I14)</f>
        <v>0</v>
      </c>
    </row>
    <row r="16" spans="1:9" ht="24">
      <c r="A16" s="3153" t="s">
        <v>1099</v>
      </c>
      <c r="B16" s="3154" t="s">
        <v>1100</v>
      </c>
      <c r="C16" s="3154"/>
      <c r="D16" s="1303" t="s">
        <v>1076</v>
      </c>
      <c r="E16" s="1314" t="s">
        <v>1101</v>
      </c>
      <c r="F16" s="1304" t="s">
        <v>1102</v>
      </c>
      <c r="G16" s="1305" t="s">
        <v>1080</v>
      </c>
      <c r="H16" s="1311" t="s">
        <v>1095</v>
      </c>
      <c r="I16" s="1302" t="s">
        <v>1081</v>
      </c>
    </row>
    <row r="17" spans="1:9" ht="14.25">
      <c r="A17" s="3153"/>
      <c r="B17" s="3154" t="s">
        <v>1103</v>
      </c>
      <c r="C17" s="3154"/>
      <c r="D17" s="1303"/>
      <c r="E17" s="1303"/>
      <c r="F17" s="1304"/>
      <c r="G17" s="1305"/>
      <c r="H17" s="1315"/>
      <c r="I17" s="1316">
        <f>ROUND(D17*E17*F17*G17/10000,0)</f>
        <v>0</v>
      </c>
    </row>
    <row r="18" spans="1:9" ht="14.25">
      <c r="A18" s="3153"/>
      <c r="B18" s="3154" t="s">
        <v>1104</v>
      </c>
      <c r="C18" s="3154"/>
      <c r="D18" s="1303"/>
      <c r="E18" s="1303"/>
      <c r="F18" s="1304"/>
      <c r="G18" s="1305"/>
      <c r="H18" s="1315"/>
      <c r="I18" s="1316">
        <f>ROUND(D18*E18*F18*G18/10000,0)</f>
        <v>0</v>
      </c>
    </row>
    <row r="19" spans="1:9" ht="14.25">
      <c r="A19" s="3153"/>
      <c r="B19" s="3154" t="s">
        <v>1105</v>
      </c>
      <c r="C19" s="3154"/>
      <c r="D19" s="1303"/>
      <c r="E19" s="1303"/>
      <c r="F19" s="1304"/>
      <c r="G19" s="1305"/>
      <c r="H19" s="1315"/>
      <c r="I19" s="1316">
        <f>ROUND(D19*E19*F19*G19/10000,0)</f>
        <v>0</v>
      </c>
    </row>
    <row r="20" spans="1:9">
      <c r="A20" s="3153"/>
      <c r="B20" s="3155" t="s">
        <v>1089</v>
      </c>
      <c r="C20" s="3155"/>
      <c r="D20" s="1307">
        <f>SUM(D17:D19)</f>
        <v>0</v>
      </c>
      <c r="E20" s="1307"/>
      <c r="F20" s="1308"/>
      <c r="G20" s="1305"/>
      <c r="H20" s="1312"/>
      <c r="I20" s="1313">
        <f>SUM(I17:I19)</f>
        <v>0</v>
      </c>
    </row>
    <row r="21" spans="1:9">
      <c r="A21" s="3153" t="s">
        <v>1106</v>
      </c>
      <c r="B21" s="3156"/>
      <c r="C21" s="3156"/>
      <c r="D21" s="3156"/>
      <c r="E21" s="3156"/>
      <c r="F21" s="3156"/>
      <c r="G21" s="3156"/>
      <c r="H21" s="1765">
        <v>0.1</v>
      </c>
      <c r="I21" s="1310">
        <f>ROUND(I10*H21,0)</f>
        <v>0</v>
      </c>
    </row>
    <row r="22" spans="1:9" ht="14.25">
      <c r="A22" s="3157" t="s">
        <v>1107</v>
      </c>
      <c r="B22" s="3158"/>
      <c r="C22" s="3159"/>
      <c r="D22" s="1317" t="s">
        <v>1108</v>
      </c>
      <c r="E22" s="1317" t="s">
        <v>1109</v>
      </c>
      <c r="F22" s="1318" t="s">
        <v>1110</v>
      </c>
      <c r="G22" s="1318" t="s">
        <v>1111</v>
      </c>
      <c r="H22" s="1311" t="s">
        <v>1112</v>
      </c>
      <c r="I22" s="1302" t="s">
        <v>1113</v>
      </c>
    </row>
    <row r="23" spans="1:9" ht="14.25" thickBot="1">
      <c r="A23" s="3160"/>
      <c r="B23" s="3161"/>
      <c r="C23" s="3162"/>
      <c r="D23" s="1319"/>
      <c r="E23" s="1319"/>
      <c r="F23" s="1319"/>
      <c r="G23" s="1320"/>
      <c r="H23" s="1321"/>
      <c r="I23" s="1322">
        <f>ROUND(E23*D23*F23*(1-G23)/10000,0)</f>
        <v>0</v>
      </c>
    </row>
    <row r="26" spans="1:9">
      <c r="A26" s="1323" t="s">
        <v>1114</v>
      </c>
      <c r="B26" s="1323"/>
      <c r="C26" s="1323"/>
      <c r="D26" s="1323"/>
      <c r="E26" s="3150">
        <f>C27-C30-C31-C32</f>
        <v>0</v>
      </c>
      <c r="F26" s="3150"/>
      <c r="G26" s="3150"/>
      <c r="H26" s="1737" t="s">
        <v>1336</v>
      </c>
    </row>
    <row r="27" spans="1:9">
      <c r="A27" s="1324">
        <v>1</v>
      </c>
      <c r="B27" s="1325" t="s">
        <v>1115</v>
      </c>
      <c r="C27" s="1325">
        <f>C28+C29</f>
        <v>0</v>
      </c>
      <c r="D27" s="1325"/>
      <c r="E27" s="3151"/>
      <c r="F27" s="3151"/>
      <c r="G27" s="3151"/>
    </row>
    <row r="28" spans="1:9">
      <c r="A28" s="1326" t="s">
        <v>1116</v>
      </c>
      <c r="B28" s="1325" t="s">
        <v>1117</v>
      </c>
      <c r="C28" s="1325"/>
      <c r="D28" s="1325"/>
      <c r="E28" s="3151"/>
      <c r="F28" s="3151"/>
      <c r="G28" s="3151"/>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2"/>
      <c r="F32" s="3152"/>
      <c r="G32" s="3152"/>
    </row>
    <row r="33" spans="1:7" hidden="1">
      <c r="A33" s="3147" t="s">
        <v>1126</v>
      </c>
      <c r="B33" s="3148"/>
      <c r="C33" s="3148"/>
      <c r="D33" s="3149"/>
      <c r="E33" s="3150"/>
      <c r="F33" s="3150"/>
      <c r="G33" s="3150"/>
    </row>
    <row r="34" spans="1:7" hidden="1">
      <c r="A34" s="1328">
        <v>1</v>
      </c>
      <c r="B34" s="1325" t="s">
        <v>1127</v>
      </c>
      <c r="C34" s="1325"/>
      <c r="D34" s="1325"/>
      <c r="E34" s="3151"/>
      <c r="F34" s="3151"/>
      <c r="G34" s="3151"/>
    </row>
    <row r="35" spans="1:7" hidden="1">
      <c r="A35" s="1328">
        <v>2</v>
      </c>
      <c r="B35" s="1325" t="s">
        <v>1128</v>
      </c>
      <c r="C35" s="1325"/>
      <c r="D35" s="1325"/>
      <c r="E35" s="3151"/>
      <c r="F35" s="3151"/>
      <c r="G35" s="3151"/>
    </row>
    <row r="36" spans="1:7" hidden="1">
      <c r="A36" s="1328">
        <v>3</v>
      </c>
      <c r="B36" s="1325" t="s">
        <v>1129</v>
      </c>
      <c r="C36" s="1325"/>
      <c r="D36" s="1325"/>
      <c r="E36" s="3151"/>
      <c r="F36" s="3151"/>
      <c r="G36" s="3151"/>
    </row>
    <row r="37" spans="1:7" hidden="1">
      <c r="A37" s="1328">
        <v>4</v>
      </c>
      <c r="B37" s="1325" t="s">
        <v>1130</v>
      </c>
      <c r="C37" s="1325"/>
      <c r="D37" s="1325"/>
      <c r="E37" s="3151"/>
      <c r="F37" s="3151"/>
      <c r="G37" s="3151"/>
    </row>
    <row r="38" spans="1:7" hidden="1">
      <c r="A38" s="3147" t="s">
        <v>1131</v>
      </c>
      <c r="B38" s="3148"/>
      <c r="C38" s="3148"/>
      <c r="D38" s="3149"/>
      <c r="E38" s="3150"/>
      <c r="F38" s="3150"/>
      <c r="G38" s="31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4" zoomScale="90" zoomScaleNormal="90" workbookViewId="0">
      <selection activeCell="G17" sqref="G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2529</v>
      </c>
      <c r="C1" s="1634" t="s">
        <v>2530</v>
      </c>
      <c r="D1" s="1621" t="s">
        <v>3070</v>
      </c>
      <c r="E1" s="2587"/>
      <c r="F1" s="2588" t="s">
        <v>2531</v>
      </c>
      <c r="G1" s="1631" t="s">
        <v>2532</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f>IF(C2="——",ROUND(C49*D3/10000,0),ROUND(C49*D3/10000,0)-D2)</f>
        <v>39603</v>
      </c>
      <c r="C2" s="2590" t="s">
        <v>70</v>
      </c>
      <c r="D2" s="1365" t="e">
        <f ca="1">SUMIF(INDIRECT("'"&amp;F2&amp;"'"&amp;"!A:A"),"承租人权益价值",INDIRECT("'"&amp;F2&amp;"'"&amp;"!c:c"))</f>
        <v>#REF!</v>
      </c>
      <c r="E2" s="2591" t="s">
        <v>2533</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f>IF(C2="——",C49,ROUND(B2*10000/D3,0))</f>
        <v>11960</v>
      </c>
      <c r="C3" s="400" t="s">
        <v>2534</v>
      </c>
      <c r="D3" s="399">
        <f>IF(D1="",'数据-汇总表'!E3,SUMIF('数据-汇总表'!$C19:$C33,D1,'数据-汇总表'!$E19:$E33))</f>
        <v>33112.840000000157</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2535</v>
      </c>
      <c r="B4" s="402"/>
      <c r="C4" s="3186" t="s">
        <v>2536</v>
      </c>
      <c r="D4" s="3187"/>
      <c r="E4" s="3188" t="s">
        <v>2537</v>
      </c>
      <c r="F4" s="3189"/>
      <c r="G4" s="3186" t="s">
        <v>2538</v>
      </c>
      <c r="H4" s="3187"/>
      <c r="I4" s="3186" t="s">
        <v>2539</v>
      </c>
      <c r="J4" s="3187"/>
      <c r="K4" s="2600" t="s">
        <v>2540</v>
      </c>
      <c r="L4" s="1130"/>
      <c r="M4" s="1131"/>
      <c r="N4" s="1131"/>
      <c r="O4" s="1131"/>
      <c r="P4" s="3190" t="s">
        <v>2541</v>
      </c>
      <c r="Q4" s="3191"/>
      <c r="R4" s="3196" t="s">
        <v>2537</v>
      </c>
      <c r="S4" s="3197"/>
      <c r="T4" s="3196" t="s">
        <v>2538</v>
      </c>
      <c r="U4" s="3197"/>
      <c r="V4" s="3202" t="s">
        <v>2539</v>
      </c>
      <c r="W4" s="3202"/>
      <c r="X4" s="1813"/>
      <c r="Y4" s="3196" t="s">
        <v>2541</v>
      </c>
      <c r="Z4" s="3197"/>
      <c r="AA4" s="3183" t="s">
        <v>2537</v>
      </c>
      <c r="AB4" s="3183" t="s">
        <v>2538</v>
      </c>
      <c r="AC4" s="3183" t="s">
        <v>2539</v>
      </c>
    </row>
    <row r="5" spans="1:29" ht="15">
      <c r="A5" s="404"/>
      <c r="B5" s="405"/>
      <c r="C5" s="3205" t="s">
        <v>2542</v>
      </c>
      <c r="D5" s="3206"/>
      <c r="E5" s="3293" t="s">
        <v>3796</v>
      </c>
      <c r="F5" s="3213"/>
      <c r="G5" s="3301" t="s">
        <v>3822</v>
      </c>
      <c r="H5" s="3206"/>
      <c r="I5" s="3301" t="s">
        <v>3819</v>
      </c>
      <c r="J5" s="3206"/>
      <c r="K5" s="2601"/>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2546</v>
      </c>
      <c r="D6" s="3204"/>
      <c r="E6" s="3294" t="s">
        <v>3797</v>
      </c>
      <c r="F6" s="3211"/>
      <c r="G6" s="3302" t="s">
        <v>3823</v>
      </c>
      <c r="H6" s="3204"/>
      <c r="I6" s="3302" t="s">
        <v>3820</v>
      </c>
      <c r="J6" s="3204"/>
      <c r="K6" s="2601" t="s">
        <v>2547</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2548</v>
      </c>
      <c r="B7" s="409"/>
      <c r="C7" s="410">
        <f>'数据-取费表'!B2</f>
        <v>43573</v>
      </c>
      <c r="D7" s="411">
        <v>100</v>
      </c>
      <c r="E7" s="412">
        <v>43556</v>
      </c>
      <c r="F7" s="413">
        <f>SUMIF(58:58,YEAR(E7)&amp;"-"&amp;MONTH(E7),59:59)</f>
        <v>100</v>
      </c>
      <c r="G7" s="412">
        <v>43556</v>
      </c>
      <c r="H7" s="411">
        <f>SUMIF(58:58,YEAR(G7)&amp;"-"&amp;MONTH(G7),59:59)</f>
        <v>100</v>
      </c>
      <c r="I7" s="412">
        <v>43556</v>
      </c>
      <c r="J7" s="411">
        <f>SUMIF(58:58,YEAR(I7)&amp;"-"&amp;MONTH(I7),59:59)</f>
        <v>100</v>
      </c>
      <c r="K7" s="2602"/>
      <c r="L7" s="1132"/>
      <c r="M7" s="1133"/>
      <c r="N7" s="1133"/>
      <c r="O7" s="1133"/>
      <c r="P7" s="3207" t="s">
        <v>2549</v>
      </c>
      <c r="Q7" s="3209"/>
      <c r="R7" s="770" t="s">
        <v>23</v>
      </c>
      <c r="S7" s="771">
        <f t="shared" ref="S7:S15" si="0">F7</f>
        <v>100</v>
      </c>
      <c r="T7" s="770" t="s">
        <v>23</v>
      </c>
      <c r="U7" s="771">
        <f t="shared" ref="U7:U15" si="1">H7</f>
        <v>100</v>
      </c>
      <c r="V7" s="770" t="s">
        <v>23</v>
      </c>
      <c r="W7" s="771">
        <f t="shared" ref="W7:W15" si="2">J7</f>
        <v>100</v>
      </c>
      <c r="X7" s="772"/>
      <c r="Y7" s="3207" t="s">
        <v>2549</v>
      </c>
      <c r="Z7" s="3208"/>
      <c r="AA7" s="773">
        <f>D7/F7</f>
        <v>1</v>
      </c>
      <c r="AB7" s="773">
        <f>D7/H7</f>
        <v>1</v>
      </c>
      <c r="AC7" s="773">
        <f>D7/J7</f>
        <v>1</v>
      </c>
    </row>
    <row r="8" spans="1:29" s="117" customFormat="1" ht="15.75" thickBot="1">
      <c r="A8" s="408" t="s">
        <v>2550</v>
      </c>
      <c r="B8" s="409"/>
      <c r="C8" s="414" t="s">
        <v>2551</v>
      </c>
      <c r="D8" s="411">
        <v>100</v>
      </c>
      <c r="E8" s="414" t="s">
        <v>2551</v>
      </c>
      <c r="F8" s="413">
        <f>SUMIF(61:61,E8,62:62)-SUMIF(61:61,C8,62:62)+100</f>
        <v>100</v>
      </c>
      <c r="G8" s="414" t="s">
        <v>2551</v>
      </c>
      <c r="H8" s="411">
        <f>SUMIF(61:61,G8,62:62)-SUMIF(61:61,C8,62:62)+100</f>
        <v>100</v>
      </c>
      <c r="I8" s="414" t="s">
        <v>2551</v>
      </c>
      <c r="J8" s="411">
        <f>SUMIF(61:61,I8,62:62)-SUMIF(61:61,C8,62:62)+100</f>
        <v>100</v>
      </c>
      <c r="K8" s="2602"/>
      <c r="L8" s="1132"/>
      <c r="M8" s="1133"/>
      <c r="N8" s="1133"/>
      <c r="O8" s="1133"/>
      <c r="P8" s="3207" t="s">
        <v>2552</v>
      </c>
      <c r="Q8" s="3208"/>
      <c r="R8" s="770" t="s">
        <v>23</v>
      </c>
      <c r="S8" s="771">
        <f t="shared" si="0"/>
        <v>100</v>
      </c>
      <c r="T8" s="770" t="s">
        <v>23</v>
      </c>
      <c r="U8" s="771">
        <f t="shared" si="1"/>
        <v>100</v>
      </c>
      <c r="V8" s="770" t="s">
        <v>23</v>
      </c>
      <c r="W8" s="771">
        <f t="shared" si="2"/>
        <v>100</v>
      </c>
      <c r="X8" s="772"/>
      <c r="Y8" s="3207" t="s">
        <v>2552</v>
      </c>
      <c r="Z8" s="3208"/>
      <c r="AA8" s="773">
        <f t="shared" ref="AA8:AA19" si="3">D8/F8</f>
        <v>1</v>
      </c>
      <c r="AB8" s="773">
        <f t="shared" ref="AB8:AB19" si="4">D8/H8</f>
        <v>1</v>
      </c>
      <c r="AC8" s="773">
        <f t="shared" ref="AC8:AC19" si="5">D8/J8</f>
        <v>1</v>
      </c>
    </row>
    <row r="9" spans="1:29" s="117" customFormat="1">
      <c r="A9" s="415" t="s">
        <v>2553</v>
      </c>
      <c r="B9" s="71" t="s">
        <v>2554</v>
      </c>
      <c r="C9" s="3295" t="s">
        <v>3798</v>
      </c>
      <c r="D9" s="135">
        <v>100</v>
      </c>
      <c r="E9" s="3295" t="s">
        <v>3798</v>
      </c>
      <c r="F9" s="418">
        <f>SUMIF(63:63,E9,64:64)-SUMIF(63:63,C9,64:64)+100</f>
        <v>100</v>
      </c>
      <c r="G9" s="3295" t="s">
        <v>3798</v>
      </c>
      <c r="H9" s="135">
        <f>SUMIF(63:63,G9,64:64)-SUMIF(63:63,C9,64:64)+100</f>
        <v>100</v>
      </c>
      <c r="I9" s="3295" t="s">
        <v>3798</v>
      </c>
      <c r="J9" s="135">
        <f>SUMIF(63:63,I9,64:64)-SUMIF(63:63,C9,64:64)+100</f>
        <v>100</v>
      </c>
      <c r="K9" s="2602"/>
      <c r="L9" s="1132"/>
      <c r="M9" s="1133"/>
      <c r="N9" s="1133"/>
      <c r="O9" s="1133"/>
      <c r="P9" s="3182"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773">
        <f t="shared" si="5"/>
        <v>1</v>
      </c>
    </row>
    <row r="10" spans="1:29" s="427" customFormat="1" ht="27">
      <c r="A10" s="421"/>
      <c r="B10" s="422" t="s">
        <v>2557</v>
      </c>
      <c r="C10" s="423" t="s">
        <v>3799</v>
      </c>
      <c r="D10" s="136">
        <v>100</v>
      </c>
      <c r="E10" s="423" t="s">
        <v>3799</v>
      </c>
      <c r="F10" s="425">
        <f>SUMIF(65:65,E10,66:66)-SUMIF(65:65,C10,66:66)+100</f>
        <v>100</v>
      </c>
      <c r="G10" s="423" t="s">
        <v>3799</v>
      </c>
      <c r="H10" s="136">
        <f>SUMIF(65:65,G10,66:66)-SUMIF(65:65,C10,66:66)+100</f>
        <v>100</v>
      </c>
      <c r="I10" s="423" t="s">
        <v>3799</v>
      </c>
      <c r="J10" s="136">
        <f>SUMIF(65:65,I10,66:66)-SUMIF(65:65,C10,66:66)+100</f>
        <v>100</v>
      </c>
      <c r="K10" s="426">
        <v>1</v>
      </c>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2558</v>
      </c>
      <c r="C11" s="429">
        <v>3.5</v>
      </c>
      <c r="D11" s="136">
        <v>100</v>
      </c>
      <c r="E11" s="430">
        <v>3</v>
      </c>
      <c r="F11" s="425">
        <f>LOOKUP(E11,68:68,69:69)-LOOKUP(C11,68:68,69:69)+100</f>
        <v>100</v>
      </c>
      <c r="G11" s="429">
        <v>5.7</v>
      </c>
      <c r="H11" s="136">
        <f>LOOKUP(G11,68:68,69:69)-LOOKUP(C11,68:68,69:69)+100</f>
        <v>98</v>
      </c>
      <c r="I11" s="429">
        <v>3.41</v>
      </c>
      <c r="J11" s="136">
        <f>LOOKUP(I11,68:68,69:69)-LOOKUP(C11,68:68,69:69)+100</f>
        <v>100</v>
      </c>
      <c r="K11" s="426">
        <v>1</v>
      </c>
      <c r="L11" s="1138"/>
      <c r="M11" s="1131"/>
      <c r="N11" s="1131"/>
      <c r="O11" s="1131"/>
      <c r="P11" s="3182"/>
      <c r="Q11" s="1795" t="str">
        <f t="shared" si="6"/>
        <v>容积率</v>
      </c>
      <c r="R11" s="770" t="s">
        <v>21</v>
      </c>
      <c r="S11" s="771">
        <f t="shared" si="0"/>
        <v>100</v>
      </c>
      <c r="T11" s="770" t="s">
        <v>21</v>
      </c>
      <c r="U11" s="771">
        <f t="shared" si="1"/>
        <v>98</v>
      </c>
      <c r="V11" s="770" t="s">
        <v>21</v>
      </c>
      <c r="W11" s="771">
        <f t="shared" si="2"/>
        <v>100</v>
      </c>
      <c r="X11" s="772"/>
      <c r="Y11" s="2996"/>
      <c r="Z11" s="55" t="str">
        <f t="shared" si="7"/>
        <v>容积率</v>
      </c>
      <c r="AA11" s="773">
        <f t="shared" si="3"/>
        <v>1</v>
      </c>
      <c r="AB11" s="773">
        <f t="shared" si="4"/>
        <v>1.0204081632653061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2"/>
      <c r="Q12" s="1795">
        <f t="shared" si="6"/>
        <v>111</v>
      </c>
      <c r="R12" s="770" t="s">
        <v>21</v>
      </c>
      <c r="S12" s="771">
        <f t="shared" si="0"/>
        <v>100</v>
      </c>
      <c r="T12" s="770" t="s">
        <v>21</v>
      </c>
      <c r="U12" s="771">
        <f t="shared" si="1"/>
        <v>100</v>
      </c>
      <c r="V12" s="770" t="s">
        <v>21</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2"/>
      <c r="Q13" s="1795">
        <f t="shared" si="6"/>
        <v>111</v>
      </c>
      <c r="R13" s="770" t="s">
        <v>21</v>
      </c>
      <c r="S13" s="771">
        <f t="shared" si="0"/>
        <v>100</v>
      </c>
      <c r="T13" s="770" t="s">
        <v>21</v>
      </c>
      <c r="U13" s="771">
        <f t="shared" si="1"/>
        <v>100</v>
      </c>
      <c r="V13" s="770" t="s">
        <v>21</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2"/>
      <c r="Q14" s="1795">
        <f t="shared" si="6"/>
        <v>111</v>
      </c>
      <c r="R14" s="770" t="s">
        <v>21</v>
      </c>
      <c r="S14" s="771">
        <f t="shared" si="0"/>
        <v>100</v>
      </c>
      <c r="T14" s="770" t="s">
        <v>21</v>
      </c>
      <c r="U14" s="771">
        <f t="shared" si="1"/>
        <v>100</v>
      </c>
      <c r="V14" s="770" t="s">
        <v>21</v>
      </c>
      <c r="W14" s="771">
        <f t="shared" si="2"/>
        <v>100</v>
      </c>
      <c r="X14" s="772"/>
      <c r="Y14" s="2996"/>
      <c r="Z14" s="55">
        <f t="shared" si="7"/>
        <v>111</v>
      </c>
      <c r="AA14" s="773">
        <f t="shared" si="3"/>
        <v>1</v>
      </c>
      <c r="AB14" s="773">
        <f t="shared" si="4"/>
        <v>1</v>
      </c>
      <c r="AC14" s="773">
        <f t="shared" si="5"/>
        <v>1</v>
      </c>
    </row>
    <row r="15" spans="1:29" ht="99.75">
      <c r="A15" s="440" t="s">
        <v>2559</v>
      </c>
      <c r="B15" s="69" t="s">
        <v>2086</v>
      </c>
      <c r="C15" s="2606" t="str">
        <f>估价对象房地状况!C3</f>
        <v>估价对象周边居住用地比例、居住小区规模和社区发展完善程度，综合评价居住社区成熟度一般</v>
      </c>
      <c r="D15" s="441">
        <v>100</v>
      </c>
      <c r="E15" s="444"/>
      <c r="F15" s="441">
        <f>SUMIF(76:76,E16,77:77)-SUMIF(76:76,C16,77:77)+100</f>
        <v>105</v>
      </c>
      <c r="G15" s="444"/>
      <c r="H15" s="441">
        <f>SUMIF(76:76,G16,77:77)-SUMIF(76:76,C16,77:77)+100</f>
        <v>110</v>
      </c>
      <c r="I15" s="442"/>
      <c r="J15" s="441">
        <f>SUMIF(76:76,I16,77:77)-SUMIF(76:76,C16,77:77)+100</f>
        <v>105</v>
      </c>
      <c r="K15" s="445">
        <v>5</v>
      </c>
      <c r="L15" s="1140"/>
      <c r="M15" s="1131"/>
      <c r="N15" s="1131"/>
      <c r="O15" s="1131"/>
      <c r="P15" s="3180" t="s">
        <v>2560</v>
      </c>
      <c r="Q15" s="1810" t="str">
        <f t="shared" si="6"/>
        <v>居住社区成熟度</v>
      </c>
      <c r="R15" s="774" t="s">
        <v>21</v>
      </c>
      <c r="S15" s="775">
        <f t="shared" si="0"/>
        <v>105</v>
      </c>
      <c r="T15" s="774" t="s">
        <v>21</v>
      </c>
      <c r="U15" s="775">
        <f t="shared" si="1"/>
        <v>110</v>
      </c>
      <c r="V15" s="774" t="s">
        <v>21</v>
      </c>
      <c r="W15" s="775">
        <f t="shared" si="2"/>
        <v>105</v>
      </c>
      <c r="X15" s="1813"/>
      <c r="Y15" s="3173" t="s">
        <v>2560</v>
      </c>
      <c r="Z15" s="1814" t="str">
        <f t="shared" si="7"/>
        <v>居住社区成熟度</v>
      </c>
      <c r="AA15" s="1811">
        <f t="shared" si="3"/>
        <v>0.95238095238095233</v>
      </c>
      <c r="AB15" s="1811">
        <f t="shared" si="4"/>
        <v>0.90909090909090906</v>
      </c>
      <c r="AC15" s="1811">
        <f t="shared" si="5"/>
        <v>0.95238095238095233</v>
      </c>
    </row>
    <row r="16" spans="1:29" ht="15">
      <c r="A16" s="428"/>
      <c r="B16" s="446"/>
      <c r="C16" s="447" t="s">
        <v>3658</v>
      </c>
      <c r="D16" s="448"/>
      <c r="E16" s="2607" t="s">
        <v>3647</v>
      </c>
      <c r="F16" s="448"/>
      <c r="G16" s="2607" t="s">
        <v>3648</v>
      </c>
      <c r="H16" s="450"/>
      <c r="I16" s="2608" t="s">
        <v>3647</v>
      </c>
      <c r="J16" s="448"/>
      <c r="K16" s="2609"/>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4"/>
      <c r="F17" s="450">
        <f>SUMIF(78:78,E18,79:79)-SUMIF(78:78,C18,79:79)+100</f>
        <v>105</v>
      </c>
      <c r="G17" s="454"/>
      <c r="H17" s="455">
        <f>SUMIF(78:78,G18,79:79)-SUMIF(78:78,C18,79:79)+100</f>
        <v>100</v>
      </c>
      <c r="I17" s="452"/>
      <c r="J17" s="455">
        <f>SUMIF(78:78,I18,79:79)-SUMIF(78:78,C18,79:79)+100</f>
        <v>100</v>
      </c>
      <c r="K17" s="445">
        <v>5</v>
      </c>
      <c r="L17" s="1140"/>
      <c r="M17" s="1131"/>
      <c r="N17" s="1131"/>
      <c r="O17" s="1131"/>
      <c r="P17" s="3181"/>
      <c r="Q17" s="1810" t="str">
        <f>B17</f>
        <v>交通便捷度</v>
      </c>
      <c r="R17" s="774" t="s">
        <v>21</v>
      </c>
      <c r="S17" s="775">
        <f>F17</f>
        <v>105</v>
      </c>
      <c r="T17" s="774" t="s">
        <v>21</v>
      </c>
      <c r="U17" s="775">
        <f>H17</f>
        <v>100</v>
      </c>
      <c r="V17" s="774" t="s">
        <v>21</v>
      </c>
      <c r="W17" s="775">
        <f>J17</f>
        <v>100</v>
      </c>
      <c r="X17" s="1813"/>
      <c r="Y17" s="3174"/>
      <c r="Z17" s="1814" t="str">
        <f>Q17</f>
        <v>交通便捷度</v>
      </c>
      <c r="AA17" s="1811">
        <f t="shared" si="3"/>
        <v>0.95238095238095233</v>
      </c>
      <c r="AB17" s="1811">
        <f t="shared" si="4"/>
        <v>1</v>
      </c>
      <c r="AC17" s="1811">
        <f t="shared" si="5"/>
        <v>1</v>
      </c>
    </row>
    <row r="18" spans="1:29" ht="15">
      <c r="A18" s="428"/>
      <c r="B18" s="456"/>
      <c r="C18" s="2611" t="s">
        <v>3647</v>
      </c>
      <c r="D18" s="450"/>
      <c r="E18" s="2612" t="s">
        <v>3648</v>
      </c>
      <c r="F18" s="450"/>
      <c r="G18" s="2612" t="s">
        <v>3647</v>
      </c>
      <c r="H18" s="448"/>
      <c r="I18" s="2613" t="s">
        <v>3647</v>
      </c>
      <c r="J18" s="448"/>
      <c r="K18" s="2609"/>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2096</v>
      </c>
      <c r="C19" s="2610" t="str">
        <f>估价对象房地状况!C7</f>
        <v>估价对象所在区域公共配套设施齐备情况</v>
      </c>
      <c r="D19" s="455">
        <v>100</v>
      </c>
      <c r="E19" s="459"/>
      <c r="F19" s="455">
        <f>SUMIF(80:80,E20,81:81)-SUMIF(80:80,C20,81:81)+100</f>
        <v>105</v>
      </c>
      <c r="G19" s="459"/>
      <c r="H19" s="450">
        <f>SUMIF(80:80,G20,81:81)-SUMIF(80:80,C20,81:81)+100</f>
        <v>105</v>
      </c>
      <c r="I19" s="457"/>
      <c r="J19" s="450">
        <f>SUMIF(80:80,I20,81:81)-SUMIF(80:80,C20,81:81)+100</f>
        <v>105</v>
      </c>
      <c r="K19" s="445">
        <v>5</v>
      </c>
      <c r="L19" s="1140"/>
      <c r="M19" s="1131"/>
      <c r="N19" s="1131"/>
      <c r="O19" s="1131"/>
      <c r="P19" s="3181"/>
      <c r="Q19" s="1810" t="str">
        <f>B19</f>
        <v>公共配套设施</v>
      </c>
      <c r="R19" s="774" t="s">
        <v>21</v>
      </c>
      <c r="S19" s="775">
        <f>F19</f>
        <v>105</v>
      </c>
      <c r="T19" s="774" t="s">
        <v>21</v>
      </c>
      <c r="U19" s="775">
        <f>H19</f>
        <v>105</v>
      </c>
      <c r="V19" s="774" t="s">
        <v>21</v>
      </c>
      <c r="W19" s="775">
        <f>J19</f>
        <v>105</v>
      </c>
      <c r="X19" s="1813"/>
      <c r="Y19" s="3174"/>
      <c r="Z19" s="1814" t="str">
        <f>Q19</f>
        <v>公共配套设施</v>
      </c>
      <c r="AA19" s="1811">
        <f t="shared" si="3"/>
        <v>0.95238095238095233</v>
      </c>
      <c r="AB19" s="1811">
        <f t="shared" si="4"/>
        <v>0.95238095238095233</v>
      </c>
      <c r="AC19" s="1811">
        <f t="shared" si="5"/>
        <v>0.95238095238095233</v>
      </c>
    </row>
    <row r="20" spans="1:29" ht="15">
      <c r="A20" s="428"/>
      <c r="B20" s="456"/>
      <c r="C20" s="447" t="s">
        <v>3658</v>
      </c>
      <c r="D20" s="448"/>
      <c r="E20" s="2607" t="s">
        <v>3647</v>
      </c>
      <c r="F20" s="448"/>
      <c r="G20" s="2607" t="s">
        <v>3647</v>
      </c>
      <c r="H20" s="448"/>
      <c r="I20" s="2608" t="s">
        <v>3647</v>
      </c>
      <c r="J20" s="448"/>
      <c r="K20" s="2609"/>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2099</v>
      </c>
      <c r="C21" s="2610" t="str">
        <f>估价对象房地状况!C8</f>
        <v>估价对象所在区域基础设施水平</v>
      </c>
      <c r="D21" s="450">
        <v>100</v>
      </c>
      <c r="E21" s="459"/>
      <c r="F21" s="455">
        <f>SUMIF(82:82,E22,83:83)-SUMIF(82:82,C22,83:83)+100</f>
        <v>100</v>
      </c>
      <c r="G21" s="459"/>
      <c r="H21" s="450">
        <f>SUMIF(82:82,G22,83:83)-SUMIF(82:82,C22,83:83)+100</f>
        <v>100</v>
      </c>
      <c r="I21" s="457"/>
      <c r="J21" s="450">
        <f>SUMIF(82:82,I22,83:83)-SUMIF(82:82,C22,83:83)+100</f>
        <v>100</v>
      </c>
      <c r="K21" s="445">
        <v>1</v>
      </c>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1" t="s">
        <v>3649</v>
      </c>
      <c r="D22" s="448"/>
      <c r="E22" s="447" t="s">
        <v>3649</v>
      </c>
      <c r="F22" s="448"/>
      <c r="G22" s="447" t="s">
        <v>3649</v>
      </c>
      <c r="H22" s="448"/>
      <c r="I22" s="447" t="s">
        <v>3649</v>
      </c>
      <c r="J22" s="448"/>
      <c r="K22" s="2615"/>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2103</v>
      </c>
      <c r="C23" s="2610" t="str">
        <f>估价对象房地状况!C9</f>
        <v>区域自然环境：；人文环境；综合评价环境状况一般</v>
      </c>
      <c r="D23" s="450">
        <v>100</v>
      </c>
      <c r="E23" s="454"/>
      <c r="F23" s="450">
        <f>SUMIF(84:84,E24,85:85)-SUMIF(84:84,C24,85:85)+100</f>
        <v>100</v>
      </c>
      <c r="G23" s="454"/>
      <c r="H23" s="450">
        <f>SUMIF(84:84,G24,85:85)-SUMIF(84:84,C24,85:85)+100</f>
        <v>95</v>
      </c>
      <c r="I23" s="452"/>
      <c r="J23" s="450">
        <f>SUMIF(84:84,I24,85:85)-SUMIF(84:84,C24,85:85)+100</f>
        <v>100</v>
      </c>
      <c r="K23" s="445">
        <v>5</v>
      </c>
      <c r="L23" s="1140"/>
      <c r="M23" s="1131"/>
      <c r="N23" s="1131"/>
      <c r="O23" s="1131"/>
      <c r="P23" s="3181"/>
      <c r="Q23" s="1810" t="str">
        <f>B23</f>
        <v>自然及人文环境</v>
      </c>
      <c r="R23" s="774" t="s">
        <v>21</v>
      </c>
      <c r="S23" s="775">
        <f>F23</f>
        <v>100</v>
      </c>
      <c r="T23" s="774" t="s">
        <v>21</v>
      </c>
      <c r="U23" s="775">
        <f>H23</f>
        <v>95</v>
      </c>
      <c r="V23" s="774" t="s">
        <v>21</v>
      </c>
      <c r="W23" s="775">
        <f>J23</f>
        <v>100</v>
      </c>
      <c r="X23" s="1813"/>
      <c r="Y23" s="3174"/>
      <c r="Z23" s="1814" t="str">
        <f>Q23</f>
        <v>自然及人文环境</v>
      </c>
      <c r="AA23" s="1811">
        <f>D23/F23</f>
        <v>1</v>
      </c>
      <c r="AB23" s="1811">
        <f>D23/H23</f>
        <v>1.0526315789473684</v>
      </c>
      <c r="AC23" s="1811">
        <f>D23/J23</f>
        <v>1</v>
      </c>
    </row>
    <row r="24" spans="1:29" ht="15">
      <c r="A24" s="428"/>
      <c r="B24" s="456"/>
      <c r="C24" s="447" t="s">
        <v>3647</v>
      </c>
      <c r="D24" s="448"/>
      <c r="E24" s="2607" t="s">
        <v>3647</v>
      </c>
      <c r="F24" s="448"/>
      <c r="G24" s="2607" t="s">
        <v>3658</v>
      </c>
      <c r="H24" s="448"/>
      <c r="I24" s="2608" t="s">
        <v>3647</v>
      </c>
      <c r="J24" s="448"/>
      <c r="K24" s="2609"/>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2561</v>
      </c>
      <c r="C25" s="460"/>
      <c r="D25" s="435">
        <v>100</v>
      </c>
      <c r="E25" s="2616"/>
      <c r="F25" s="435">
        <f>SUMIF(86:86,E25,87:87)-SUMIF(86:86,C25,87:87)+100</f>
        <v>100</v>
      </c>
      <c r="G25" s="2616"/>
      <c r="H25" s="435">
        <f>SUMIF(86:86,G25,87:87)-SUMIF(86:86,C25,87:87)+100</f>
        <v>100</v>
      </c>
      <c r="I25" s="2617"/>
      <c r="J25" s="435">
        <f>SUMIF(86:86,I25,87:87)-SUMIF(86:86,C25,87:87)+100</f>
        <v>100</v>
      </c>
      <c r="K25" s="426"/>
      <c r="L25" s="1140"/>
      <c r="M25" s="1131"/>
      <c r="N25" s="1131"/>
      <c r="O25" s="1131"/>
      <c r="P25" s="318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4"/>
      <c r="Z25" s="1814" t="str">
        <f>Q25</f>
        <v>楼层-1</v>
      </c>
      <c r="AA25" s="1811">
        <f t="shared" ref="AA25:AA46" si="15">D25/F25</f>
        <v>1</v>
      </c>
      <c r="AB25" s="1811">
        <f t="shared" ref="AB25:AB46" si="16">D25/H25</f>
        <v>1</v>
      </c>
      <c r="AC25" s="1811">
        <f t="shared" ref="AC25:AC46" si="17">D25/J25</f>
        <v>1</v>
      </c>
    </row>
    <row r="26" spans="1:29" ht="15">
      <c r="A26" s="428"/>
      <c r="B26" s="422" t="s">
        <v>2562</v>
      </c>
      <c r="C26" s="460"/>
      <c r="D26" s="435">
        <v>100</v>
      </c>
      <c r="E26" s="2616"/>
      <c r="F26" s="435">
        <f>SUMIF(88:88,E26,89:89)-SUMIF(88:88,C26,89:89)+100</f>
        <v>100</v>
      </c>
      <c r="G26" s="2616"/>
      <c r="H26" s="435">
        <f>SUMIF(88:88,G26,89:89)-SUMIF(88:88,C26,89:89)+100</f>
        <v>100</v>
      </c>
      <c r="I26" s="2617"/>
      <c r="J26" s="435">
        <f>SUMIF(88:88,I26,89:89)-SUMIF(88:88,C26,89:89)+100</f>
        <v>100</v>
      </c>
      <c r="K26" s="426"/>
      <c r="L26" s="1140"/>
      <c r="M26" s="1131"/>
      <c r="N26" s="1131"/>
      <c r="O26" s="1131"/>
      <c r="P26" s="3181"/>
      <c r="Q26" s="1810" t="str">
        <f t="shared" si="11"/>
        <v>朝向</v>
      </c>
      <c r="R26" s="774" t="s">
        <v>21</v>
      </c>
      <c r="S26" s="775">
        <f t="shared" si="12"/>
        <v>100</v>
      </c>
      <c r="T26" s="774" t="s">
        <v>21</v>
      </c>
      <c r="U26" s="775">
        <f t="shared" si="13"/>
        <v>100</v>
      </c>
      <c r="V26" s="774" t="s">
        <v>21</v>
      </c>
      <c r="W26" s="775">
        <f t="shared" si="14"/>
        <v>100</v>
      </c>
      <c r="X26" s="1813"/>
      <c r="Y26" s="3174"/>
      <c r="Z26" s="1814" t="str">
        <f>Q26</f>
        <v>朝向</v>
      </c>
      <c r="AA26" s="1811">
        <f t="shared" si="15"/>
        <v>1</v>
      </c>
      <c r="AB26" s="1811">
        <f t="shared" si="16"/>
        <v>1</v>
      </c>
      <c r="AC26" s="1811">
        <f t="shared" si="17"/>
        <v>1</v>
      </c>
    </row>
    <row r="27" spans="1:29" s="117" customFormat="1" ht="15">
      <c r="A27" s="431"/>
      <c r="B27" s="3297" t="s">
        <v>3816</v>
      </c>
      <c r="C27" s="3299" t="s">
        <v>3817</v>
      </c>
      <c r="D27" s="462">
        <v>100</v>
      </c>
      <c r="E27" s="3300" t="s">
        <v>3818</v>
      </c>
      <c r="F27" s="462">
        <f>SUMIF(90:90,E27,91:91)-SUMIF(90:90,C27,91:91)+100</f>
        <v>105</v>
      </c>
      <c r="G27" s="3300" t="s">
        <v>3803</v>
      </c>
      <c r="H27" s="462">
        <f>SUMIF(90:90,G27,91:91)-SUMIF(90:90,C27,91:91)+100</f>
        <v>110</v>
      </c>
      <c r="I27" s="3303" t="s">
        <v>3821</v>
      </c>
      <c r="J27" s="462">
        <f>SUMIF(90:90,I27,91:91)-SUMIF(90:90,C27,91:91)+100</f>
        <v>105</v>
      </c>
      <c r="K27" s="2604"/>
      <c r="L27" s="1132"/>
      <c r="M27" s="1133"/>
      <c r="N27" s="1133"/>
      <c r="O27" s="1133"/>
      <c r="P27" s="3181"/>
      <c r="Q27" s="1795" t="str">
        <f t="shared" si="11"/>
        <v>商业繁华度</v>
      </c>
      <c r="R27" s="770" t="s">
        <v>21</v>
      </c>
      <c r="S27" s="771">
        <f t="shared" si="12"/>
        <v>105</v>
      </c>
      <c r="T27" s="770" t="s">
        <v>21</v>
      </c>
      <c r="U27" s="771">
        <f t="shared" si="13"/>
        <v>110</v>
      </c>
      <c r="V27" s="770" t="s">
        <v>21</v>
      </c>
      <c r="W27" s="771">
        <f t="shared" si="14"/>
        <v>105</v>
      </c>
      <c r="X27" s="772"/>
      <c r="Y27" s="3174"/>
      <c r="Z27" s="55" t="str">
        <f>Q27</f>
        <v>商业繁华度</v>
      </c>
      <c r="AA27" s="1811">
        <f t="shared" si="15"/>
        <v>0.95238095238095233</v>
      </c>
      <c r="AB27" s="1811">
        <f t="shared" si="16"/>
        <v>0.90909090909090906</v>
      </c>
      <c r="AC27" s="1811">
        <f t="shared" si="17"/>
        <v>0.95238095238095233</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181"/>
      <c r="Q28" s="1810">
        <f t="shared" si="11"/>
        <v>111</v>
      </c>
      <c r="R28" s="774" t="s">
        <v>21</v>
      </c>
      <c r="S28" s="775">
        <f t="shared" si="12"/>
        <v>100</v>
      </c>
      <c r="T28" s="774" t="s">
        <v>21</v>
      </c>
      <c r="U28" s="775">
        <f t="shared" si="13"/>
        <v>100</v>
      </c>
      <c r="V28" s="774" t="s">
        <v>21</v>
      </c>
      <c r="W28" s="775">
        <f t="shared" si="14"/>
        <v>100</v>
      </c>
      <c r="X28" s="1813"/>
      <c r="Y28" s="317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181"/>
      <c r="Q29" s="1810">
        <f t="shared" si="11"/>
        <v>111</v>
      </c>
      <c r="R29" s="774" t="s">
        <v>21</v>
      </c>
      <c r="S29" s="775">
        <f t="shared" si="12"/>
        <v>100</v>
      </c>
      <c r="T29" s="774" t="s">
        <v>21</v>
      </c>
      <c r="U29" s="775">
        <f t="shared" si="13"/>
        <v>100</v>
      </c>
      <c r="V29" s="774" t="s">
        <v>21</v>
      </c>
      <c r="W29" s="775">
        <f t="shared" si="14"/>
        <v>100</v>
      </c>
      <c r="X29" s="1813"/>
      <c r="Y29" s="317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181"/>
      <c r="Q30" s="1810">
        <f t="shared" si="11"/>
        <v>111</v>
      </c>
      <c r="R30" s="774" t="s">
        <v>21</v>
      </c>
      <c r="S30" s="775">
        <f t="shared" si="12"/>
        <v>100</v>
      </c>
      <c r="T30" s="774" t="s">
        <v>21</v>
      </c>
      <c r="U30" s="775">
        <f t="shared" si="13"/>
        <v>100</v>
      </c>
      <c r="V30" s="774" t="s">
        <v>21</v>
      </c>
      <c r="W30" s="775">
        <f t="shared" si="14"/>
        <v>100</v>
      </c>
      <c r="X30" s="1813"/>
      <c r="Y30" s="317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181"/>
      <c r="Q31" s="1810">
        <f t="shared" si="11"/>
        <v>111</v>
      </c>
      <c r="R31" s="774" t="s">
        <v>21</v>
      </c>
      <c r="S31" s="775">
        <f t="shared" si="12"/>
        <v>100</v>
      </c>
      <c r="T31" s="774" t="s">
        <v>21</v>
      </c>
      <c r="U31" s="775">
        <f t="shared" si="13"/>
        <v>100</v>
      </c>
      <c r="V31" s="774" t="s">
        <v>21</v>
      </c>
      <c r="W31" s="775">
        <f t="shared" si="14"/>
        <v>100</v>
      </c>
      <c r="X31" s="1813"/>
      <c r="Y31" s="3174"/>
      <c r="Z31" s="1814">
        <f t="shared" si="18"/>
        <v>111</v>
      </c>
      <c r="AA31" s="1811">
        <f t="shared" si="15"/>
        <v>1</v>
      </c>
      <c r="AB31" s="1811">
        <f t="shared" si="16"/>
        <v>1</v>
      </c>
      <c r="AC31" s="1811">
        <f t="shared" si="17"/>
        <v>1</v>
      </c>
    </row>
    <row r="32" spans="1:29" ht="15">
      <c r="A32" s="440" t="s">
        <v>2563</v>
      </c>
      <c r="B32" s="71" t="s">
        <v>2564</v>
      </c>
      <c r="C32" s="2620" t="s">
        <v>3070</v>
      </c>
      <c r="D32" s="467">
        <v>100</v>
      </c>
      <c r="E32" s="2621" t="s">
        <v>3070</v>
      </c>
      <c r="F32" s="461">
        <f>SUMIF(100:100,E32,101:101)-SUMIF(100:100,C32,101:101)+100</f>
        <v>100</v>
      </c>
      <c r="G32" s="2620" t="s">
        <v>3070</v>
      </c>
      <c r="H32" s="467">
        <f>SUMIF(100:100,G32,101:101)-SUMIF(100:100,C32,101:101)+100</f>
        <v>100</v>
      </c>
      <c r="I32" s="2621" t="s">
        <v>3070</v>
      </c>
      <c r="J32" s="435">
        <f>SUMIF(100:100,I32,101:101)-SUMIF(100:100,C32,101:101)+100</f>
        <v>100</v>
      </c>
      <c r="K32" s="426">
        <v>5</v>
      </c>
      <c r="L32" s="1140"/>
      <c r="M32" s="1131"/>
      <c r="N32" s="1131"/>
      <c r="O32" s="1131"/>
      <c r="P32" s="3175" t="s">
        <v>2565</v>
      </c>
      <c r="Q32" s="1810" t="str">
        <f t="shared" si="11"/>
        <v>建筑类型</v>
      </c>
      <c r="R32" s="774" t="s">
        <v>21</v>
      </c>
      <c r="S32" s="775">
        <f t="shared" si="12"/>
        <v>100</v>
      </c>
      <c r="T32" s="774" t="s">
        <v>21</v>
      </c>
      <c r="U32" s="775">
        <f t="shared" si="13"/>
        <v>100</v>
      </c>
      <c r="V32" s="774" t="s">
        <v>21</v>
      </c>
      <c r="W32" s="775">
        <f t="shared" si="14"/>
        <v>100</v>
      </c>
      <c r="X32" s="1813"/>
      <c r="Y32" s="3178" t="s">
        <v>2565</v>
      </c>
      <c r="Z32" s="1814" t="str">
        <f t="shared" si="18"/>
        <v>建筑类型</v>
      </c>
      <c r="AA32" s="1811">
        <f t="shared" si="15"/>
        <v>1</v>
      </c>
      <c r="AB32" s="1811">
        <f t="shared" si="16"/>
        <v>1</v>
      </c>
      <c r="AC32" s="1811">
        <f t="shared" si="17"/>
        <v>1</v>
      </c>
    </row>
    <row r="33" spans="1:29" s="471" customFormat="1" ht="15">
      <c r="A33" s="468"/>
      <c r="B33" s="422" t="s">
        <v>2566</v>
      </c>
      <c r="C33" s="469"/>
      <c r="D33" s="136">
        <v>100</v>
      </c>
      <c r="E33" s="430">
        <v>235163.98</v>
      </c>
      <c r="F33" s="425">
        <f>LOOKUP(E33,103:103,104:104)-LOOKUP(C33,103:103,104:104)+100</f>
        <v>100</v>
      </c>
      <c r="G33" s="429"/>
      <c r="H33" s="136">
        <f>LOOKUP(G33,103:103,104:104)-LOOKUP(C33,103:103,104:104)+100</f>
        <v>100</v>
      </c>
      <c r="I33" s="430"/>
      <c r="J33" s="136">
        <f>LOOKUP(I33,103:103,104:104)-LOOKUP(C33,103:103,104:104)+100</f>
        <v>100</v>
      </c>
      <c r="K33" s="2604"/>
      <c r="L33" s="1138"/>
      <c r="M33" s="1141"/>
      <c r="N33" s="1141"/>
      <c r="O33" s="1141"/>
      <c r="P33" s="3176"/>
      <c r="Q33" s="776" t="str">
        <f t="shared" si="11"/>
        <v>项目建筑规模</v>
      </c>
      <c r="R33" s="777" t="s">
        <v>21</v>
      </c>
      <c r="S33" s="778">
        <f t="shared" si="12"/>
        <v>100</v>
      </c>
      <c r="T33" s="777" t="s">
        <v>21</v>
      </c>
      <c r="U33" s="778">
        <f t="shared" si="13"/>
        <v>100</v>
      </c>
      <c r="V33" s="777" t="s">
        <v>21</v>
      </c>
      <c r="W33" s="778">
        <f t="shared" si="14"/>
        <v>100</v>
      </c>
      <c r="X33" s="779"/>
      <c r="Y33" s="3178"/>
      <c r="Z33" s="780" t="str">
        <f t="shared" si="18"/>
        <v>项目建筑规模</v>
      </c>
      <c r="AA33" s="1811">
        <f t="shared" si="15"/>
        <v>1</v>
      </c>
      <c r="AB33" s="1811">
        <f t="shared" si="16"/>
        <v>1</v>
      </c>
      <c r="AC33" s="1811">
        <f t="shared" si="17"/>
        <v>1</v>
      </c>
    </row>
    <row r="34" spans="1:29" ht="15">
      <c r="A34" s="472"/>
      <c r="B34" s="422" t="s">
        <v>2567</v>
      </c>
      <c r="C34" s="2622" t="s">
        <v>3801</v>
      </c>
      <c r="D34" s="435">
        <v>100</v>
      </c>
      <c r="E34" s="2622" t="s">
        <v>3801</v>
      </c>
      <c r="F34" s="461">
        <f>SUMIF(105:105,E34,106:106)-SUMIF(105:105,C34,106:106)+100</f>
        <v>100</v>
      </c>
      <c r="G34" s="2622" t="s">
        <v>3801</v>
      </c>
      <c r="H34" s="435">
        <f>SUMIF(105:105,G34,106:106)-SUMIF(105:105,C34,106:106)+100</f>
        <v>100</v>
      </c>
      <c r="I34" s="2622" t="s">
        <v>3801</v>
      </c>
      <c r="J34" s="435">
        <f>SUMIF(105:105,I34,106:106)-SUMIF(105:105,C34,106:106)+100</f>
        <v>100</v>
      </c>
      <c r="K34" s="426">
        <v>5</v>
      </c>
      <c r="L34" s="1140"/>
      <c r="M34" s="1131"/>
      <c r="N34" s="1131"/>
      <c r="O34" s="1131"/>
      <c r="P34" s="3176"/>
      <c r="Q34" s="1810" t="str">
        <f t="shared" si="11"/>
        <v>建筑结构</v>
      </c>
      <c r="R34" s="774" t="s">
        <v>21</v>
      </c>
      <c r="S34" s="775">
        <f t="shared" si="12"/>
        <v>100</v>
      </c>
      <c r="T34" s="774" t="s">
        <v>21</v>
      </c>
      <c r="U34" s="775">
        <f t="shared" si="13"/>
        <v>100</v>
      </c>
      <c r="V34" s="774" t="s">
        <v>21</v>
      </c>
      <c r="W34" s="775">
        <f t="shared" si="14"/>
        <v>100</v>
      </c>
      <c r="X34" s="1813"/>
      <c r="Y34" s="3178"/>
      <c r="Z34" s="1814" t="str">
        <f t="shared" si="18"/>
        <v>建筑结构</v>
      </c>
      <c r="AA34" s="1811">
        <f t="shared" si="15"/>
        <v>1</v>
      </c>
      <c r="AB34" s="1811">
        <f t="shared" si="16"/>
        <v>1</v>
      </c>
      <c r="AC34" s="1811">
        <f t="shared" si="17"/>
        <v>1</v>
      </c>
    </row>
    <row r="35" spans="1:29" ht="15">
      <c r="A35" s="472"/>
      <c r="B35" s="422" t="s">
        <v>2568</v>
      </c>
      <c r="C35" s="2616" t="s">
        <v>3648</v>
      </c>
      <c r="D35" s="435">
        <v>100</v>
      </c>
      <c r="E35" s="2616" t="s">
        <v>3648</v>
      </c>
      <c r="F35" s="461">
        <f>SUMIF(107:107,E35,108:108)-SUMIF(107:107,C35,108:108)+100</f>
        <v>100</v>
      </c>
      <c r="G35" s="2616" t="s">
        <v>3648</v>
      </c>
      <c r="H35" s="435">
        <f>SUMIF(107:107,G35,108:108)-SUMIF(107:107,C35,108:108)+100</f>
        <v>100</v>
      </c>
      <c r="I35" s="2616" t="s">
        <v>3648</v>
      </c>
      <c r="J35" s="435">
        <f>SUMIF(107:107,I35,108:108)-SUMIF(107:107,C35,108:108)+100</f>
        <v>100</v>
      </c>
      <c r="K35" s="426">
        <v>5</v>
      </c>
      <c r="L35" s="1140"/>
      <c r="M35" s="1131"/>
      <c r="N35" s="1131"/>
      <c r="O35" s="1131"/>
      <c r="P35" s="3176"/>
      <c r="Q35" s="1810" t="str">
        <f t="shared" si="11"/>
        <v>建筑品质</v>
      </c>
      <c r="R35" s="774" t="s">
        <v>21</v>
      </c>
      <c r="S35" s="775">
        <f t="shared" si="12"/>
        <v>100</v>
      </c>
      <c r="T35" s="774" t="s">
        <v>21</v>
      </c>
      <c r="U35" s="775">
        <f t="shared" si="13"/>
        <v>100</v>
      </c>
      <c r="V35" s="774" t="s">
        <v>21</v>
      </c>
      <c r="W35" s="775">
        <f t="shared" si="14"/>
        <v>100</v>
      </c>
      <c r="X35" s="1813"/>
      <c r="Y35" s="3178"/>
      <c r="Z35" s="1814" t="str">
        <f t="shared" si="18"/>
        <v>建筑品质</v>
      </c>
      <c r="AA35" s="1811">
        <f t="shared" si="15"/>
        <v>1</v>
      </c>
      <c r="AB35" s="1811">
        <f t="shared" si="16"/>
        <v>1</v>
      </c>
      <c r="AC35" s="1811">
        <f t="shared" si="17"/>
        <v>1</v>
      </c>
    </row>
    <row r="36" spans="1:29" ht="15">
      <c r="A36" s="472"/>
      <c r="B36" s="422" t="s">
        <v>2569</v>
      </c>
      <c r="C36" s="2616" t="s">
        <v>3804</v>
      </c>
      <c r="D36" s="435">
        <v>100</v>
      </c>
      <c r="E36" s="2616" t="s">
        <v>3804</v>
      </c>
      <c r="F36" s="461">
        <f>SUMIF(109:109,E36,110:110)-SUMIF(109:109,C36,110:110)+100</f>
        <v>100</v>
      </c>
      <c r="G36" s="2616" t="s">
        <v>3804</v>
      </c>
      <c r="H36" s="435">
        <f>SUMIF(109:109,G36,110:110)-SUMIF(109:109,C36,110:110)+100</f>
        <v>100</v>
      </c>
      <c r="I36" s="2616" t="s">
        <v>3804</v>
      </c>
      <c r="J36" s="435">
        <f>SUMIF(109:109,I36,110:110)-SUMIF(109:109,C36,110:110)+100</f>
        <v>100</v>
      </c>
      <c r="K36" s="426">
        <v>2</v>
      </c>
      <c r="L36" s="1140"/>
      <c r="M36" s="1131"/>
      <c r="N36" s="1131"/>
      <c r="O36" s="1131"/>
      <c r="P36" s="3176"/>
      <c r="Q36" s="1810" t="str">
        <f t="shared" si="11"/>
        <v>公共部分装修</v>
      </c>
      <c r="R36" s="774" t="s">
        <v>21</v>
      </c>
      <c r="S36" s="775">
        <f t="shared" si="12"/>
        <v>100</v>
      </c>
      <c r="T36" s="774" t="s">
        <v>21</v>
      </c>
      <c r="U36" s="775">
        <f t="shared" si="13"/>
        <v>100</v>
      </c>
      <c r="V36" s="774" t="s">
        <v>21</v>
      </c>
      <c r="W36" s="775">
        <f t="shared" si="14"/>
        <v>100</v>
      </c>
      <c r="X36" s="1813"/>
      <c r="Y36" s="3178"/>
      <c r="Z36" s="1814" t="str">
        <f t="shared" si="18"/>
        <v>公共部分装修</v>
      </c>
      <c r="AA36" s="1811">
        <f t="shared" si="15"/>
        <v>1</v>
      </c>
      <c r="AB36" s="1811">
        <f t="shared" si="16"/>
        <v>1</v>
      </c>
      <c r="AC36" s="1811">
        <f t="shared" si="17"/>
        <v>1</v>
      </c>
    </row>
    <row r="37" spans="1:29" s="117" customFormat="1" ht="15">
      <c r="A37" s="473"/>
      <c r="B37" s="422" t="s">
        <v>2570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176"/>
      <c r="Q37" s="1795" t="str">
        <f t="shared" si="11"/>
        <v>成新度</v>
      </c>
      <c r="R37" s="770" t="s">
        <v>21</v>
      </c>
      <c r="S37" s="771">
        <f t="shared" si="12"/>
        <v>100</v>
      </c>
      <c r="T37" s="770" t="s">
        <v>21</v>
      </c>
      <c r="U37" s="771">
        <f t="shared" si="13"/>
        <v>100</v>
      </c>
      <c r="V37" s="770" t="s">
        <v>21</v>
      </c>
      <c r="W37" s="771">
        <f t="shared" si="14"/>
        <v>100</v>
      </c>
      <c r="X37" s="772"/>
      <c r="Y37" s="3178"/>
      <c r="Z37" s="55" t="str">
        <f t="shared" si="18"/>
        <v>成新度</v>
      </c>
      <c r="AA37" s="773">
        <f t="shared" si="15"/>
        <v>1</v>
      </c>
      <c r="AB37" s="773">
        <f t="shared" si="16"/>
        <v>1</v>
      </c>
      <c r="AC37" s="773">
        <f t="shared" si="17"/>
        <v>1</v>
      </c>
    </row>
    <row r="38" spans="1:29" ht="15">
      <c r="A38" s="472"/>
      <c r="B38" s="422" t="s">
        <v>2571</v>
      </c>
      <c r="C38" s="2616" t="s">
        <v>3806</v>
      </c>
      <c r="D38" s="435">
        <v>100</v>
      </c>
      <c r="E38" s="2616" t="s">
        <v>3806</v>
      </c>
      <c r="F38" s="461">
        <f>SUMIF(114:114,E38,115:115)-SUMIF(114:114,C38,115:115)+100</f>
        <v>100</v>
      </c>
      <c r="G38" s="2616" t="s">
        <v>3806</v>
      </c>
      <c r="H38" s="435">
        <f>SUMIF(114:114,G38,115:115)-SUMIF(114:114,C38,115:115)+100</f>
        <v>100</v>
      </c>
      <c r="I38" s="2616" t="s">
        <v>3806</v>
      </c>
      <c r="J38" s="435">
        <f>SUMIF(114:114,I38,115:115)-SUMIF(114:114,C38,115:115)+100</f>
        <v>100</v>
      </c>
      <c r="K38" s="426">
        <v>5</v>
      </c>
      <c r="L38" s="1140"/>
      <c r="M38" s="1131"/>
      <c r="N38" s="1131"/>
      <c r="O38" s="1131"/>
      <c r="P38" s="3176" t="s">
        <v>2565</v>
      </c>
      <c r="Q38" s="1810" t="str">
        <f t="shared" si="11"/>
        <v>物业管理</v>
      </c>
      <c r="R38" s="774" t="s">
        <v>21</v>
      </c>
      <c r="S38" s="775">
        <f t="shared" si="12"/>
        <v>100</v>
      </c>
      <c r="T38" s="774" t="s">
        <v>21</v>
      </c>
      <c r="U38" s="775">
        <f t="shared" si="13"/>
        <v>100</v>
      </c>
      <c r="V38" s="774" t="s">
        <v>21</v>
      </c>
      <c r="W38" s="775">
        <f t="shared" si="14"/>
        <v>100</v>
      </c>
      <c r="X38" s="1813"/>
      <c r="Y38" s="3178" t="s">
        <v>2565</v>
      </c>
      <c r="Z38" s="1814" t="str">
        <f t="shared" si="18"/>
        <v>物业管理</v>
      </c>
      <c r="AA38" s="1811">
        <f t="shared" si="15"/>
        <v>1</v>
      </c>
      <c r="AB38" s="1811">
        <f t="shared" si="16"/>
        <v>1</v>
      </c>
      <c r="AC38" s="1811">
        <f t="shared" si="17"/>
        <v>1</v>
      </c>
    </row>
    <row r="39" spans="1:29" ht="15">
      <c r="A39" s="472"/>
      <c r="B39" s="422" t="s">
        <v>2572</v>
      </c>
      <c r="C39" s="2616" t="s">
        <v>3649</v>
      </c>
      <c r="D39" s="435">
        <v>100</v>
      </c>
      <c r="E39" s="2616" t="s">
        <v>3649</v>
      </c>
      <c r="F39" s="461">
        <f>SUMIF(116:116,E39,117:117)-SUMIF(116:116,C39,117:117)+100</f>
        <v>100</v>
      </c>
      <c r="G39" s="2616" t="s">
        <v>3649</v>
      </c>
      <c r="H39" s="435">
        <f>SUMIF(116:116,G39,117:117)-SUMIF(116:116,C39,117:117)+100</f>
        <v>100</v>
      </c>
      <c r="I39" s="2616" t="s">
        <v>3649</v>
      </c>
      <c r="J39" s="435">
        <f>SUMIF(116:116,I39,117:117)-SUMIF(116:116,C39,117:117)+100</f>
        <v>100</v>
      </c>
      <c r="K39" s="426">
        <v>1</v>
      </c>
      <c r="L39" s="1140"/>
      <c r="M39" s="1131"/>
      <c r="N39" s="1131"/>
      <c r="O39" s="1131"/>
      <c r="P39" s="3176"/>
      <c r="Q39" s="1810" t="str">
        <f t="shared" si="11"/>
        <v>市政基础设施</v>
      </c>
      <c r="R39" s="774" t="s">
        <v>21</v>
      </c>
      <c r="S39" s="775">
        <f t="shared" si="12"/>
        <v>100</v>
      </c>
      <c r="T39" s="774" t="s">
        <v>21</v>
      </c>
      <c r="U39" s="775">
        <f t="shared" si="13"/>
        <v>100</v>
      </c>
      <c r="V39" s="774" t="s">
        <v>21</v>
      </c>
      <c r="W39" s="775">
        <f t="shared" si="14"/>
        <v>100</v>
      </c>
      <c r="X39" s="1813"/>
      <c r="Y39" s="3178"/>
      <c r="Z39" s="1814" t="str">
        <f t="shared" si="18"/>
        <v>市政基础设施</v>
      </c>
      <c r="AA39" s="1811">
        <f t="shared" si="15"/>
        <v>1</v>
      </c>
      <c r="AB39" s="1811">
        <f t="shared" si="16"/>
        <v>1</v>
      </c>
      <c r="AC39" s="1811">
        <f t="shared" si="17"/>
        <v>1</v>
      </c>
    </row>
    <row r="40" spans="1:29" ht="15">
      <c r="A40" s="472"/>
      <c r="B40" s="422" t="s">
        <v>2573</v>
      </c>
      <c r="C40" s="2616" t="s">
        <v>3811</v>
      </c>
      <c r="D40" s="435">
        <v>100</v>
      </c>
      <c r="E40" s="2616" t="s">
        <v>3809</v>
      </c>
      <c r="F40" s="461">
        <f>SUMIF(118:118,E40,119:119)-SUMIF(118:118,C40,119:119)+100</f>
        <v>115</v>
      </c>
      <c r="G40" s="2616" t="s">
        <v>3809</v>
      </c>
      <c r="H40" s="435">
        <f>SUMIF(118:118,G40,119:119)-SUMIF(118:118,C40,119:119)+100</f>
        <v>115</v>
      </c>
      <c r="I40" s="2616" t="s">
        <v>3809</v>
      </c>
      <c r="J40" s="435">
        <f>SUMIF(118:118,I40,119:119)-SUMIF(118:118,C40,119:119)+100</f>
        <v>115</v>
      </c>
      <c r="K40" s="426">
        <v>15</v>
      </c>
      <c r="L40" s="1140"/>
      <c r="M40" s="1131"/>
      <c r="N40" s="1131"/>
      <c r="O40" s="1131"/>
      <c r="P40" s="3176"/>
      <c r="Q40" s="1810" t="str">
        <f t="shared" si="11"/>
        <v>房型</v>
      </c>
      <c r="R40" s="774" t="s">
        <v>21</v>
      </c>
      <c r="S40" s="775">
        <f t="shared" si="12"/>
        <v>115</v>
      </c>
      <c r="T40" s="774" t="s">
        <v>21</v>
      </c>
      <c r="U40" s="775">
        <f t="shared" si="13"/>
        <v>115</v>
      </c>
      <c r="V40" s="774" t="s">
        <v>21</v>
      </c>
      <c r="W40" s="775">
        <f t="shared" si="14"/>
        <v>115</v>
      </c>
      <c r="X40" s="1813"/>
      <c r="Y40" s="3178"/>
      <c r="Z40" s="1814" t="str">
        <f t="shared" si="18"/>
        <v>房型</v>
      </c>
      <c r="AA40" s="1811">
        <f t="shared" si="15"/>
        <v>0.86956521739130432</v>
      </c>
      <c r="AB40" s="1811">
        <f t="shared" si="16"/>
        <v>0.86956521739130432</v>
      </c>
      <c r="AC40" s="1811">
        <f t="shared" si="17"/>
        <v>0.86956521739130432</v>
      </c>
    </row>
    <row r="41" spans="1:29" s="471" customFormat="1" ht="28.5">
      <c r="A41" s="468"/>
      <c r="B41" s="422" t="s">
        <v>2574</v>
      </c>
      <c r="C41" s="469" t="s">
        <v>3815</v>
      </c>
      <c r="D41" s="136">
        <v>100</v>
      </c>
      <c r="E41" s="469" t="s">
        <v>3815</v>
      </c>
      <c r="F41" s="425">
        <f>SUMIF(120:120,E41,121:121)-SUMIF(120:120,C41,121:121)+100</f>
        <v>100</v>
      </c>
      <c r="G41" s="469" t="s">
        <v>3815</v>
      </c>
      <c r="H41" s="136">
        <f>SUMIF(120:120,G41,121:121)-SUMIF(120:120,C41,121:121)+100</f>
        <v>100</v>
      </c>
      <c r="I41" s="469" t="s">
        <v>3815</v>
      </c>
      <c r="J41" s="435">
        <f>SUMIF(120:120,I41,121:121)-SUMIF(120:120,C41,121:121)+100</f>
        <v>100</v>
      </c>
      <c r="K41" s="2604"/>
      <c r="L41" s="1138"/>
      <c r="M41" s="1141"/>
      <c r="N41" s="1141"/>
      <c r="O41" s="1141"/>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1">
        <f t="shared" si="15"/>
        <v>1</v>
      </c>
      <c r="AB41" s="1811">
        <f t="shared" si="16"/>
        <v>1</v>
      </c>
      <c r="AC41" s="1811">
        <f t="shared" si="17"/>
        <v>1</v>
      </c>
    </row>
    <row r="42" spans="1:29" ht="15">
      <c r="A42" s="472"/>
      <c r="B42" s="422" t="s">
        <v>2575</v>
      </c>
      <c r="C42" s="2616" t="s">
        <v>3804</v>
      </c>
      <c r="D42" s="435">
        <v>100</v>
      </c>
      <c r="E42" s="2616" t="s">
        <v>3813</v>
      </c>
      <c r="F42" s="461">
        <f>SUMIF(122:122,E42,123:123)-SUMIF(122:122,C42,123:123)+100</f>
        <v>91</v>
      </c>
      <c r="G42" s="2616" t="s">
        <v>3813</v>
      </c>
      <c r="H42" s="435">
        <f>SUMIF(122:122,G42,123:123)-SUMIF(122:122,C42,123:123)+100</f>
        <v>91</v>
      </c>
      <c r="I42" s="2616" t="s">
        <v>3813</v>
      </c>
      <c r="J42" s="435">
        <f>SUMIF(122:122,I42,123:123)-SUMIF(122:122,C42,123:123)+100</f>
        <v>91</v>
      </c>
      <c r="K42" s="426">
        <v>3</v>
      </c>
      <c r="L42" s="1140"/>
      <c r="M42" s="1131"/>
      <c r="N42" s="1131"/>
      <c r="O42" s="1131"/>
      <c r="P42" s="3176"/>
      <c r="Q42" s="1810" t="str">
        <f t="shared" si="11"/>
        <v>内部装修</v>
      </c>
      <c r="R42" s="774" t="s">
        <v>21</v>
      </c>
      <c r="S42" s="775">
        <f t="shared" si="12"/>
        <v>91</v>
      </c>
      <c r="T42" s="774" t="s">
        <v>21</v>
      </c>
      <c r="U42" s="775">
        <f t="shared" si="13"/>
        <v>91</v>
      </c>
      <c r="V42" s="774" t="s">
        <v>21</v>
      </c>
      <c r="W42" s="775">
        <f t="shared" si="14"/>
        <v>91</v>
      </c>
      <c r="X42" s="1813"/>
      <c r="Y42" s="3178"/>
      <c r="Z42" s="1814" t="str">
        <f t="shared" si="18"/>
        <v>内部装修</v>
      </c>
      <c r="AA42" s="1811">
        <f t="shared" si="15"/>
        <v>1.098901098901099</v>
      </c>
      <c r="AB42" s="1811">
        <f t="shared" si="16"/>
        <v>1.098901098901099</v>
      </c>
      <c r="AC42" s="1811">
        <f t="shared" si="17"/>
        <v>1.098901098901099</v>
      </c>
    </row>
    <row r="43" spans="1:29" ht="15">
      <c r="A43" s="472"/>
      <c r="B43" s="422" t="s">
        <v>2576</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176"/>
      <c r="Q43" s="1810" t="str">
        <f t="shared" si="11"/>
        <v>内部装修维护情况</v>
      </c>
      <c r="R43" s="774" t="s">
        <v>21</v>
      </c>
      <c r="S43" s="775">
        <f t="shared" si="12"/>
        <v>100</v>
      </c>
      <c r="T43" s="774" t="s">
        <v>21</v>
      </c>
      <c r="U43" s="775">
        <f t="shared" si="13"/>
        <v>100</v>
      </c>
      <c r="V43" s="774" t="s">
        <v>21</v>
      </c>
      <c r="W43" s="775">
        <f t="shared" si="14"/>
        <v>100</v>
      </c>
      <c r="X43" s="1813"/>
      <c r="Y43" s="317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176"/>
      <c r="Q44" s="1795">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176"/>
      <c r="Q45" s="1810">
        <f t="shared" si="11"/>
        <v>111</v>
      </c>
      <c r="R45" s="774" t="s">
        <v>21</v>
      </c>
      <c r="S45" s="775">
        <f t="shared" si="12"/>
        <v>100</v>
      </c>
      <c r="T45" s="774" t="s">
        <v>21</v>
      </c>
      <c r="U45" s="775">
        <f t="shared" si="13"/>
        <v>100</v>
      </c>
      <c r="V45" s="774" t="s">
        <v>21</v>
      </c>
      <c r="W45" s="775">
        <f t="shared" si="14"/>
        <v>100</v>
      </c>
      <c r="X45" s="1813"/>
      <c r="Y45" s="3178"/>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177"/>
      <c r="Q46" s="1810">
        <f t="shared" si="11"/>
        <v>111</v>
      </c>
      <c r="R46" s="774" t="s">
        <v>20</v>
      </c>
      <c r="S46" s="775">
        <f t="shared" si="12"/>
        <v>100</v>
      </c>
      <c r="T46" s="774" t="s">
        <v>20</v>
      </c>
      <c r="U46" s="775">
        <f t="shared" si="13"/>
        <v>100</v>
      </c>
      <c r="V46" s="774" t="s">
        <v>20</v>
      </c>
      <c r="W46" s="775">
        <f t="shared" si="14"/>
        <v>100</v>
      </c>
      <c r="X46" s="1813"/>
      <c r="Y46" s="3179"/>
      <c r="Z46" s="1814">
        <f t="shared" si="18"/>
        <v>111</v>
      </c>
      <c r="AA46" s="1811">
        <f t="shared" si="15"/>
        <v>1</v>
      </c>
      <c r="AB46" s="1811">
        <f t="shared" si="16"/>
        <v>1</v>
      </c>
      <c r="AC46" s="1811">
        <f t="shared" si="17"/>
        <v>1</v>
      </c>
    </row>
    <row r="47" spans="1:29" ht="15">
      <c r="A47" s="479" t="s">
        <v>2577</v>
      </c>
      <c r="B47" s="480"/>
      <c r="C47" s="1407" t="s">
        <v>19</v>
      </c>
      <c r="D47" s="1408"/>
      <c r="E47" s="1409">
        <v>15000</v>
      </c>
      <c r="F47" s="1410"/>
      <c r="G47" s="1411">
        <v>15000</v>
      </c>
      <c r="H47" s="1412"/>
      <c r="I47" s="1409">
        <v>14500</v>
      </c>
      <c r="J47" s="1412"/>
      <c r="K47" s="2623"/>
      <c r="L47" s="1143"/>
      <c r="M47" s="1144"/>
      <c r="N47" s="1131"/>
      <c r="O47" s="1144"/>
      <c r="P47" s="3171" t="str">
        <f>A47</f>
        <v>成交单价（元/平方米）</v>
      </c>
      <c r="Q47" s="3171"/>
      <c r="R47" s="3172">
        <f>E47</f>
        <v>15000</v>
      </c>
      <c r="S47" s="3172"/>
      <c r="T47" s="3172">
        <f>G47</f>
        <v>15000</v>
      </c>
      <c r="U47" s="3172"/>
      <c r="V47" s="3172">
        <f>I47</f>
        <v>14500</v>
      </c>
      <c r="W47" s="3172"/>
      <c r="X47" s="759"/>
      <c r="Y47" s="781"/>
      <c r="Z47" s="759"/>
      <c r="AA47" s="759"/>
      <c r="AB47" s="759"/>
      <c r="AC47" s="759"/>
    </row>
    <row r="48" spans="1:29" ht="15.75" thickBot="1">
      <c r="A48" s="486" t="s">
        <v>2578</v>
      </c>
      <c r="B48" s="487"/>
      <c r="C48" s="1413">
        <f>R49</f>
        <v>11960</v>
      </c>
      <c r="D48" s="1414"/>
      <c r="E48" s="1415">
        <f>R48</f>
        <v>11792</v>
      </c>
      <c r="F48" s="1415"/>
      <c r="G48" s="1413">
        <f>T48</f>
        <v>12118</v>
      </c>
      <c r="H48" s="1414"/>
      <c r="I48" s="1415">
        <f>V48</f>
        <v>11969</v>
      </c>
      <c r="J48" s="1414"/>
      <c r="K48" s="2624"/>
      <c r="L48" s="1143"/>
      <c r="M48" s="1144"/>
      <c r="N48" s="1144"/>
      <c r="O48" s="1144"/>
      <c r="P48" s="3171" t="str">
        <f>A48</f>
        <v>比较价值（元/平方米）</v>
      </c>
      <c r="Q48" s="3171"/>
      <c r="R48" s="3172">
        <f>IF(F1="售价",ROUND(PRODUCT(R47,AA7:AA46),0),ROUND(PRODUCT(R47,AA7:AA46),1))</f>
        <v>11792</v>
      </c>
      <c r="S48" s="3172"/>
      <c r="T48" s="3172">
        <f>IF(F1="售价",ROUND(PRODUCT(T47,AB7:AB46),0),ROUND(PRODUCT(T47,AB7:AB46),1))</f>
        <v>12118</v>
      </c>
      <c r="U48" s="3172"/>
      <c r="V48" s="3172">
        <f>IF(F1="售价",ROUND(PRODUCT(V47,AC7:AC46),0),ROUND(PRODUCT(V47,AC7:AC46),1))</f>
        <v>11969</v>
      </c>
      <c r="W48" s="3172"/>
      <c r="X48" s="759"/>
      <c r="Y48" s="759"/>
      <c r="Z48" s="759"/>
      <c r="AA48" s="759"/>
      <c r="AB48" s="759"/>
      <c r="AC48" s="759"/>
    </row>
    <row r="49" spans="1:29" ht="15.75" thickBot="1">
      <c r="A49" s="492" t="s">
        <v>2579</v>
      </c>
      <c r="B49" s="493"/>
      <c r="C49" s="1416">
        <f>R49</f>
        <v>11960</v>
      </c>
      <c r="D49" s="1417"/>
      <c r="E49" s="1417"/>
      <c r="F49" s="1417"/>
      <c r="G49" s="1417"/>
      <c r="H49" s="1417"/>
      <c r="I49" s="1417"/>
      <c r="J49" s="1417"/>
      <c r="K49" s="2625"/>
      <c r="L49" s="1143"/>
      <c r="M49" s="1144"/>
      <c r="N49" s="1144"/>
      <c r="O49" s="1144"/>
      <c r="P49" s="3168" t="str">
        <f>A49</f>
        <v>估价对象XX用房的比较价值（楼面单价，元/平方米）</v>
      </c>
      <c r="Q49" s="3169"/>
      <c r="R49" s="3170">
        <f>IF(F1="售价",ROUND(AVERAGE(R48:V48),0),ROUND(AVERAGE(R48:V48),1))</f>
        <v>11960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2580</v>
      </c>
      <c r="D52" s="498"/>
      <c r="E52" s="499">
        <f>IF(E47&lt;E48,E48/E47-1,E47/E48-1)</f>
        <v>0.27204884667571227</v>
      </c>
      <c r="F52" s="500" t="str">
        <f>IF(OR(E52&gt;=0.3,E52&lt;=-0.3),"超过30%","")</f>
        <v/>
      </c>
      <c r="G52" s="499">
        <f>IF(G47&lt;G48,G48/G47-1,G47/G48-1)</f>
        <v>0.23782802442647299</v>
      </c>
      <c r="H52" s="500" t="str">
        <f>IF(OR(G52&gt;=0.3,G52&lt;=-0.3),"超过30%","")</f>
        <v/>
      </c>
      <c r="I52" s="499">
        <f>IF(I47&lt;I48,I48/I47-1,I47/I48-1)</f>
        <v>0.21146294594368786</v>
      </c>
      <c r="J52" s="500" t="str">
        <f>IF(OR(I52&gt;=0.3,I52&lt;=-0.3),"超过30%","")</f>
        <v/>
      </c>
      <c r="K52" s="1105"/>
      <c r="L52" s="1106"/>
      <c r="M52" s="1144"/>
      <c r="N52" s="1144"/>
      <c r="O52" s="1144"/>
    </row>
    <row r="53" spans="1:29" ht="13.5" customHeight="1">
      <c r="A53" s="1144"/>
      <c r="B53" s="1144"/>
      <c r="C53" s="497" t="s">
        <v>2581</v>
      </c>
      <c r="D53" s="501"/>
      <c r="E53" s="499">
        <f>IF(E48&lt;G48,G48/E48-1,E48/G48-1)</f>
        <v>2.7645861601085508E-2</v>
      </c>
      <c r="F53" s="500" t="str">
        <f>IF(OR(E53&gt;=0.2,E53&lt;=-0.2),"超过20%","")</f>
        <v/>
      </c>
      <c r="G53" s="499">
        <f>IF(G48&lt;I48,I48/G48-1,G48/I48-1)</f>
        <v>1.2448826134179969E-2</v>
      </c>
      <c r="H53" s="500" t="str">
        <f>IF(OR(G53&gt;=0.2,G53&lt;=-0.2),"超过20%","")</f>
        <v/>
      </c>
      <c r="I53" s="499">
        <f>IF(I48&lt;E48,E48/I48-1,I48/E48-1)</f>
        <v>1.5010176390773511E-2</v>
      </c>
      <c r="J53" s="500" t="str">
        <f>IF(OR(I53&gt;=0.2,I53&lt;=-0.2),"超过20%","")</f>
        <v/>
      </c>
      <c r="K53" s="1105"/>
      <c r="L53" s="1106"/>
      <c r="M53" s="1144"/>
      <c r="N53" s="1144"/>
      <c r="O53" s="1144"/>
    </row>
    <row r="54" spans="1:29" s="502" customFormat="1" ht="13.5" customHeight="1">
      <c r="A54" s="1145"/>
      <c r="B54" s="1145"/>
      <c r="C54" s="497" t="s">
        <v>2582</v>
      </c>
      <c r="D54" s="501"/>
      <c r="E54" s="499">
        <f>IF(E47&lt;G47,G47/E47-1,E47/G47-1)</f>
        <v>0</v>
      </c>
      <c r="F54" s="500" t="str">
        <f>IF(OR(E54&gt;=0.3,E54&lt;=-0.3),"超过30%","")</f>
        <v/>
      </c>
      <c r="G54" s="499">
        <f>IF(G47&lt;I47,I47/G47-1,G47/I47-1)</f>
        <v>3.4482758620689724E-2</v>
      </c>
      <c r="H54" s="500" t="str">
        <f>IF(OR(G54&gt;=0.3,G54&lt;=-0.3),"超过30%","")</f>
        <v/>
      </c>
      <c r="I54" s="499">
        <f>IF(I47&lt;E47,E47/I47-1,I47/E47-1)</f>
        <v>3.4482758620689724E-2</v>
      </c>
      <c r="J54" s="500" t="str">
        <f>IF(OR(I54&gt;=0.3,I54&lt;=-0.3),"超过30%","")</f>
        <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2583</v>
      </c>
      <c r="B57" s="759"/>
      <c r="C57" s="764"/>
      <c r="D57" s="764"/>
      <c r="E57" s="764"/>
      <c r="F57" s="765"/>
      <c r="G57" s="765"/>
      <c r="H57" s="764"/>
      <c r="I57" s="764"/>
      <c r="J57" s="764"/>
      <c r="K57" s="1160"/>
      <c r="L57" s="1161"/>
      <c r="M57" s="1159"/>
      <c r="N57" s="1159"/>
      <c r="O57" s="1159"/>
      <c r="P57" s="2628"/>
      <c r="Q57" s="504"/>
    </row>
    <row r="58" spans="1:29" s="508" customFormat="1" ht="15">
      <c r="A58" s="505" t="s">
        <v>2584</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2586</v>
      </c>
      <c r="B61" s="510"/>
      <c r="C61" s="522" t="s">
        <v>2587</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t="str">
        <f>C9</f>
        <v>商住公寓</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32"/>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3"/>
      <c r="O67" s="1153"/>
      <c r="P67" s="2632"/>
      <c r="Q67" s="504"/>
    </row>
    <row r="68" spans="1:17" ht="15">
      <c r="A68" s="534"/>
      <c r="B68" s="548"/>
      <c r="C68" s="549">
        <v>0</v>
      </c>
      <c r="D68" s="549">
        <v>1</v>
      </c>
      <c r="E68" s="549">
        <v>2</v>
      </c>
      <c r="F68" s="549">
        <v>3</v>
      </c>
      <c r="G68" s="549">
        <v>4</v>
      </c>
      <c r="H68" s="549">
        <v>5</v>
      </c>
      <c r="I68" s="549">
        <v>6</v>
      </c>
      <c r="J68" s="549">
        <v>7</v>
      </c>
      <c r="K68" s="549">
        <v>8</v>
      </c>
      <c r="L68" s="549">
        <v>9</v>
      </c>
      <c r="M68" s="552"/>
      <c r="N68" s="1152"/>
      <c r="O68" s="1152"/>
      <c r="P68" s="2632"/>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95</v>
      </c>
      <c r="E81" s="544">
        <f>D81-$K19</f>
        <v>90</v>
      </c>
      <c r="F81" s="544">
        <f>E81-$K19</f>
        <v>85</v>
      </c>
      <c r="G81" s="544">
        <f>F81-$K19</f>
        <v>80</v>
      </c>
      <c r="H81" s="544"/>
      <c r="I81" s="544"/>
      <c r="J81" s="544"/>
      <c r="K81" s="544"/>
      <c r="L81" s="544"/>
      <c r="M81" s="545"/>
      <c r="N81" s="1153"/>
      <c r="O81" s="1153"/>
      <c r="P81" s="2632"/>
      <c r="Q81" s="504"/>
    </row>
    <row r="82" spans="1:17" ht="15.75" thickTop="1">
      <c r="A82" s="534"/>
      <c r="B82" s="546" t="s">
        <v>2099</v>
      </c>
      <c r="C82" s="539" t="s">
        <v>2604</v>
      </c>
      <c r="D82" s="539" t="s">
        <v>2605</v>
      </c>
      <c r="E82" s="539" t="s">
        <v>2606</v>
      </c>
      <c r="F82" s="539" t="s">
        <v>2607</v>
      </c>
      <c r="G82" s="539" t="s">
        <v>2608</v>
      </c>
      <c r="H82" s="539"/>
      <c r="I82" s="539"/>
      <c r="J82" s="539"/>
      <c r="K82" s="539"/>
      <c r="L82" s="539"/>
      <c r="M82" s="1382"/>
      <c r="N82" s="1153"/>
      <c r="O82" s="1153"/>
      <c r="P82" s="2632"/>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3"/>
      <c r="O85" s="1153"/>
      <c r="P85" s="2632"/>
      <c r="Q85" s="504"/>
    </row>
    <row r="86" spans="1:17" s="117" customFormat="1" ht="15.75" thickTop="1">
      <c r="A86" s="579"/>
      <c r="B86" s="538" t="s">
        <v>2610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2611</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t="str">
        <f>B27</f>
        <v>商业繁华度</v>
      </c>
      <c r="C90" s="3298" t="s">
        <v>2597</v>
      </c>
      <c r="D90" s="3298" t="s">
        <v>2598</v>
      </c>
      <c r="E90" s="3298" t="s">
        <v>2599</v>
      </c>
      <c r="F90" s="3298" t="s">
        <v>2600</v>
      </c>
      <c r="G90" s="3298" t="s">
        <v>2601</v>
      </c>
      <c r="H90" s="555"/>
      <c r="I90" s="555"/>
      <c r="J90" s="555"/>
      <c r="K90" s="555"/>
      <c r="L90" s="556"/>
      <c r="M90" s="557"/>
      <c r="N90" s="1154"/>
      <c r="O90" s="1154"/>
      <c r="P90" s="2633"/>
      <c r="Q90" s="559"/>
    </row>
    <row r="91" spans="1:17" s="471" customFormat="1" ht="15.75" thickBot="1">
      <c r="A91" s="553"/>
      <c r="B91" s="543"/>
      <c r="C91" s="560">
        <v>100</v>
      </c>
      <c r="D91" s="560">
        <v>95</v>
      </c>
      <c r="E91" s="560">
        <v>90</v>
      </c>
      <c r="F91" s="560">
        <v>85</v>
      </c>
      <c r="G91" s="560">
        <v>80</v>
      </c>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2563</v>
      </c>
      <c r="B100" s="528" t="s">
        <v>2612</v>
      </c>
      <c r="C100" s="3287" t="s">
        <v>3800</v>
      </c>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32"/>
      <c r="Q101" s="504"/>
    </row>
    <row r="102" spans="1:17" ht="15.75" thickTop="1">
      <c r="A102" s="534"/>
      <c r="B102" s="538" t="s">
        <v>2613</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v>0</v>
      </c>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2614</v>
      </c>
      <c r="C105" s="3289" t="s">
        <v>3802</v>
      </c>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95</v>
      </c>
      <c r="E106" s="544">
        <f t="shared" si="28"/>
        <v>90</v>
      </c>
      <c r="F106" s="544">
        <f t="shared" si="28"/>
        <v>85</v>
      </c>
      <c r="G106" s="544">
        <f t="shared" si="28"/>
        <v>80</v>
      </c>
      <c r="H106" s="544">
        <f t="shared" si="28"/>
        <v>75</v>
      </c>
      <c r="I106" s="544">
        <f t="shared" si="28"/>
        <v>70</v>
      </c>
      <c r="J106" s="544">
        <f t="shared" si="28"/>
        <v>65</v>
      </c>
      <c r="K106" s="544">
        <f t="shared" si="28"/>
        <v>60</v>
      </c>
      <c r="L106" s="544">
        <f t="shared" si="28"/>
        <v>55</v>
      </c>
      <c r="M106" s="544">
        <f t="shared" si="28"/>
        <v>50</v>
      </c>
      <c r="N106" s="1153"/>
      <c r="O106" s="1153"/>
      <c r="P106" s="2632"/>
      <c r="Q106" s="504"/>
    </row>
    <row r="107" spans="1:17" ht="15" thickTop="1">
      <c r="A107" s="599"/>
      <c r="B107" s="538" t="s">
        <v>2615</v>
      </c>
      <c r="C107" s="3296" t="s">
        <v>3803</v>
      </c>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95</v>
      </c>
      <c r="E108" s="544">
        <f t="shared" si="29"/>
        <v>90</v>
      </c>
      <c r="F108" s="544">
        <f t="shared" si="29"/>
        <v>85</v>
      </c>
      <c r="G108" s="544">
        <f t="shared" si="29"/>
        <v>80</v>
      </c>
      <c r="H108" s="544">
        <f t="shared" si="29"/>
        <v>75</v>
      </c>
      <c r="I108" s="544">
        <f t="shared" si="29"/>
        <v>70</v>
      </c>
      <c r="J108" s="544">
        <f t="shared" si="29"/>
        <v>65</v>
      </c>
      <c r="K108" s="544">
        <f t="shared" si="29"/>
        <v>60</v>
      </c>
      <c r="L108" s="544">
        <f t="shared" si="29"/>
        <v>55</v>
      </c>
      <c r="M108" s="544">
        <f t="shared" si="29"/>
        <v>50</v>
      </c>
      <c r="N108" s="1153"/>
      <c r="O108" s="1153"/>
      <c r="P108" s="2632"/>
      <c r="Q108" s="504"/>
    </row>
    <row r="109" spans="1:17" ht="15" thickTop="1">
      <c r="A109" s="599"/>
      <c r="B109" s="538" t="s">
        <v>2616</v>
      </c>
      <c r="C109" s="3289" t="s">
        <v>3805</v>
      </c>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32"/>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3"/>
      <c r="Q113" s="559"/>
    </row>
    <row r="114" spans="1:17" ht="15" thickTop="1">
      <c r="A114" s="599"/>
      <c r="B114" s="538" t="s">
        <v>2617</v>
      </c>
      <c r="C114" s="3289" t="s">
        <v>3807</v>
      </c>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95</v>
      </c>
      <c r="E115" s="544">
        <f t="shared" si="31"/>
        <v>90</v>
      </c>
      <c r="F115" s="544">
        <f t="shared" si="31"/>
        <v>85</v>
      </c>
      <c r="G115" s="544">
        <f t="shared" si="31"/>
        <v>80</v>
      </c>
      <c r="H115" s="544">
        <f t="shared" si="31"/>
        <v>75</v>
      </c>
      <c r="I115" s="544">
        <f t="shared" si="31"/>
        <v>70</v>
      </c>
      <c r="J115" s="544">
        <f t="shared" si="31"/>
        <v>65</v>
      </c>
      <c r="K115" s="544">
        <f t="shared" si="31"/>
        <v>60</v>
      </c>
      <c r="L115" s="544">
        <f t="shared" si="31"/>
        <v>55</v>
      </c>
      <c r="M115" s="544">
        <f t="shared" si="31"/>
        <v>50</v>
      </c>
      <c r="N115" s="1153"/>
      <c r="O115" s="1153"/>
      <c r="P115" s="2632"/>
      <c r="Q115" s="504"/>
    </row>
    <row r="116" spans="1:17" ht="15" thickTop="1">
      <c r="A116" s="599"/>
      <c r="B116" s="538" t="s">
        <v>2618</v>
      </c>
      <c r="C116" s="3289" t="s">
        <v>3808</v>
      </c>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32"/>
      <c r="Q117" s="504"/>
    </row>
    <row r="118" spans="1:17" ht="15" thickTop="1">
      <c r="A118" s="599"/>
      <c r="B118" s="538" t="s">
        <v>2619</v>
      </c>
      <c r="C118" s="583" t="s">
        <v>3810</v>
      </c>
      <c r="D118" s="3296" t="s">
        <v>3812</v>
      </c>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85</v>
      </c>
      <c r="E119" s="544">
        <f t="shared" si="32"/>
        <v>70</v>
      </c>
      <c r="F119" s="544">
        <f t="shared" si="32"/>
        <v>55</v>
      </c>
      <c r="G119" s="544">
        <f t="shared" si="32"/>
        <v>40</v>
      </c>
      <c r="H119" s="544">
        <f t="shared" si="32"/>
        <v>25</v>
      </c>
      <c r="I119" s="544">
        <f t="shared" si="32"/>
        <v>10</v>
      </c>
      <c r="J119" s="544">
        <f t="shared" si="32"/>
        <v>-5</v>
      </c>
      <c r="K119" s="544">
        <f t="shared" si="32"/>
        <v>-20</v>
      </c>
      <c r="L119" s="544">
        <f t="shared" si="32"/>
        <v>-35</v>
      </c>
      <c r="M119" s="544">
        <f t="shared" si="32"/>
        <v>-50</v>
      </c>
      <c r="N119" s="1153"/>
      <c r="O119" s="1153"/>
      <c r="P119" s="2632"/>
      <c r="Q119" s="504"/>
    </row>
    <row r="120" spans="1:17" s="471" customFormat="1" ht="28.5" thickTop="1">
      <c r="A120" s="593"/>
      <c r="B120" s="538" t="s">
        <v>2574</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2620</v>
      </c>
      <c r="C122" s="3289" t="s">
        <v>3805</v>
      </c>
      <c r="D122" s="554"/>
      <c r="E122" s="554"/>
      <c r="F122" s="3296" t="s">
        <v>3814</v>
      </c>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2622</v>
      </c>
    </row>
    <row r="137" spans="1:17" ht="15">
      <c r="B137" s="2640" t="s">
        <v>2623</v>
      </c>
      <c r="C137" s="2641"/>
      <c r="D137" s="2641"/>
      <c r="E137" s="2641"/>
      <c r="F137" s="2641"/>
      <c r="G137" s="2642"/>
      <c r="H137" s="2643"/>
      <c r="I137" s="2644" t="s">
        <v>2624</v>
      </c>
      <c r="J137" s="2641"/>
      <c r="K137" s="2645"/>
    </row>
    <row r="138" spans="1:17" ht="15">
      <c r="B138" s="2646"/>
      <c r="C138" s="146" t="s">
        <v>2625</v>
      </c>
      <c r="D138" s="146" t="s">
        <v>2626</v>
      </c>
      <c r="E138" s="2647" t="s">
        <v>2627</v>
      </c>
      <c r="F138" s="2648" t="s">
        <v>2628</v>
      </c>
      <c r="G138" s="146" t="s">
        <v>2626</v>
      </c>
      <c r="H138" s="147" t="s">
        <v>2627</v>
      </c>
      <c r="I138" s="2649"/>
      <c r="J138" s="146" t="s">
        <v>2629</v>
      </c>
      <c r="K138" s="147" t="s">
        <v>2630</v>
      </c>
    </row>
    <row r="139" spans="1:17" ht="15">
      <c r="B139" s="1084">
        <v>6</v>
      </c>
      <c r="C139" s="1085">
        <v>96</v>
      </c>
      <c r="D139" s="2650" t="s">
        <v>2631</v>
      </c>
      <c r="E139" s="1086">
        <v>100</v>
      </c>
      <c r="F139" s="1087">
        <v>102.5</v>
      </c>
      <c r="G139" s="2650" t="s">
        <v>2631</v>
      </c>
      <c r="H139" s="1088">
        <v>105</v>
      </c>
      <c r="I139" s="2651" t="s">
        <v>2632</v>
      </c>
      <c r="J139" s="1085">
        <v>20</v>
      </c>
      <c r="K139" s="1089">
        <f>C145/(J139-2)</f>
        <v>4.0555555555555553E-3</v>
      </c>
    </row>
    <row r="140" spans="1:17" ht="15">
      <c r="B140" s="1090">
        <v>5</v>
      </c>
      <c r="C140" s="1091">
        <v>100</v>
      </c>
      <c r="D140" s="1091"/>
      <c r="E140" s="1092"/>
      <c r="F140" s="1093">
        <v>102</v>
      </c>
      <c r="G140" s="1091"/>
      <c r="H140" s="1094"/>
      <c r="I140" s="2652" t="s">
        <v>2633</v>
      </c>
      <c r="J140" s="315">
        <f>ROUNDUP((J139-1)/2,0)</f>
        <v>10</v>
      </c>
      <c r="K140" s="1095">
        <v>100</v>
      </c>
    </row>
    <row r="141" spans="1:17" ht="15">
      <c r="B141" s="1090">
        <v>4</v>
      </c>
      <c r="C141" s="1091">
        <v>102</v>
      </c>
      <c r="D141" s="1091"/>
      <c r="E141" s="1092"/>
      <c r="F141" s="1093">
        <v>101.5</v>
      </c>
      <c r="G141" s="1091"/>
      <c r="H141" s="1094"/>
      <c r="I141" s="2652" t="s">
        <v>2634</v>
      </c>
      <c r="J141" s="315">
        <v>1</v>
      </c>
      <c r="K141" s="1096">
        <f>ROUND(100+(J141-J140)*K139*100,1)</f>
        <v>96.4</v>
      </c>
    </row>
    <row r="142" spans="1:17" ht="15">
      <c r="B142" s="1090">
        <v>3</v>
      </c>
      <c r="C142" s="1091">
        <v>103</v>
      </c>
      <c r="D142" s="1091"/>
      <c r="E142" s="1092"/>
      <c r="F142" s="1093">
        <v>101</v>
      </c>
      <c r="G142" s="1091"/>
      <c r="H142" s="1094"/>
      <c r="I142" s="2652" t="s">
        <v>2635</v>
      </c>
      <c r="J142" s="315">
        <f>J139</f>
        <v>20</v>
      </c>
      <c r="K142" s="1097">
        <v>95</v>
      </c>
    </row>
    <row r="143" spans="1:17" ht="15">
      <c r="B143" s="1090">
        <v>2</v>
      </c>
      <c r="C143" s="1091">
        <v>100</v>
      </c>
      <c r="D143" s="1091"/>
      <c r="E143" s="1092"/>
      <c r="F143" s="1093">
        <v>100.5</v>
      </c>
      <c r="G143" s="1091"/>
      <c r="H143" s="1094"/>
      <c r="I143" s="2652" t="s">
        <v>2636</v>
      </c>
      <c r="J143" s="1091">
        <v>15</v>
      </c>
      <c r="K143" s="1096">
        <f>ROUND(100+(J143-J140)*K139*100,1)</f>
        <v>102</v>
      </c>
    </row>
    <row r="144" spans="1:17" ht="15">
      <c r="B144" s="1090">
        <v>1</v>
      </c>
      <c r="C144" s="1091">
        <v>98</v>
      </c>
      <c r="D144" s="2653" t="s">
        <v>2637</v>
      </c>
      <c r="E144" s="1092">
        <v>102</v>
      </c>
      <c r="F144" s="1098">
        <v>100</v>
      </c>
      <c r="G144" s="2653" t="s">
        <v>2637</v>
      </c>
      <c r="H144" s="1094">
        <v>105</v>
      </c>
      <c r="I144" s="2652" t="s">
        <v>2636</v>
      </c>
      <c r="J144" s="1091">
        <v>18</v>
      </c>
      <c r="K144" s="1096">
        <f>ROUND(100+(J144-J140)*K139*100,1)</f>
        <v>103.2</v>
      </c>
    </row>
    <row r="145" spans="2:11" ht="15.75" thickBot="1">
      <c r="B145" s="2654" t="s">
        <v>2638</v>
      </c>
      <c r="C145" s="1099">
        <f>ROUND(MAX(C139:C144)/MIN(C139:C144)-1,3)</f>
        <v>7.2999999999999995E-2</v>
      </c>
      <c r="D145" s="1100"/>
      <c r="E145" s="1100"/>
      <c r="F145" s="2655" t="s">
        <v>2639</v>
      </c>
      <c r="G145" s="2656"/>
      <c r="H145" s="2657"/>
      <c r="I145" s="2658" t="s">
        <v>2636</v>
      </c>
      <c r="J145" s="1101">
        <v>8</v>
      </c>
      <c r="K145" s="1102">
        <f>ROUND(100+(J145-J140)*K139*100,1)</f>
        <v>99.2</v>
      </c>
    </row>
    <row r="147" spans="2:11">
      <c r="B147" s="2639" t="s">
        <v>2640</v>
      </c>
    </row>
    <row r="148" spans="2:11">
      <c r="B148" s="2639"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242" priority="15" stopIfTrue="1" operator="containsText" text="超过">
      <formula>NOT(ISERROR(SEARCH("超过",F52)))</formula>
    </cfRule>
  </conditionalFormatting>
  <conditionalFormatting sqref="J54">
    <cfRule type="containsText" dxfId="241" priority="14" stopIfTrue="1" operator="containsText" text="超过">
      <formula>NOT(ISERROR(SEARCH("超过",J54)))</formula>
    </cfRule>
  </conditionalFormatting>
  <conditionalFormatting sqref="H54">
    <cfRule type="containsText" dxfId="240" priority="13" stopIfTrue="1" operator="containsText" text="超过">
      <formula>NOT(ISERROR(SEARCH("超过",H54)))</formula>
    </cfRule>
  </conditionalFormatting>
  <conditionalFormatting sqref="F54">
    <cfRule type="containsText" dxfId="239" priority="12" stopIfTrue="1" operator="containsText" text="超过">
      <formula>NOT(ISERROR(SEARCH("超过",F54)))</formula>
    </cfRule>
  </conditionalFormatting>
  <conditionalFormatting sqref="F53 H53 J53">
    <cfRule type="containsText" dxfId="238" priority="11" stopIfTrue="1" operator="containsText" text="超过">
      <formula>NOT(ISERROR(SEARCH("超过",F53)))</formula>
    </cfRule>
  </conditionalFormatting>
  <conditionalFormatting sqref="E52">
    <cfRule type="expression" dxfId="237" priority="10" stopIfTrue="1">
      <formula>$F$52="超过30%"</formula>
    </cfRule>
  </conditionalFormatting>
  <conditionalFormatting sqref="G54">
    <cfRule type="expression" dxfId="236" priority="8" stopIfTrue="1">
      <formula>$H$54="超过30%"</formula>
    </cfRule>
  </conditionalFormatting>
  <conditionalFormatting sqref="E53">
    <cfRule type="expression" dxfId="235" priority="7" stopIfTrue="1">
      <formula>$F$53="超过20%"</formula>
    </cfRule>
  </conditionalFormatting>
  <conditionalFormatting sqref="E54">
    <cfRule type="expression" dxfId="234" priority="6" stopIfTrue="1">
      <formula>$F$54="超过30%"</formula>
    </cfRule>
  </conditionalFormatting>
  <conditionalFormatting sqref="G52">
    <cfRule type="expression" dxfId="233" priority="5" stopIfTrue="1">
      <formula>$H$52="超过30%"</formula>
    </cfRule>
  </conditionalFormatting>
  <conditionalFormatting sqref="G53">
    <cfRule type="expression" dxfId="232" priority="4" stopIfTrue="1">
      <formula>$H$53="超过20%"</formula>
    </cfRule>
  </conditionalFormatting>
  <conditionalFormatting sqref="I52">
    <cfRule type="expression" dxfId="231" priority="3" stopIfTrue="1">
      <formula>$J$52="超过30%"</formula>
    </cfRule>
  </conditionalFormatting>
  <conditionalFormatting sqref="I53">
    <cfRule type="expression" dxfId="230" priority="2" stopIfTrue="1">
      <formula>$J$53="超过20%"</formula>
    </cfRule>
  </conditionalFormatting>
  <conditionalFormatting sqref="I54">
    <cfRule type="expression" dxfId="2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586" t="s">
        <v>2642</v>
      </c>
      <c r="C1" s="1634" t="s">
        <v>2530</v>
      </c>
      <c r="D1" s="1621"/>
      <c r="E1" s="2659"/>
      <c r="F1" s="2588"/>
      <c r="G1" s="1631" t="s">
        <v>2643</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2330</v>
      </c>
      <c r="B2" s="1418" t="e">
        <f ca="1">IF(C2="——",ROUND(C49*D3/10000,0),ROUND(C49*D3/10000,0)-D2)</f>
        <v>#DIV/0!</v>
      </c>
      <c r="C2" s="2590"/>
      <c r="D2" s="1365" t="e">
        <f ca="1">SUMIF(INDIRECT("'"&amp;F2&amp;"'"&amp;"!A:A"),"承租人权益价值",INDIRECT("'"&amp;F2&amp;"'"&amp;"!c:c"))</f>
        <v>#REF!</v>
      </c>
      <c r="E2" s="2591" t="s">
        <v>2331</v>
      </c>
      <c r="F2" s="2592"/>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2332</v>
      </c>
      <c r="B3" s="609" t="e">
        <f ca="1">IF(C2="——",C49,ROUND(B2*10000/D3,0))</f>
        <v>#DIV/0!</v>
      </c>
      <c r="C3" s="400" t="s">
        <v>2644</v>
      </c>
      <c r="D3" s="399">
        <f>IF(D1="",'数据-汇总表'!E3,SUMIF('数据-汇总表'!$C19:$C33,D1,'数据-汇总表'!$E19:$E33))</f>
        <v>33112.840000000157</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202" t="s">
        <v>2648</v>
      </c>
      <c r="AC4" s="3183" t="s">
        <v>2649</v>
      </c>
    </row>
    <row r="5" spans="1:29" ht="15">
      <c r="A5" s="404"/>
      <c r="B5" s="405"/>
      <c r="C5" s="3205" t="s">
        <v>2542</v>
      </c>
      <c r="D5" s="3206"/>
      <c r="E5" s="3212" t="s">
        <v>2543</v>
      </c>
      <c r="F5" s="3213"/>
      <c r="G5" s="3205" t="s">
        <v>2544</v>
      </c>
      <c r="H5" s="3206"/>
      <c r="I5" s="3205" t="s">
        <v>2545</v>
      </c>
      <c r="J5" s="3206"/>
      <c r="K5" s="610"/>
      <c r="L5" s="1130"/>
      <c r="M5" s="1131"/>
      <c r="N5" s="1131"/>
      <c r="O5" s="1131"/>
      <c r="P5" s="3192"/>
      <c r="Q5" s="3193"/>
      <c r="R5" s="3198"/>
      <c r="S5" s="3199"/>
      <c r="T5" s="3198"/>
      <c r="U5" s="3199"/>
      <c r="V5" s="3202"/>
      <c r="W5" s="3202"/>
      <c r="X5" s="1813"/>
      <c r="Y5" s="3198"/>
      <c r="Z5" s="3199"/>
      <c r="AA5" s="3184"/>
      <c r="AB5" s="3202"/>
      <c r="AC5" s="3184"/>
    </row>
    <row r="6" spans="1:29" ht="15.75" thickBot="1">
      <c r="A6" s="406"/>
      <c r="B6" s="407"/>
      <c r="C6" s="3203" t="s">
        <v>2546</v>
      </c>
      <c r="D6" s="3204"/>
      <c r="E6" s="3210" t="s">
        <v>2546</v>
      </c>
      <c r="F6" s="3211"/>
      <c r="G6" s="3203" t="s">
        <v>2546</v>
      </c>
      <c r="H6" s="3204"/>
      <c r="I6" s="3203" t="s">
        <v>2546</v>
      </c>
      <c r="J6" s="3204"/>
      <c r="K6" s="610" t="s">
        <v>2547</v>
      </c>
      <c r="L6" s="1130"/>
      <c r="M6" s="1131"/>
      <c r="N6" s="1131"/>
      <c r="O6" s="1131"/>
      <c r="P6" s="3194"/>
      <c r="Q6" s="3195"/>
      <c r="R6" s="3198"/>
      <c r="S6" s="3199"/>
      <c r="T6" s="3200"/>
      <c r="U6" s="3201"/>
      <c r="V6" s="3202"/>
      <c r="W6" s="3202"/>
      <c r="X6" s="1813"/>
      <c r="Y6" s="3200"/>
      <c r="Z6" s="3201"/>
      <c r="AA6" s="3185"/>
      <c r="AB6" s="3202"/>
      <c r="AC6" s="3185"/>
    </row>
    <row r="7" spans="1:29" s="117" customFormat="1" ht="15.75" thickBot="1">
      <c r="A7" s="408" t="s">
        <v>2548</v>
      </c>
      <c r="B7" s="409"/>
      <c r="C7" s="410">
        <f>'数据-取费表'!B2</f>
        <v>43573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7" t="s">
        <v>2549</v>
      </c>
      <c r="Q7" s="3209"/>
      <c r="R7" s="770" t="s">
        <v>17</v>
      </c>
      <c r="S7" s="771">
        <f t="shared" ref="S7:S15" si="0">F7</f>
        <v>0</v>
      </c>
      <c r="T7" s="770" t="s">
        <v>17</v>
      </c>
      <c r="U7" s="771">
        <f t="shared" ref="U7:U15" si="1">H7</f>
        <v>0</v>
      </c>
      <c r="V7" s="770" t="s">
        <v>17</v>
      </c>
      <c r="W7" s="771">
        <f t="shared" ref="W7:W15" si="2">J7</f>
        <v>0</v>
      </c>
      <c r="X7" s="772"/>
      <c r="Y7" s="3207" t="s">
        <v>2549</v>
      </c>
      <c r="Z7" s="3208"/>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7" t="s">
        <v>2552</v>
      </c>
      <c r="Q8" s="3208"/>
      <c r="R8" s="770" t="s">
        <v>17</v>
      </c>
      <c r="S8" s="771">
        <f t="shared" si="0"/>
        <v>0</v>
      </c>
      <c r="T8" s="770" t="s">
        <v>17</v>
      </c>
      <c r="U8" s="771">
        <f t="shared" si="1"/>
        <v>0</v>
      </c>
      <c r="V8" s="770" t="s">
        <v>17</v>
      </c>
      <c r="W8" s="771">
        <f t="shared" si="2"/>
        <v>0</v>
      </c>
      <c r="X8" s="772"/>
      <c r="Y8" s="3207" t="s">
        <v>2552</v>
      </c>
      <c r="Z8" s="3208"/>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2"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71.25">
      <c r="A15" s="440" t="s">
        <v>2559</v>
      </c>
      <c r="B15" s="69" t="s">
        <v>2653</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0" t="s">
        <v>2560</v>
      </c>
      <c r="Q15" s="1810" t="str">
        <f t="shared" si="6"/>
        <v>商业繁华度</v>
      </c>
      <c r="R15" s="774" t="s">
        <v>17</v>
      </c>
      <c r="S15" s="775">
        <f t="shared" si="0"/>
        <v>100</v>
      </c>
      <c r="T15" s="774" t="s">
        <v>17</v>
      </c>
      <c r="U15" s="775">
        <f t="shared" si="1"/>
        <v>100</v>
      </c>
      <c r="V15" s="774" t="s">
        <v>17</v>
      </c>
      <c r="W15" s="775">
        <f t="shared" si="2"/>
        <v>100</v>
      </c>
      <c r="X15" s="1813"/>
      <c r="Y15" s="3173" t="s">
        <v>2560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1811">
        <v>1</v>
      </c>
    </row>
    <row r="17" spans="1:29" ht="85.5">
      <c r="A17" s="428"/>
      <c r="B17" s="451" t="s">
        <v>2098</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181"/>
      <c r="Q18" s="1810"/>
      <c r="R18" s="774"/>
      <c r="S18" s="775"/>
      <c r="T18" s="774"/>
      <c r="U18" s="775"/>
      <c r="V18" s="774"/>
      <c r="W18" s="775"/>
      <c r="X18" s="1813"/>
      <c r="Y18" s="3174"/>
      <c r="Z18" s="1814"/>
      <c r="AA18" s="1811">
        <v>1</v>
      </c>
      <c r="AB18" s="1811">
        <v>1</v>
      </c>
      <c r="AC18" s="1811">
        <v>1</v>
      </c>
    </row>
    <row r="19" spans="1:29" ht="42.75">
      <c r="A19" s="428"/>
      <c r="B19" s="451" t="s">
        <v>2654</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181"/>
      <c r="Q20" s="1810"/>
      <c r="R20" s="774"/>
      <c r="S20" s="775"/>
      <c r="T20" s="774"/>
      <c r="U20" s="775"/>
      <c r="V20" s="774"/>
      <c r="W20" s="775"/>
      <c r="X20" s="1813"/>
      <c r="Y20" s="3174"/>
      <c r="Z20" s="1814"/>
      <c r="AA20" s="1811">
        <v>1</v>
      </c>
      <c r="AB20" s="1811">
        <v>1</v>
      </c>
      <c r="AC20" s="1811">
        <v>1</v>
      </c>
    </row>
    <row r="21" spans="1:29" ht="28.5">
      <c r="A21" s="428"/>
      <c r="B21" s="1384" t="s">
        <v>2655</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181"/>
      <c r="Q22" s="1810"/>
      <c r="R22" s="774"/>
      <c r="S22" s="775"/>
      <c r="T22" s="774"/>
      <c r="U22" s="775"/>
      <c r="V22" s="774"/>
      <c r="W22" s="775"/>
      <c r="X22" s="1813"/>
      <c r="Y22" s="3174"/>
      <c r="Z22" s="1814"/>
      <c r="AA22" s="1811">
        <v>1</v>
      </c>
      <c r="AB22" s="1811">
        <v>1</v>
      </c>
      <c r="AC22" s="1811">
        <v>1</v>
      </c>
    </row>
    <row r="23" spans="1:29" ht="57">
      <c r="A23" s="428"/>
      <c r="B23" s="451" t="s">
        <v>2103</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1"/>
      <c r="Q23" s="1810" t="str">
        <f>B23</f>
        <v>自然及人文环境</v>
      </c>
      <c r="R23" s="774" t="s">
        <v>17</v>
      </c>
      <c r="S23" s="775">
        <f>F23</f>
        <v>100</v>
      </c>
      <c r="T23" s="774" t="s">
        <v>17</v>
      </c>
      <c r="U23" s="775">
        <f>H23</f>
        <v>100</v>
      </c>
      <c r="V23" s="774" t="s">
        <v>17</v>
      </c>
      <c r="W23" s="775">
        <f>J23</f>
        <v>100</v>
      </c>
      <c r="X23" s="1813"/>
      <c r="Y23" s="3174"/>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181"/>
      <c r="Q24" s="1810"/>
      <c r="R24" s="774"/>
      <c r="S24" s="775"/>
      <c r="T24" s="774"/>
      <c r="U24" s="775"/>
      <c r="V24" s="774"/>
      <c r="W24" s="775"/>
      <c r="X24" s="1813"/>
      <c r="Y24" s="3174"/>
      <c r="Z24" s="1814"/>
      <c r="AA24" s="1811">
        <v>1</v>
      </c>
      <c r="AB24" s="1811">
        <v>1</v>
      </c>
      <c r="AC24" s="1811">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1"/>
      <c r="Q25" s="1810" t="str">
        <f t="shared" ref="Q25:Q46" si="11">B25</f>
        <v>临街状况</v>
      </c>
      <c r="R25" s="774" t="s">
        <v>17</v>
      </c>
      <c r="S25" s="775">
        <f>F25</f>
        <v>100</v>
      </c>
      <c r="T25" s="774" t="s">
        <v>17</v>
      </c>
      <c r="U25" s="775">
        <f>H25</f>
        <v>100</v>
      </c>
      <c r="V25" s="774" t="s">
        <v>17</v>
      </c>
      <c r="W25" s="775">
        <f>J25</f>
        <v>100</v>
      </c>
      <c r="X25" s="1813"/>
      <c r="Y25" s="3174"/>
      <c r="Z25" s="1814" t="str">
        <f>Q25</f>
        <v>临街状况</v>
      </c>
      <c r="AA25" s="1811">
        <f t="shared" si="3"/>
        <v>1</v>
      </c>
      <c r="AB25" s="1811">
        <f t="shared" si="4"/>
        <v>1</v>
      </c>
      <c r="AC25" s="1811">
        <f t="shared" si="5"/>
        <v>1</v>
      </c>
    </row>
    <row r="26" spans="1:29" ht="15">
      <c r="A26" s="428"/>
      <c r="B26" s="1386" t="s">
        <v>2657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1"/>
      <c r="Q26" s="1810" t="str">
        <f t="shared" si="11"/>
        <v>平面位置/可视性</v>
      </c>
      <c r="R26" s="774" t="s">
        <v>17</v>
      </c>
      <c r="S26" s="775">
        <f>F26</f>
        <v>100</v>
      </c>
      <c r="T26" s="774" t="s">
        <v>17</v>
      </c>
      <c r="U26" s="775">
        <f>H26</f>
        <v>100</v>
      </c>
      <c r="V26" s="774" t="s">
        <v>17</v>
      </c>
      <c r="W26" s="775">
        <f>J26</f>
        <v>100</v>
      </c>
      <c r="X26" s="1813"/>
      <c r="Y26" s="3174"/>
      <c r="Z26" s="1814" t="str">
        <f>Q26</f>
        <v>平面位置/可视性</v>
      </c>
      <c r="AA26" s="1811">
        <f t="shared" si="3"/>
        <v>1</v>
      </c>
      <c r="AB26" s="1811">
        <f t="shared" si="4"/>
        <v>1</v>
      </c>
      <c r="AC26" s="1811">
        <f t="shared" si="5"/>
        <v>1</v>
      </c>
    </row>
    <row r="27" spans="1:29" s="117" customFormat="1" ht="15">
      <c r="A27" s="431"/>
      <c r="B27" s="451" t="s">
        <v>2658</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181"/>
      <c r="Q27" s="1795" t="str">
        <f t="shared" si="11"/>
        <v>人流量</v>
      </c>
      <c r="R27" s="770" t="s">
        <v>17</v>
      </c>
      <c r="S27" s="771">
        <f>F27</f>
        <v>100</v>
      </c>
      <c r="T27" s="770" t="s">
        <v>17</v>
      </c>
      <c r="U27" s="771">
        <f>H27</f>
        <v>100</v>
      </c>
      <c r="V27" s="770" t="s">
        <v>17</v>
      </c>
      <c r="W27" s="771">
        <f>J27</f>
        <v>100</v>
      </c>
      <c r="X27" s="772"/>
      <c r="Y27" s="3174"/>
      <c r="Z27" s="55" t="str">
        <f>Q27</f>
        <v>人流量</v>
      </c>
      <c r="AA27" s="1811">
        <f>D27/F27</f>
        <v>1</v>
      </c>
      <c r="AB27" s="1811">
        <f>D27/H27</f>
        <v>1</v>
      </c>
      <c r="AC27" s="1811">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1"/>
      <c r="Q29" s="1810">
        <f t="shared" si="11"/>
        <v>111</v>
      </c>
      <c r="R29" s="774" t="s">
        <v>17</v>
      </c>
      <c r="S29" s="775">
        <f t="shared" si="12"/>
        <v>100</v>
      </c>
      <c r="T29" s="774" t="s">
        <v>17</v>
      </c>
      <c r="U29" s="775">
        <f t="shared" si="13"/>
        <v>100</v>
      </c>
      <c r="V29" s="774" t="s">
        <v>17</v>
      </c>
      <c r="W29" s="775">
        <f t="shared" si="14"/>
        <v>100</v>
      </c>
      <c r="X29" s="1813"/>
      <c r="Y29" s="317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1811">
        <f t="shared" si="5"/>
        <v>1</v>
      </c>
    </row>
    <row r="32" spans="1:29" ht="15">
      <c r="A32" s="440" t="s">
        <v>2563</v>
      </c>
      <c r="B32" s="71" t="s">
        <v>2660</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175" t="s">
        <v>2565</v>
      </c>
      <c r="Q32" s="1810" t="str">
        <f t="shared" si="11"/>
        <v>商业类型</v>
      </c>
      <c r="R32" s="774" t="s">
        <v>17</v>
      </c>
      <c r="S32" s="775">
        <f t="shared" si="12"/>
        <v>100</v>
      </c>
      <c r="T32" s="774" t="s">
        <v>17</v>
      </c>
      <c r="U32" s="775">
        <f t="shared" si="13"/>
        <v>100</v>
      </c>
      <c r="V32" s="774" t="s">
        <v>17</v>
      </c>
      <c r="W32" s="775">
        <f t="shared" si="14"/>
        <v>100</v>
      </c>
      <c r="X32" s="1813"/>
      <c r="Y32" s="3178" t="s">
        <v>2565</v>
      </c>
      <c r="Z32" s="1814" t="str">
        <f t="shared" si="15"/>
        <v>商业类型</v>
      </c>
      <c r="AA32" s="1811">
        <f t="shared" si="3"/>
        <v>1</v>
      </c>
      <c r="AB32" s="1811">
        <f t="shared" si="4"/>
        <v>1</v>
      </c>
      <c r="AC32" s="1811">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1" t="e">
        <f t="shared" si="3"/>
        <v>#N/A</v>
      </c>
      <c r="AB33" s="1811" t="e">
        <f t="shared" si="4"/>
        <v>#N/A</v>
      </c>
      <c r="AC33" s="1811" t="e">
        <f t="shared" si="5"/>
        <v>#N/A</v>
      </c>
    </row>
    <row r="34" spans="1:29" ht="15">
      <c r="A34" s="472"/>
      <c r="B34" s="422" t="s">
        <v>2567</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176"/>
      <c r="Q34" s="1810" t="str">
        <f t="shared" si="11"/>
        <v>建筑结构</v>
      </c>
      <c r="R34" s="774" t="s">
        <v>17</v>
      </c>
      <c r="S34" s="775">
        <f t="shared" si="12"/>
        <v>100</v>
      </c>
      <c r="T34" s="774" t="s">
        <v>17</v>
      </c>
      <c r="U34" s="775">
        <f t="shared" si="13"/>
        <v>100</v>
      </c>
      <c r="V34" s="774" t="s">
        <v>17</v>
      </c>
      <c r="W34" s="775">
        <f t="shared" si="14"/>
        <v>100</v>
      </c>
      <c r="X34" s="1813"/>
      <c r="Y34" s="3178"/>
      <c r="Z34" s="1814" t="str">
        <f t="shared" si="15"/>
        <v>建筑结构</v>
      </c>
      <c r="AA34" s="1811">
        <f t="shared" si="3"/>
        <v>1</v>
      </c>
      <c r="AB34" s="1811">
        <f t="shared" si="4"/>
        <v>1</v>
      </c>
      <c r="AC34" s="1811">
        <f t="shared" si="5"/>
        <v>1</v>
      </c>
    </row>
    <row r="35" spans="1:29" ht="15">
      <c r="A35" s="472"/>
      <c r="B35" s="422" t="s">
        <v>2661</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176"/>
      <c r="Q35" s="1810" t="str">
        <f t="shared" si="11"/>
        <v>公共部分装修</v>
      </c>
      <c r="R35" s="774" t="s">
        <v>17</v>
      </c>
      <c r="S35" s="775">
        <f t="shared" si="12"/>
        <v>100</v>
      </c>
      <c r="T35" s="774" t="s">
        <v>17</v>
      </c>
      <c r="U35" s="775">
        <f t="shared" si="13"/>
        <v>100</v>
      </c>
      <c r="V35" s="774" t="s">
        <v>17</v>
      </c>
      <c r="W35" s="775">
        <f t="shared" si="14"/>
        <v>100</v>
      </c>
      <c r="X35" s="1813"/>
      <c r="Y35" s="3178"/>
      <c r="Z35" s="1814" t="str">
        <f t="shared" si="15"/>
        <v>公共部分装修</v>
      </c>
      <c r="AA35" s="1811">
        <f t="shared" si="3"/>
        <v>1</v>
      </c>
      <c r="AB35" s="1811">
        <f t="shared" si="4"/>
        <v>1</v>
      </c>
      <c r="AC35" s="1811">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6"/>
      <c r="Q36" s="1810" t="str">
        <f t="shared" si="11"/>
        <v>成新度</v>
      </c>
      <c r="R36" s="774" t="s">
        <v>17</v>
      </c>
      <c r="S36" s="775" t="e">
        <f t="shared" si="12"/>
        <v>#N/A</v>
      </c>
      <c r="T36" s="774" t="s">
        <v>17</v>
      </c>
      <c r="U36" s="775" t="e">
        <f t="shared" si="13"/>
        <v>#N/A</v>
      </c>
      <c r="V36" s="774" t="s">
        <v>17</v>
      </c>
      <c r="W36" s="775" t="e">
        <f t="shared" si="14"/>
        <v>#N/A</v>
      </c>
      <c r="X36" s="1813"/>
      <c r="Y36" s="3178"/>
      <c r="Z36" s="1814" t="str">
        <f t="shared" si="15"/>
        <v>成新度</v>
      </c>
      <c r="AA36" s="1811" t="e">
        <f t="shared" si="3"/>
        <v>#N/A</v>
      </c>
      <c r="AB36" s="1811" t="e">
        <f t="shared" si="4"/>
        <v>#N/A</v>
      </c>
      <c r="AC36" s="1811" t="e">
        <f t="shared" si="5"/>
        <v>#N/A</v>
      </c>
    </row>
    <row r="37" spans="1:29" s="117" customFormat="1" ht="15">
      <c r="A37" s="473"/>
      <c r="B37" s="422" t="s">
        <v>2663</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176"/>
      <c r="Q37" s="1795"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2664</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176" t="s">
        <v>2565</v>
      </c>
      <c r="Q38" s="1810" t="str">
        <f t="shared" si="11"/>
        <v>业态</v>
      </c>
      <c r="R38" s="774" t="s">
        <v>17</v>
      </c>
      <c r="S38" s="775">
        <f t="shared" si="12"/>
        <v>100</v>
      </c>
      <c r="T38" s="774" t="s">
        <v>17</v>
      </c>
      <c r="U38" s="775">
        <f t="shared" si="13"/>
        <v>100</v>
      </c>
      <c r="V38" s="774" t="s">
        <v>17</v>
      </c>
      <c r="W38" s="775">
        <f t="shared" si="14"/>
        <v>100</v>
      </c>
      <c r="X38" s="1813"/>
      <c r="Y38" s="3178" t="s">
        <v>2565</v>
      </c>
      <c r="Z38" s="1814" t="str">
        <f t="shared" si="15"/>
        <v>业态</v>
      </c>
      <c r="AA38" s="1811">
        <f t="shared" si="3"/>
        <v>1</v>
      </c>
      <c r="AB38" s="1811">
        <f t="shared" si="4"/>
        <v>1</v>
      </c>
      <c r="AC38" s="1811">
        <f t="shared" si="5"/>
        <v>1</v>
      </c>
    </row>
    <row r="39" spans="1:29" ht="15">
      <c r="A39" s="472"/>
      <c r="B39" s="422" t="s">
        <v>2665</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176"/>
      <c r="Q39" s="1810" t="str">
        <f t="shared" si="11"/>
        <v>层高</v>
      </c>
      <c r="R39" s="774" t="s">
        <v>17</v>
      </c>
      <c r="S39" s="775">
        <f t="shared" si="12"/>
        <v>100</v>
      </c>
      <c r="T39" s="774" t="s">
        <v>17</v>
      </c>
      <c r="U39" s="775">
        <f t="shared" si="13"/>
        <v>100</v>
      </c>
      <c r="V39" s="774" t="s">
        <v>17</v>
      </c>
      <c r="W39" s="775">
        <f t="shared" si="14"/>
        <v>100</v>
      </c>
      <c r="X39" s="1813"/>
      <c r="Y39" s="3178"/>
      <c r="Z39" s="1814" t="str">
        <f t="shared" si="15"/>
        <v>层高</v>
      </c>
      <c r="AA39" s="1811">
        <f t="shared" si="3"/>
        <v>1</v>
      </c>
      <c r="AB39" s="1811">
        <f t="shared" si="4"/>
        <v>1</v>
      </c>
      <c r="AC39" s="1811">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6"/>
      <c r="Q40" s="1810" t="str">
        <f t="shared" si="11"/>
        <v>单套建筑面积</v>
      </c>
      <c r="R40" s="774" t="s">
        <v>17</v>
      </c>
      <c r="S40" s="775">
        <f t="shared" si="12"/>
        <v>100</v>
      </c>
      <c r="T40" s="774" t="s">
        <v>17</v>
      </c>
      <c r="U40" s="775">
        <f t="shared" si="13"/>
        <v>100</v>
      </c>
      <c r="V40" s="774" t="s">
        <v>17</v>
      </c>
      <c r="W40" s="775">
        <f t="shared" si="14"/>
        <v>100</v>
      </c>
      <c r="X40" s="1813"/>
      <c r="Y40" s="3178"/>
      <c r="Z40" s="1814" t="str">
        <f t="shared" si="15"/>
        <v>单套建筑面积</v>
      </c>
      <c r="AA40" s="1811">
        <f t="shared" si="3"/>
        <v>1</v>
      </c>
      <c r="AB40" s="1811">
        <f t="shared" si="4"/>
        <v>1</v>
      </c>
      <c r="AC40" s="1811">
        <f t="shared" si="5"/>
        <v>1</v>
      </c>
    </row>
    <row r="41" spans="1:29" s="471" customFormat="1" ht="15">
      <c r="A41" s="468"/>
      <c r="B41" s="1812"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1">
        <f t="shared" si="3"/>
        <v>1</v>
      </c>
      <c r="AB41" s="1811">
        <f t="shared" si="4"/>
        <v>1</v>
      </c>
      <c r="AC41" s="1811">
        <f t="shared" si="5"/>
        <v>1</v>
      </c>
    </row>
    <row r="42" spans="1:29" ht="15">
      <c r="A42" s="472"/>
      <c r="B42" s="422" t="s">
        <v>2668</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176"/>
      <c r="Q42" s="1810" t="str">
        <f t="shared" si="11"/>
        <v>内部装修</v>
      </c>
      <c r="R42" s="774" t="s">
        <v>17</v>
      </c>
      <c r="S42" s="775">
        <f t="shared" si="12"/>
        <v>100</v>
      </c>
      <c r="T42" s="774" t="s">
        <v>17</v>
      </c>
      <c r="U42" s="775">
        <f t="shared" si="13"/>
        <v>100</v>
      </c>
      <c r="V42" s="774" t="s">
        <v>17</v>
      </c>
      <c r="W42" s="775">
        <f t="shared" si="14"/>
        <v>100</v>
      </c>
      <c r="X42" s="1813"/>
      <c r="Y42" s="3178"/>
      <c r="Z42" s="1814" t="str">
        <f t="shared" si="15"/>
        <v>内部装修</v>
      </c>
      <c r="AA42" s="1811">
        <f t="shared" si="3"/>
        <v>1</v>
      </c>
      <c r="AB42" s="1811">
        <f t="shared" si="4"/>
        <v>1</v>
      </c>
      <c r="AC42" s="1811">
        <f t="shared" si="5"/>
        <v>1</v>
      </c>
    </row>
    <row r="43" spans="1:29" ht="15">
      <c r="A43" s="472"/>
      <c r="B43" s="422" t="s">
        <v>2576</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176"/>
      <c r="Q43" s="1810" t="str">
        <f t="shared" si="11"/>
        <v>内部装修维护情况</v>
      </c>
      <c r="R43" s="774" t="s">
        <v>17</v>
      </c>
      <c r="S43" s="775">
        <f t="shared" si="12"/>
        <v>100</v>
      </c>
      <c r="T43" s="774" t="s">
        <v>17</v>
      </c>
      <c r="U43" s="775">
        <f t="shared" si="13"/>
        <v>100</v>
      </c>
      <c r="V43" s="774" t="s">
        <v>17</v>
      </c>
      <c r="W43" s="775">
        <f t="shared" si="14"/>
        <v>100</v>
      </c>
      <c r="X43" s="1813"/>
      <c r="Y43" s="317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6"/>
      <c r="Q44" s="1795">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6"/>
      <c r="Q45" s="1810">
        <f t="shared" si="11"/>
        <v>111</v>
      </c>
      <c r="R45" s="774" t="s">
        <v>17</v>
      </c>
      <c r="S45" s="775">
        <f t="shared" si="12"/>
        <v>100</v>
      </c>
      <c r="T45" s="774" t="s">
        <v>17</v>
      </c>
      <c r="U45" s="775">
        <f t="shared" si="13"/>
        <v>100</v>
      </c>
      <c r="V45" s="774" t="s">
        <v>17</v>
      </c>
      <c r="W45" s="775">
        <f t="shared" si="14"/>
        <v>100</v>
      </c>
      <c r="X45" s="1813"/>
      <c r="Y45" s="3178"/>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7"/>
      <c r="Q46" s="1810">
        <f t="shared" si="11"/>
        <v>111</v>
      </c>
      <c r="R46" s="774" t="s">
        <v>17</v>
      </c>
      <c r="S46" s="775">
        <f t="shared" si="12"/>
        <v>100</v>
      </c>
      <c r="T46" s="774" t="s">
        <v>17</v>
      </c>
      <c r="U46" s="775">
        <f t="shared" si="13"/>
        <v>100</v>
      </c>
      <c r="V46" s="774" t="s">
        <v>17</v>
      </c>
      <c r="W46" s="775">
        <f t="shared" si="14"/>
        <v>100</v>
      </c>
      <c r="X46" s="1813"/>
      <c r="Y46" s="3179"/>
      <c r="Z46" s="1814">
        <f t="shared" si="15"/>
        <v>111</v>
      </c>
      <c r="AA46" s="1811">
        <f t="shared" si="3"/>
        <v>1</v>
      </c>
      <c r="AB46" s="1811">
        <f t="shared" si="4"/>
        <v>1</v>
      </c>
      <c r="AC46" s="1811">
        <f t="shared" si="5"/>
        <v>1</v>
      </c>
    </row>
    <row r="47" spans="1:29" ht="15">
      <c r="A47" s="479" t="s">
        <v>2577</v>
      </c>
      <c r="B47" s="480"/>
      <c r="C47" s="1407" t="s">
        <v>1</v>
      </c>
      <c r="D47" s="1408"/>
      <c r="E47" s="1409"/>
      <c r="F47" s="1410"/>
      <c r="G47" s="1411"/>
      <c r="H47" s="1412"/>
      <c r="I47" s="1409"/>
      <c r="J47" s="1412"/>
      <c r="K47" s="783"/>
      <c r="L47" s="1143"/>
      <c r="M47" s="1144"/>
      <c r="N47" s="1131"/>
      <c r="O47" s="1144"/>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2669</v>
      </c>
      <c r="B48" s="487"/>
      <c r="C48" s="1413" t="e">
        <f>R49</f>
        <v>#DIV/0!</v>
      </c>
      <c r="D48" s="1414"/>
      <c r="E48" s="1415" t="e">
        <f>R48</f>
        <v>#DIV/0!</v>
      </c>
      <c r="F48" s="1415"/>
      <c r="G48" s="1413" t="e">
        <f>T48</f>
        <v>#DIV/0!</v>
      </c>
      <c r="H48" s="1414"/>
      <c r="I48" s="1415" t="e">
        <f>V48</f>
        <v>#DIV/0!</v>
      </c>
      <c r="J48" s="1414"/>
      <c r="K48" s="784"/>
      <c r="L48" s="1143"/>
      <c r="M48" s="1144"/>
      <c r="N48" s="1131"/>
      <c r="O48" s="1144"/>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2670</v>
      </c>
      <c r="B49" s="493"/>
      <c r="C49" s="1417" t="e">
        <f>R49</f>
        <v>#DIV/0!</v>
      </c>
      <c r="D49" s="1417"/>
      <c r="E49" s="1417"/>
      <c r="F49" s="1417"/>
      <c r="G49" s="1417"/>
      <c r="H49" s="1417"/>
      <c r="I49" s="1417"/>
      <c r="J49" s="1417"/>
      <c r="K49" s="785"/>
      <c r="L49" s="1143"/>
      <c r="M49" s="1144"/>
      <c r="N49" s="1131"/>
      <c r="O49" s="1144"/>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2548</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2585</v>
      </c>
      <c r="B60" s="516"/>
      <c r="C60" s="517"/>
      <c r="D60" s="518"/>
      <c r="E60" s="518"/>
      <c r="F60" s="518"/>
      <c r="G60" s="518"/>
      <c r="H60" s="518"/>
      <c r="I60" s="518"/>
      <c r="J60" s="518"/>
      <c r="K60" s="518"/>
      <c r="L60" s="518"/>
      <c r="M60" s="519"/>
      <c r="N60" s="518"/>
      <c r="O60" s="519"/>
      <c r="P60" s="2630"/>
      <c r="Q60" s="504"/>
    </row>
    <row r="61" spans="1:29" s="117" customFormat="1" ht="15">
      <c r="A61" s="521" t="s">
        <v>2550</v>
      </c>
      <c r="B61" s="510"/>
      <c r="C61" s="522" t="s">
        <v>2652</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2588</v>
      </c>
      <c r="B63" s="528" t="s">
        <v>2554</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2655</v>
      </c>
      <c r="C82" s="660" t="s">
        <v>2675</v>
      </c>
      <c r="D82" s="660" t="s">
        <v>2676</v>
      </c>
      <c r="E82" s="660" t="s">
        <v>2677</v>
      </c>
      <c r="F82" s="660" t="s">
        <v>2678</v>
      </c>
      <c r="G82" s="660" t="s">
        <v>2679</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2680</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2563</v>
      </c>
      <c r="B100" s="528" t="s">
        <v>2681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2614</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2616</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2618</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2682</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2683</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2684</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2685</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2620</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28" priority="17" stopIfTrue="1" operator="containsText" text="超过">
      <formula>NOT(ISERROR(SEARCH("超过",F52)))</formula>
    </cfRule>
  </conditionalFormatting>
  <conditionalFormatting sqref="H54">
    <cfRule type="containsText" dxfId="227" priority="15" stopIfTrue="1" operator="containsText" text="超过">
      <formula>NOT(ISERROR(SEARCH("超过",H54)))</formula>
    </cfRule>
  </conditionalFormatting>
  <conditionalFormatting sqref="F54">
    <cfRule type="containsText" dxfId="226" priority="14" stopIfTrue="1" operator="containsText" text="超过">
      <formula>NOT(ISERROR(SEARCH("超过",F54)))</formula>
    </cfRule>
  </conditionalFormatting>
  <conditionalFormatting sqref="F53 H53">
    <cfRule type="containsText" dxfId="225" priority="13" stopIfTrue="1" operator="containsText" text="超过">
      <formula>NOT(ISERROR(SEARCH("超过",F53)))</formula>
    </cfRule>
  </conditionalFormatting>
  <conditionalFormatting sqref="E52">
    <cfRule type="expression" dxfId="224" priority="12" stopIfTrue="1">
      <formula>$F$52="超过30%"</formula>
    </cfRule>
  </conditionalFormatting>
  <conditionalFormatting sqref="E53">
    <cfRule type="expression" dxfId="223" priority="11" stopIfTrue="1">
      <formula>$F$53="超过20%"</formula>
    </cfRule>
  </conditionalFormatting>
  <conditionalFormatting sqref="E54">
    <cfRule type="expression" dxfId="222" priority="10" stopIfTrue="1">
      <formula>$F$54="超过30%"</formula>
    </cfRule>
  </conditionalFormatting>
  <conditionalFormatting sqref="G54">
    <cfRule type="expression" dxfId="221" priority="9" stopIfTrue="1">
      <formula>$H$54="超过30%"</formula>
    </cfRule>
  </conditionalFormatting>
  <conditionalFormatting sqref="G52">
    <cfRule type="expression" dxfId="220" priority="8" stopIfTrue="1">
      <formula>$H$52="超过30%"</formula>
    </cfRule>
  </conditionalFormatting>
  <conditionalFormatting sqref="G53">
    <cfRule type="expression" dxfId="219" priority="7" stopIfTrue="1">
      <formula>$H$53="超过20%"</formula>
    </cfRule>
  </conditionalFormatting>
  <conditionalFormatting sqref="J52">
    <cfRule type="containsText" dxfId="218" priority="6" stopIfTrue="1" operator="containsText" text="超过">
      <formula>NOT(ISERROR(SEARCH("超过",J52)))</formula>
    </cfRule>
  </conditionalFormatting>
  <conditionalFormatting sqref="J54">
    <cfRule type="containsText" dxfId="217" priority="5" stopIfTrue="1" operator="containsText" text="超过">
      <formula>NOT(ISERROR(SEARCH("超过",J54)))</formula>
    </cfRule>
  </conditionalFormatting>
  <conditionalFormatting sqref="J53">
    <cfRule type="containsText" dxfId="216" priority="4" stopIfTrue="1" operator="containsText" text="超过">
      <formula>NOT(ISERROR(SEARCH("超过",J53)))</formula>
    </cfRule>
  </conditionalFormatting>
  <conditionalFormatting sqref="I52">
    <cfRule type="expression" dxfId="215" priority="3" stopIfTrue="1">
      <formula>$J$52="超过30%"</formula>
    </cfRule>
  </conditionalFormatting>
  <conditionalFormatting sqref="I53">
    <cfRule type="expression" dxfId="214" priority="2" stopIfTrue="1">
      <formula>$J$53="超过20%"</formula>
    </cfRule>
  </conditionalFormatting>
  <conditionalFormatting sqref="I54">
    <cfRule type="expression" dxfId="2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1608</v>
      </c>
    </row>
    <row r="6" spans="1:1" ht="18.75">
      <c r="A6" s="1950" t="s">
        <v>1609</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估价对象为出让国有建设用地使用权及在建建筑物房地产，为所有。根据《国有土地使用证》[]，估价对象（分摊）出让国有建设用地使用权面积为9460.81平方米，建筑面积为33112.8400000002平方米。</v>
      </c>
    </row>
    <row r="8" spans="1:1" ht="57.75">
      <c r="A8" s="1951" t="s">
        <v>1610</v>
      </c>
    </row>
    <row r="9" spans="1:1" ht="18.75">
      <c r="A9" s="1950" t="s">
        <v>1611</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9460.81平方米，规划建筑面积为33112.8400000002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2019年4月18日（评估专业人员实地查勘之日）</v>
      </c>
    </row>
    <row r="16" spans="1:1" ht="18.75">
      <c r="A16" s="1953" t="s">
        <v>1615</v>
      </c>
    </row>
    <row r="17" spans="1:1" ht="75">
      <c r="A17" s="1948" t="s">
        <v>1616</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2686</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IF(C2="——",ROUND(C50*D3/10000,0),ROUND(C50*D3/10000,0)-D2)</f>
        <v>#DIV/0!</v>
      </c>
      <c r="C2" s="2590"/>
      <c r="D2" s="1365" t="e">
        <f ca="1">SUMIF(INDIRECT("'"&amp;F2&amp;"'"&amp;"!A:A"),"承租人权益价值",INDIRECT("'"&amp;F2&amp;"'"&amp;"!c:c"))</f>
        <v>#REF!</v>
      </c>
      <c r="E2" s="2591" t="s">
        <v>2331</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33112.840000000157</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220" t="s">
        <v>2651</v>
      </c>
      <c r="Q4" s="3221"/>
      <c r="R4" s="3224" t="s">
        <v>2647</v>
      </c>
      <c r="S4" s="3225"/>
      <c r="T4" s="3224" t="s">
        <v>2648</v>
      </c>
      <c r="U4" s="3225"/>
      <c r="V4" s="3226" t="s">
        <v>2649</v>
      </c>
      <c r="W4" s="3226"/>
      <c r="X4" s="2672"/>
      <c r="Y4" s="3224" t="s">
        <v>2651</v>
      </c>
      <c r="Z4" s="3225"/>
      <c r="AA4" s="3228" t="s">
        <v>2647</v>
      </c>
      <c r="AB4" s="3228" t="s">
        <v>2648</v>
      </c>
      <c r="AC4" s="3217" t="s">
        <v>2649</v>
      </c>
    </row>
    <row r="5" spans="1:29" ht="15">
      <c r="A5" s="404"/>
      <c r="B5" s="405"/>
      <c r="C5" s="3205" t="s">
        <v>2542</v>
      </c>
      <c r="D5" s="3206"/>
      <c r="E5" s="3212" t="s">
        <v>2543</v>
      </c>
      <c r="F5" s="3213"/>
      <c r="G5" s="3205" t="s">
        <v>2544</v>
      </c>
      <c r="H5" s="3206"/>
      <c r="I5" s="3205" t="s">
        <v>2545</v>
      </c>
      <c r="J5" s="3206"/>
      <c r="K5" s="610"/>
      <c r="L5" s="1130"/>
      <c r="M5" s="1131"/>
      <c r="N5" s="1131"/>
      <c r="O5" s="1131"/>
      <c r="P5" s="3222"/>
      <c r="Q5" s="3193"/>
      <c r="R5" s="3198"/>
      <c r="S5" s="3199"/>
      <c r="T5" s="3198"/>
      <c r="U5" s="3199"/>
      <c r="V5" s="3202"/>
      <c r="W5" s="3202"/>
      <c r="X5" s="1813"/>
      <c r="Y5" s="3198"/>
      <c r="Z5" s="3199"/>
      <c r="AA5" s="3184"/>
      <c r="AB5" s="3184"/>
      <c r="AC5" s="3218"/>
    </row>
    <row r="6" spans="1:29" ht="15.75" thickBot="1">
      <c r="A6" s="406"/>
      <c r="B6" s="407"/>
      <c r="C6" s="3203" t="s">
        <v>2546</v>
      </c>
      <c r="D6" s="3204"/>
      <c r="E6" s="3210" t="s">
        <v>2546</v>
      </c>
      <c r="F6" s="3211"/>
      <c r="G6" s="3203" t="s">
        <v>2546</v>
      </c>
      <c r="H6" s="3204"/>
      <c r="I6" s="3203" t="s">
        <v>2546</v>
      </c>
      <c r="J6" s="3204"/>
      <c r="K6" s="610" t="s">
        <v>2547</v>
      </c>
      <c r="L6" s="1130"/>
      <c r="M6" s="1131"/>
      <c r="N6" s="1131"/>
      <c r="O6" s="1131"/>
      <c r="P6" s="3223"/>
      <c r="Q6" s="3195"/>
      <c r="R6" s="3198"/>
      <c r="S6" s="3199"/>
      <c r="T6" s="3200"/>
      <c r="U6" s="3201"/>
      <c r="V6" s="3202"/>
      <c r="W6" s="3202"/>
      <c r="X6" s="1813"/>
      <c r="Y6" s="3200"/>
      <c r="Z6" s="3201"/>
      <c r="AA6" s="3185"/>
      <c r="AB6" s="3185"/>
      <c r="AC6" s="3219"/>
    </row>
    <row r="7" spans="1:29" s="117" customFormat="1" ht="15.75" thickBot="1">
      <c r="A7" s="408" t="s">
        <v>2548</v>
      </c>
      <c r="B7" s="409"/>
      <c r="C7" s="410">
        <f>'数据-取费表'!B2</f>
        <v>43573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7" t="s">
        <v>2549</v>
      </c>
      <c r="Q7" s="3209"/>
      <c r="R7" s="770" t="s">
        <v>17</v>
      </c>
      <c r="S7" s="771">
        <f t="shared" ref="S7:S15" si="0">F7</f>
        <v>0</v>
      </c>
      <c r="T7" s="770" t="s">
        <v>17</v>
      </c>
      <c r="U7" s="771">
        <f t="shared" ref="U7:U15" si="1">H7</f>
        <v>0</v>
      </c>
      <c r="V7" s="770" t="s">
        <v>17</v>
      </c>
      <c r="W7" s="771">
        <f t="shared" ref="W7:W15" si="2">J7</f>
        <v>0</v>
      </c>
      <c r="X7" s="772"/>
      <c r="Y7" s="3207" t="s">
        <v>2549</v>
      </c>
      <c r="Z7" s="3208"/>
      <c r="AA7" s="773" t="e">
        <f>D7/F7</f>
        <v>#DIV/0!</v>
      </c>
      <c r="AB7" s="773" t="e">
        <f>D7/H7</f>
        <v>#DIV/0!</v>
      </c>
      <c r="AC7" s="2673"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7" t="s">
        <v>2552</v>
      </c>
      <c r="Q8" s="3208"/>
      <c r="R8" s="770" t="s">
        <v>17</v>
      </c>
      <c r="S8" s="771">
        <f t="shared" si="0"/>
        <v>0</v>
      </c>
      <c r="T8" s="770" t="s">
        <v>17</v>
      </c>
      <c r="U8" s="771">
        <f t="shared" si="1"/>
        <v>0</v>
      </c>
      <c r="V8" s="770" t="s">
        <v>17</v>
      </c>
      <c r="W8" s="771">
        <f t="shared" si="2"/>
        <v>0</v>
      </c>
      <c r="X8" s="772"/>
      <c r="Y8" s="3207" t="s">
        <v>2552</v>
      </c>
      <c r="Z8" s="3208"/>
      <c r="AA8" s="773" t="e">
        <f t="shared" ref="AA8:AA47" si="3">D8/F8</f>
        <v>#DIV/0!</v>
      </c>
      <c r="AB8" s="773" t="e">
        <f t="shared" ref="AB8:AB47" si="4">D8/H8</f>
        <v>#DIV/0!</v>
      </c>
      <c r="AC8" s="2673"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2"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2673">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2"/>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2673">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2"/>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2673" t="e">
        <f t="shared" si="5"/>
        <v>#N/A</v>
      </c>
    </row>
    <row r="12" spans="1:29" s="117" customFormat="1" ht="15">
      <c r="A12" s="431"/>
      <c r="B12" s="2603">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182"/>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2673">
        <f>D12/J12</f>
        <v>1</v>
      </c>
    </row>
    <row r="13" spans="1:29" ht="15">
      <c r="A13" s="428"/>
      <c r="B13" s="2603">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182"/>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2673">
        <f t="shared" si="5"/>
        <v>1</v>
      </c>
    </row>
    <row r="14" spans="1:29" ht="15.75" thickBot="1">
      <c r="A14" s="436"/>
      <c r="B14" s="2605">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182"/>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2673">
        <f t="shared" si="5"/>
        <v>1</v>
      </c>
    </row>
    <row r="15" spans="1:29" ht="71.25">
      <c r="A15" s="440" t="s">
        <v>2559</v>
      </c>
      <c r="B15" s="629" t="s">
        <v>2687</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0" t="s">
        <v>2560</v>
      </c>
      <c r="Q15" s="1810" t="str">
        <f t="shared" si="6"/>
        <v>办公集聚程度</v>
      </c>
      <c r="R15" s="774" t="s">
        <v>17</v>
      </c>
      <c r="S15" s="775">
        <f t="shared" si="0"/>
        <v>100</v>
      </c>
      <c r="T15" s="774" t="s">
        <v>17</v>
      </c>
      <c r="U15" s="775">
        <f t="shared" si="1"/>
        <v>100</v>
      </c>
      <c r="V15" s="774" t="s">
        <v>17</v>
      </c>
      <c r="W15" s="775">
        <f t="shared" si="2"/>
        <v>100</v>
      </c>
      <c r="X15" s="1813"/>
      <c r="Y15" s="3173" t="s">
        <v>2560</v>
      </c>
      <c r="Z15" s="1814" t="str">
        <f t="shared" si="7"/>
        <v>办公集聚程度</v>
      </c>
      <c r="AA15" s="1811">
        <f t="shared" si="3"/>
        <v>1</v>
      </c>
      <c r="AB15" s="1811">
        <f t="shared" si="4"/>
        <v>1</v>
      </c>
      <c r="AC15" s="2676">
        <f t="shared" si="5"/>
        <v>1</v>
      </c>
    </row>
    <row r="16" spans="1:29" ht="15">
      <c r="A16" s="428"/>
      <c r="B16" s="630"/>
      <c r="C16" s="2614"/>
      <c r="D16" s="448"/>
      <c r="E16" s="447"/>
      <c r="F16" s="448"/>
      <c r="G16" s="2614"/>
      <c r="H16" s="450"/>
      <c r="I16" s="447"/>
      <c r="J16" s="448"/>
      <c r="K16" s="615"/>
      <c r="L16" s="1140"/>
      <c r="M16" s="1131"/>
      <c r="N16" s="1131"/>
      <c r="O16" s="1131"/>
      <c r="P16" s="3181"/>
      <c r="Q16" s="1810"/>
      <c r="R16" s="774"/>
      <c r="S16" s="775"/>
      <c r="T16" s="774"/>
      <c r="U16" s="775"/>
      <c r="V16" s="774"/>
      <c r="W16" s="775"/>
      <c r="X16" s="1813"/>
      <c r="Y16" s="3174"/>
      <c r="Z16" s="1814"/>
      <c r="AA16" s="1811">
        <v>1</v>
      </c>
      <c r="AB16" s="1811">
        <v>1</v>
      </c>
      <c r="AC16" s="2676">
        <v>1</v>
      </c>
    </row>
    <row r="17" spans="1:29" ht="71.25">
      <c r="A17" s="428"/>
      <c r="B17" s="631" t="s">
        <v>2098</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1"/>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2676">
        <f t="shared" si="5"/>
        <v>1</v>
      </c>
    </row>
    <row r="18" spans="1:29" ht="15">
      <c r="A18" s="428"/>
      <c r="B18" s="632"/>
      <c r="C18" s="2678"/>
      <c r="D18" s="450"/>
      <c r="E18" s="2612"/>
      <c r="F18" s="450"/>
      <c r="G18" s="2613"/>
      <c r="H18" s="448"/>
      <c r="I18" s="2613"/>
      <c r="J18" s="448"/>
      <c r="K18" s="615"/>
      <c r="L18" s="1140"/>
      <c r="M18" s="1131"/>
      <c r="N18" s="1131"/>
      <c r="O18" s="1131"/>
      <c r="P18" s="3181"/>
      <c r="Q18" s="1810"/>
      <c r="R18" s="774"/>
      <c r="S18" s="775"/>
      <c r="T18" s="774"/>
      <c r="U18" s="775"/>
      <c r="V18" s="774"/>
      <c r="W18" s="775"/>
      <c r="X18" s="1813"/>
      <c r="Y18" s="3174"/>
      <c r="Z18" s="1814"/>
      <c r="AA18" s="1811">
        <v>1</v>
      </c>
      <c r="AB18" s="1811">
        <v>1</v>
      </c>
      <c r="AC18" s="2676">
        <v>1</v>
      </c>
    </row>
    <row r="19" spans="1:29" ht="42.75">
      <c r="A19" s="428"/>
      <c r="B19" s="631" t="s">
        <v>2688</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1"/>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2676">
        <f t="shared" si="5"/>
        <v>1</v>
      </c>
    </row>
    <row r="20" spans="1:29" ht="15">
      <c r="A20" s="428"/>
      <c r="B20" s="632"/>
      <c r="C20" s="2614"/>
      <c r="D20" s="448"/>
      <c r="E20" s="2607"/>
      <c r="F20" s="448"/>
      <c r="G20" s="2608"/>
      <c r="H20" s="448"/>
      <c r="I20" s="2608"/>
      <c r="J20" s="448"/>
      <c r="K20" s="615"/>
      <c r="L20" s="1140"/>
      <c r="M20" s="1131"/>
      <c r="N20" s="1131"/>
      <c r="O20" s="1131"/>
      <c r="P20" s="3181"/>
      <c r="Q20" s="1810"/>
      <c r="R20" s="774"/>
      <c r="S20" s="775"/>
      <c r="T20" s="774"/>
      <c r="U20" s="775"/>
      <c r="V20" s="774"/>
      <c r="W20" s="775"/>
      <c r="X20" s="1813"/>
      <c r="Y20" s="3174"/>
      <c r="Z20" s="1814"/>
      <c r="AA20" s="1811">
        <v>1</v>
      </c>
      <c r="AB20" s="1811">
        <v>1</v>
      </c>
      <c r="AC20" s="2676">
        <v>1</v>
      </c>
    </row>
    <row r="21" spans="1:29" ht="28.5">
      <c r="A21" s="428"/>
      <c r="B21" s="633" t="s">
        <v>2689</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1"/>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4"/>
      <c r="H22" s="448"/>
      <c r="I22" s="2614"/>
      <c r="J22" s="448"/>
      <c r="K22" s="1383"/>
      <c r="L22" s="1140"/>
      <c r="M22" s="1131"/>
      <c r="N22" s="1131"/>
      <c r="O22" s="1131"/>
      <c r="P22" s="3181"/>
      <c r="Q22" s="1810"/>
      <c r="R22" s="774"/>
      <c r="S22" s="775"/>
      <c r="T22" s="774"/>
      <c r="U22" s="775"/>
      <c r="V22" s="774"/>
      <c r="W22" s="775"/>
      <c r="X22" s="1813"/>
      <c r="Y22" s="3174"/>
      <c r="Z22" s="1814"/>
      <c r="AA22" s="1811">
        <v>1</v>
      </c>
      <c r="AB22" s="1811">
        <v>1</v>
      </c>
      <c r="AC22" s="2676">
        <v>1</v>
      </c>
    </row>
    <row r="23" spans="1:29" ht="42.75">
      <c r="A23" s="428"/>
      <c r="B23" s="631" t="s">
        <v>2690</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1"/>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2676">
        <f t="shared" si="5"/>
        <v>1</v>
      </c>
    </row>
    <row r="24" spans="1:29" ht="15">
      <c r="A24" s="428"/>
      <c r="B24" s="633"/>
      <c r="C24" s="2614"/>
      <c r="D24" s="448"/>
      <c r="E24" s="2607"/>
      <c r="F24" s="448"/>
      <c r="G24" s="2608"/>
      <c r="H24" s="448"/>
      <c r="I24" s="2608"/>
      <c r="J24" s="448"/>
      <c r="K24" s="615"/>
      <c r="L24" s="1140"/>
      <c r="M24" s="1131"/>
      <c r="N24" s="1131"/>
      <c r="O24" s="1131"/>
      <c r="P24" s="3181"/>
      <c r="Q24" s="1810"/>
      <c r="R24" s="774"/>
      <c r="S24" s="775"/>
      <c r="T24" s="774"/>
      <c r="U24" s="775"/>
      <c r="V24" s="774"/>
      <c r="W24" s="775"/>
      <c r="X24" s="1813"/>
      <c r="Y24" s="3174"/>
      <c r="Z24" s="1814"/>
      <c r="AA24" s="1811">
        <v>1</v>
      </c>
      <c r="AB24" s="1811">
        <v>1</v>
      </c>
      <c r="AC24" s="2676">
        <v>1</v>
      </c>
    </row>
    <row r="25" spans="1:29" ht="27">
      <c r="A25" s="404"/>
      <c r="B25" s="631" t="s">
        <v>2691</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181"/>
      <c r="Q25" s="1810" t="str">
        <f>B25</f>
        <v>毗邻道路的类型与等级</v>
      </c>
      <c r="R25" s="774" t="s">
        <v>17</v>
      </c>
      <c r="S25" s="775">
        <f>F25</f>
        <v>100</v>
      </c>
      <c r="T25" s="774" t="s">
        <v>17</v>
      </c>
      <c r="U25" s="775">
        <f>H25</f>
        <v>100</v>
      </c>
      <c r="V25" s="774" t="s">
        <v>17</v>
      </c>
      <c r="W25" s="775">
        <f>J25</f>
        <v>100</v>
      </c>
      <c r="X25" s="1813"/>
      <c r="Y25" s="3174"/>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181"/>
      <c r="Q26" s="1810"/>
      <c r="R26" s="774"/>
      <c r="S26" s="775"/>
      <c r="T26" s="774"/>
      <c r="U26" s="775"/>
      <c r="V26" s="774"/>
      <c r="W26" s="775"/>
      <c r="X26" s="1813"/>
      <c r="Y26" s="3174"/>
      <c r="Z26" s="1814"/>
      <c r="AA26" s="1811">
        <v>1</v>
      </c>
      <c r="AB26" s="1811">
        <v>1</v>
      </c>
      <c r="AC26" s="2676">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1"/>
      <c r="Q27" s="1810" t="str">
        <f t="shared" ref="Q27:Q47" si="11">B27</f>
        <v>楼层</v>
      </c>
      <c r="R27" s="774" t="s">
        <v>17</v>
      </c>
      <c r="S27" s="775">
        <f>F27</f>
        <v>100</v>
      </c>
      <c r="T27" s="774" t="s">
        <v>17</v>
      </c>
      <c r="U27" s="775">
        <f>H27</f>
        <v>100</v>
      </c>
      <c r="V27" s="774" t="s">
        <v>17</v>
      </c>
      <c r="W27" s="775">
        <f>J27</f>
        <v>100</v>
      </c>
      <c r="X27" s="1813"/>
      <c r="Y27" s="3174"/>
      <c r="Z27" s="1814" t="str">
        <f>Q27</f>
        <v>楼层</v>
      </c>
      <c r="AA27" s="1811">
        <f t="shared" si="3"/>
        <v>1</v>
      </c>
      <c r="AB27" s="1811">
        <f t="shared" si="4"/>
        <v>1</v>
      </c>
      <c r="AC27" s="2676">
        <f t="shared" si="5"/>
        <v>1</v>
      </c>
    </row>
    <row r="28" spans="1:29" s="117" customFormat="1" ht="15">
      <c r="A28" s="431"/>
      <c r="B28" s="631" t="s">
        <v>2692</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181"/>
      <c r="Q28" s="1795" t="str">
        <f t="shared" si="11"/>
        <v>朝向</v>
      </c>
      <c r="R28" s="770" t="s">
        <v>17</v>
      </c>
      <c r="S28" s="771">
        <f>F28</f>
        <v>100</v>
      </c>
      <c r="T28" s="770" t="s">
        <v>17</v>
      </c>
      <c r="U28" s="771">
        <f>H28</f>
        <v>100</v>
      </c>
      <c r="V28" s="770" t="s">
        <v>17</v>
      </c>
      <c r="W28" s="771">
        <f>J28</f>
        <v>100</v>
      </c>
      <c r="X28" s="772"/>
      <c r="Y28" s="3174"/>
      <c r="Z28" s="55" t="str">
        <f>Q28</f>
        <v>朝向</v>
      </c>
      <c r="AA28" s="1811">
        <f>D28/F28</f>
        <v>1</v>
      </c>
      <c r="AB28" s="1811">
        <f>D28/H28</f>
        <v>1</v>
      </c>
      <c r="AC28" s="2676">
        <f>D28/J28</f>
        <v>1</v>
      </c>
    </row>
    <row r="29" spans="1:29" ht="15">
      <c r="A29" s="428"/>
      <c r="B29" s="2680">
        <v>111</v>
      </c>
      <c r="C29" s="2618"/>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181"/>
      <c r="Q29" s="1810">
        <f t="shared" si="11"/>
        <v>111</v>
      </c>
      <c r="R29" s="774" t="s">
        <v>17</v>
      </c>
      <c r="S29" s="775">
        <f t="shared" ref="S29:S47" si="12">F29</f>
        <v>100</v>
      </c>
      <c r="T29" s="774" t="s">
        <v>17</v>
      </c>
      <c r="U29" s="775">
        <f t="shared" ref="U29:U47" si="13">H29</f>
        <v>100</v>
      </c>
      <c r="V29" s="774" t="s">
        <v>17</v>
      </c>
      <c r="W29" s="775">
        <f t="shared" ref="W29:W47" si="14">J29</f>
        <v>100</v>
      </c>
      <c r="X29" s="1813"/>
      <c r="Y29" s="3174"/>
      <c r="Z29" s="1814">
        <f t="shared" ref="Z29:Z47" si="15">Q29</f>
        <v>111</v>
      </c>
      <c r="AA29" s="1811">
        <f t="shared" si="3"/>
        <v>1</v>
      </c>
      <c r="AB29" s="1811">
        <f t="shared" si="4"/>
        <v>1</v>
      </c>
      <c r="AC29" s="2676">
        <f t="shared" si="5"/>
        <v>1</v>
      </c>
    </row>
    <row r="30" spans="1:29" ht="15">
      <c r="A30" s="428"/>
      <c r="B30" s="2680">
        <v>111</v>
      </c>
      <c r="C30" s="2618"/>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181"/>
      <c r="Q30" s="1810">
        <f t="shared" si="11"/>
        <v>111</v>
      </c>
      <c r="R30" s="774" t="s">
        <v>17</v>
      </c>
      <c r="S30" s="775">
        <f t="shared" si="12"/>
        <v>100</v>
      </c>
      <c r="T30" s="774" t="s">
        <v>17</v>
      </c>
      <c r="U30" s="775">
        <f t="shared" si="13"/>
        <v>100</v>
      </c>
      <c r="V30" s="774" t="s">
        <v>17</v>
      </c>
      <c r="W30" s="775">
        <f t="shared" si="14"/>
        <v>100</v>
      </c>
      <c r="X30" s="1813"/>
      <c r="Y30" s="3174"/>
      <c r="Z30" s="1814">
        <f t="shared" si="15"/>
        <v>111</v>
      </c>
      <c r="AA30" s="1811">
        <f t="shared" si="3"/>
        <v>1</v>
      </c>
      <c r="AB30" s="1811">
        <f t="shared" si="4"/>
        <v>1</v>
      </c>
      <c r="AC30" s="2676">
        <f t="shared" si="5"/>
        <v>1</v>
      </c>
    </row>
    <row r="31" spans="1:29" ht="15">
      <c r="A31" s="428"/>
      <c r="B31" s="2680">
        <v>111</v>
      </c>
      <c r="C31" s="2618"/>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181"/>
      <c r="Q31" s="1810">
        <f t="shared" si="11"/>
        <v>111</v>
      </c>
      <c r="R31" s="774" t="s">
        <v>17</v>
      </c>
      <c r="S31" s="775">
        <f t="shared" si="12"/>
        <v>100</v>
      </c>
      <c r="T31" s="774" t="s">
        <v>17</v>
      </c>
      <c r="U31" s="775">
        <f t="shared" si="13"/>
        <v>100</v>
      </c>
      <c r="V31" s="774" t="s">
        <v>17</v>
      </c>
      <c r="W31" s="775">
        <f t="shared" si="14"/>
        <v>100</v>
      </c>
      <c r="X31" s="1813"/>
      <c r="Y31" s="3174"/>
      <c r="Z31" s="1814">
        <f t="shared" si="15"/>
        <v>111</v>
      </c>
      <c r="AA31" s="1811">
        <f t="shared" si="3"/>
        <v>1</v>
      </c>
      <c r="AB31" s="1811">
        <f t="shared" si="4"/>
        <v>1</v>
      </c>
      <c r="AC31" s="2676">
        <f t="shared" si="5"/>
        <v>1</v>
      </c>
    </row>
    <row r="32" spans="1:29" ht="15.75" thickBot="1">
      <c r="A32" s="436"/>
      <c r="B32" s="635">
        <v>111</v>
      </c>
      <c r="C32" s="2619"/>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181"/>
      <c r="Q32" s="1810">
        <f t="shared" si="11"/>
        <v>111</v>
      </c>
      <c r="R32" s="774" t="s">
        <v>17</v>
      </c>
      <c r="S32" s="775">
        <f t="shared" si="12"/>
        <v>100</v>
      </c>
      <c r="T32" s="774" t="s">
        <v>17</v>
      </c>
      <c r="U32" s="775">
        <f t="shared" si="13"/>
        <v>100</v>
      </c>
      <c r="V32" s="774" t="s">
        <v>17</v>
      </c>
      <c r="W32" s="775">
        <f t="shared" si="14"/>
        <v>100</v>
      </c>
      <c r="X32" s="1813"/>
      <c r="Y32" s="3174"/>
      <c r="Z32" s="1814">
        <f t="shared" si="15"/>
        <v>111</v>
      </c>
      <c r="AA32" s="1811">
        <f t="shared" si="3"/>
        <v>1</v>
      </c>
      <c r="AB32" s="1811">
        <f t="shared" si="4"/>
        <v>1</v>
      </c>
      <c r="AC32" s="2676">
        <f t="shared" si="5"/>
        <v>1</v>
      </c>
    </row>
    <row r="33" spans="1:29" ht="15">
      <c r="A33" s="440" t="s">
        <v>2563</v>
      </c>
      <c r="B33" s="71" t="s">
        <v>2693</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175" t="s">
        <v>2565</v>
      </c>
      <c r="Q33" s="1810" t="str">
        <f t="shared" si="11"/>
        <v>建筑类型</v>
      </c>
      <c r="R33" s="774" t="s">
        <v>17</v>
      </c>
      <c r="S33" s="775">
        <f t="shared" si="12"/>
        <v>100</v>
      </c>
      <c r="T33" s="774" t="s">
        <v>17</v>
      </c>
      <c r="U33" s="775">
        <f t="shared" si="13"/>
        <v>100</v>
      </c>
      <c r="V33" s="774" t="s">
        <v>17</v>
      </c>
      <c r="W33" s="775">
        <f t="shared" si="14"/>
        <v>100</v>
      </c>
      <c r="X33" s="1813"/>
      <c r="Y33" s="3178" t="s">
        <v>2565</v>
      </c>
      <c r="Z33" s="1814" t="str">
        <f t="shared" si="15"/>
        <v>建筑类型</v>
      </c>
      <c r="AA33" s="1811">
        <f t="shared" si="3"/>
        <v>1</v>
      </c>
      <c r="AB33" s="1811">
        <f t="shared" si="4"/>
        <v>1</v>
      </c>
      <c r="AC33" s="2676">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1" t="e">
        <f t="shared" si="3"/>
        <v>#N/A</v>
      </c>
      <c r="AB34" s="1811" t="e">
        <f t="shared" si="4"/>
        <v>#N/A</v>
      </c>
      <c r="AC34" s="2676"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6"/>
      <c r="Q35" s="1810" t="str">
        <f t="shared" si="11"/>
        <v>建筑结构</v>
      </c>
      <c r="R35" s="774" t="s">
        <v>17</v>
      </c>
      <c r="S35" s="775">
        <f t="shared" si="12"/>
        <v>100</v>
      </c>
      <c r="T35" s="774" t="s">
        <v>17</v>
      </c>
      <c r="U35" s="775">
        <f t="shared" si="13"/>
        <v>100</v>
      </c>
      <c r="V35" s="774" t="s">
        <v>17</v>
      </c>
      <c r="W35" s="775">
        <f t="shared" si="14"/>
        <v>100</v>
      </c>
      <c r="X35" s="1813"/>
      <c r="Y35" s="3178"/>
      <c r="Z35" s="1814" t="str">
        <f t="shared" si="15"/>
        <v>建筑结构</v>
      </c>
      <c r="AA35" s="1811">
        <f t="shared" si="3"/>
        <v>1</v>
      </c>
      <c r="AB35" s="1811">
        <f t="shared" si="4"/>
        <v>1</v>
      </c>
      <c r="AC35" s="2676">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6"/>
      <c r="Q36" s="1810" t="str">
        <f t="shared" si="11"/>
        <v>公共部分装修</v>
      </c>
      <c r="R36" s="774" t="s">
        <v>17</v>
      </c>
      <c r="S36" s="775">
        <f t="shared" si="12"/>
        <v>100</v>
      </c>
      <c r="T36" s="774" t="s">
        <v>17</v>
      </c>
      <c r="U36" s="775">
        <f t="shared" si="13"/>
        <v>100</v>
      </c>
      <c r="V36" s="774" t="s">
        <v>17</v>
      </c>
      <c r="W36" s="775">
        <f t="shared" si="14"/>
        <v>100</v>
      </c>
      <c r="X36" s="1813"/>
      <c r="Y36" s="3178"/>
      <c r="Z36" s="1814" t="str">
        <f t="shared" si="15"/>
        <v>公共部分装修</v>
      </c>
      <c r="AA36" s="1811">
        <f t="shared" si="3"/>
        <v>1</v>
      </c>
      <c r="AB36" s="1811">
        <f t="shared" si="4"/>
        <v>1</v>
      </c>
      <c r="AC36" s="2676">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6"/>
      <c r="Q37" s="1810" t="str">
        <f t="shared" si="11"/>
        <v>成新度</v>
      </c>
      <c r="R37" s="774" t="s">
        <v>17</v>
      </c>
      <c r="S37" s="775" t="e">
        <f t="shared" si="12"/>
        <v>#N/A</v>
      </c>
      <c r="T37" s="774" t="s">
        <v>17</v>
      </c>
      <c r="U37" s="775" t="e">
        <f t="shared" si="13"/>
        <v>#N/A</v>
      </c>
      <c r="V37" s="774" t="s">
        <v>17</v>
      </c>
      <c r="W37" s="775" t="e">
        <f t="shared" si="14"/>
        <v>#N/A</v>
      </c>
      <c r="X37" s="1813"/>
      <c r="Y37" s="3178"/>
      <c r="Z37" s="1814" t="str">
        <f t="shared" si="15"/>
        <v>成新度</v>
      </c>
      <c r="AA37" s="1811" t="e">
        <f t="shared" si="3"/>
        <v>#N/A</v>
      </c>
      <c r="AB37" s="1811" t="e">
        <f t="shared" si="4"/>
        <v>#N/A</v>
      </c>
      <c r="AC37" s="2676"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6"/>
      <c r="Q38" s="1795"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3">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6" t="s">
        <v>2565</v>
      </c>
      <c r="Q39" s="1810" t="str">
        <f t="shared" si="11"/>
        <v>物业管理</v>
      </c>
      <c r="R39" s="774" t="s">
        <v>17</v>
      </c>
      <c r="S39" s="775">
        <f t="shared" si="12"/>
        <v>100</v>
      </c>
      <c r="T39" s="774" t="s">
        <v>17</v>
      </c>
      <c r="U39" s="775">
        <f t="shared" si="13"/>
        <v>100</v>
      </c>
      <c r="V39" s="774" t="s">
        <v>17</v>
      </c>
      <c r="W39" s="775">
        <f t="shared" si="14"/>
        <v>100</v>
      </c>
      <c r="X39" s="1813"/>
      <c r="Y39" s="3178" t="s">
        <v>2565</v>
      </c>
      <c r="Z39" s="1814" t="str">
        <f t="shared" si="15"/>
        <v>物业管理</v>
      </c>
      <c r="AA39" s="1811">
        <f t="shared" si="3"/>
        <v>1</v>
      </c>
      <c r="AB39" s="1811">
        <f t="shared" si="4"/>
        <v>1</v>
      </c>
      <c r="AC39" s="2676">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6"/>
      <c r="Q40" s="1810" t="str">
        <f t="shared" si="11"/>
        <v>市政基础设施</v>
      </c>
      <c r="R40" s="774" t="s">
        <v>17</v>
      </c>
      <c r="S40" s="775">
        <f t="shared" si="12"/>
        <v>100</v>
      </c>
      <c r="T40" s="774" t="s">
        <v>17</v>
      </c>
      <c r="U40" s="775">
        <f t="shared" si="13"/>
        <v>100</v>
      </c>
      <c r="V40" s="774" t="s">
        <v>17</v>
      </c>
      <c r="W40" s="775">
        <f t="shared" si="14"/>
        <v>100</v>
      </c>
      <c r="X40" s="1813"/>
      <c r="Y40" s="3178"/>
      <c r="Z40" s="1814" t="str">
        <f t="shared" si="15"/>
        <v>市政基础设施</v>
      </c>
      <c r="AA40" s="1811">
        <f t="shared" si="3"/>
        <v>1</v>
      </c>
      <c r="AB40" s="1811">
        <f t="shared" si="4"/>
        <v>1</v>
      </c>
      <c r="AC40" s="2676">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6"/>
      <c r="Q41" s="1810" t="str">
        <f t="shared" si="11"/>
        <v>层高</v>
      </c>
      <c r="R41" s="774" t="s">
        <v>17</v>
      </c>
      <c r="S41" s="775">
        <f t="shared" si="12"/>
        <v>100</v>
      </c>
      <c r="T41" s="774" t="s">
        <v>17</v>
      </c>
      <c r="U41" s="775">
        <f t="shared" si="13"/>
        <v>100</v>
      </c>
      <c r="V41" s="774" t="s">
        <v>17</v>
      </c>
      <c r="W41" s="775">
        <f t="shared" si="14"/>
        <v>100</v>
      </c>
      <c r="X41" s="1813"/>
      <c r="Y41" s="3178"/>
      <c r="Z41" s="1814" t="str">
        <f t="shared" si="15"/>
        <v>层高</v>
      </c>
      <c r="AA41" s="1811">
        <f t="shared" si="3"/>
        <v>1</v>
      </c>
      <c r="AB41" s="1811">
        <f t="shared" si="4"/>
        <v>1</v>
      </c>
      <c r="AC41" s="2676">
        <f t="shared" si="5"/>
        <v>1</v>
      </c>
    </row>
    <row r="42" spans="1:29" s="471" customFormat="1" ht="15">
      <c r="A42" s="468"/>
      <c r="B42" s="1812"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1">
        <f t="shared" si="3"/>
        <v>1</v>
      </c>
      <c r="AB42" s="1811">
        <f t="shared" si="4"/>
        <v>1</v>
      </c>
      <c r="AC42" s="2676">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6"/>
      <c r="Q43" s="1810" t="str">
        <f t="shared" si="11"/>
        <v>内部装修</v>
      </c>
      <c r="R43" s="774" t="s">
        <v>17</v>
      </c>
      <c r="S43" s="775">
        <f t="shared" si="12"/>
        <v>100</v>
      </c>
      <c r="T43" s="774" t="s">
        <v>17</v>
      </c>
      <c r="U43" s="775">
        <f t="shared" si="13"/>
        <v>100</v>
      </c>
      <c r="V43" s="774" t="s">
        <v>17</v>
      </c>
      <c r="W43" s="775">
        <f t="shared" si="14"/>
        <v>100</v>
      </c>
      <c r="X43" s="1813"/>
      <c r="Y43" s="3178"/>
      <c r="Z43" s="1814" t="str">
        <f t="shared" si="15"/>
        <v>内部装修</v>
      </c>
      <c r="AA43" s="1811">
        <f t="shared" si="3"/>
        <v>1</v>
      </c>
      <c r="AB43" s="1811">
        <f t="shared" si="4"/>
        <v>1</v>
      </c>
      <c r="AC43" s="2676">
        <f t="shared" si="5"/>
        <v>1</v>
      </c>
    </row>
    <row r="44" spans="1:29" ht="15">
      <c r="A44" s="472"/>
      <c r="B44" s="422" t="s">
        <v>2576</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176"/>
      <c r="Q44" s="1810" t="str">
        <f t="shared" si="11"/>
        <v>内部装修维护情况</v>
      </c>
      <c r="R44" s="774" t="s">
        <v>17</v>
      </c>
      <c r="S44" s="775">
        <f t="shared" si="12"/>
        <v>100</v>
      </c>
      <c r="T44" s="774" t="s">
        <v>17</v>
      </c>
      <c r="U44" s="775">
        <f t="shared" si="13"/>
        <v>100</v>
      </c>
      <c r="V44" s="774" t="s">
        <v>17</v>
      </c>
      <c r="W44" s="775">
        <f t="shared" si="14"/>
        <v>100</v>
      </c>
      <c r="X44" s="1813"/>
      <c r="Y44" s="317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6"/>
      <c r="Q45" s="1795">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6"/>
      <c r="Q46" s="1810">
        <f t="shared" si="11"/>
        <v>111</v>
      </c>
      <c r="R46" s="774" t="s">
        <v>17</v>
      </c>
      <c r="S46" s="775">
        <f t="shared" si="12"/>
        <v>100</v>
      </c>
      <c r="T46" s="774" t="s">
        <v>17</v>
      </c>
      <c r="U46" s="775">
        <f t="shared" si="13"/>
        <v>100</v>
      </c>
      <c r="V46" s="774" t="s">
        <v>17</v>
      </c>
      <c r="W46" s="775">
        <f t="shared" si="14"/>
        <v>100</v>
      </c>
      <c r="X46" s="1813"/>
      <c r="Y46" s="3178"/>
      <c r="Z46" s="1814">
        <f t="shared" si="15"/>
        <v>111</v>
      </c>
      <c r="AA46" s="1811">
        <f t="shared" si="3"/>
        <v>1</v>
      </c>
      <c r="AB46" s="1811">
        <f t="shared" si="4"/>
        <v>1</v>
      </c>
      <c r="AC46" s="2676">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7"/>
      <c r="Q47" s="1810">
        <f t="shared" si="11"/>
        <v>111</v>
      </c>
      <c r="R47" s="774" t="s">
        <v>17</v>
      </c>
      <c r="S47" s="775">
        <f t="shared" si="12"/>
        <v>100</v>
      </c>
      <c r="T47" s="774" t="s">
        <v>17</v>
      </c>
      <c r="U47" s="775">
        <f t="shared" si="13"/>
        <v>100</v>
      </c>
      <c r="V47" s="774" t="s">
        <v>17</v>
      </c>
      <c r="W47" s="775">
        <f t="shared" si="14"/>
        <v>100</v>
      </c>
      <c r="X47" s="1813"/>
      <c r="Y47" s="3179"/>
      <c r="Z47" s="1814">
        <f t="shared" si="15"/>
        <v>111</v>
      </c>
      <c r="AA47" s="1811">
        <f t="shared" si="3"/>
        <v>1</v>
      </c>
      <c r="AB47" s="1811">
        <f t="shared" si="4"/>
        <v>1</v>
      </c>
      <c r="AC47" s="2676">
        <f t="shared" si="5"/>
        <v>1</v>
      </c>
    </row>
    <row r="48" spans="1:29" ht="15">
      <c r="A48" s="479" t="s">
        <v>2577</v>
      </c>
      <c r="B48" s="480"/>
      <c r="C48" s="1407" t="s">
        <v>1</v>
      </c>
      <c r="D48" s="1408"/>
      <c r="E48" s="1409"/>
      <c r="F48" s="1410"/>
      <c r="G48" s="1411"/>
      <c r="H48" s="1412"/>
      <c r="I48" s="1409"/>
      <c r="J48" s="485"/>
      <c r="K48" s="783"/>
      <c r="L48" s="1143"/>
      <c r="M48" s="1131"/>
      <c r="N48" s="1131"/>
      <c r="O48" s="1131"/>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2669</v>
      </c>
      <c r="B49" s="487"/>
      <c r="C49" s="1413" t="e">
        <f>R50</f>
        <v>#DIV/0!</v>
      </c>
      <c r="D49" s="1414"/>
      <c r="E49" s="1415" t="e">
        <f>R49</f>
        <v>#DIV/0!</v>
      </c>
      <c r="F49" s="1415"/>
      <c r="G49" s="1413" t="e">
        <f>T49</f>
        <v>#DIV/0!</v>
      </c>
      <c r="H49" s="1414"/>
      <c r="I49" s="1415" t="e">
        <f>V49</f>
        <v>#DIV/0!</v>
      </c>
      <c r="J49" s="489"/>
      <c r="K49" s="784"/>
      <c r="L49" s="1143"/>
      <c r="M49" s="1131"/>
      <c r="N49" s="1131"/>
      <c r="O49" s="1131"/>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2670</v>
      </c>
      <c r="B50" s="493"/>
      <c r="C50" s="1417" t="e">
        <f>R50</f>
        <v>#DIV/0!</v>
      </c>
      <c r="D50" s="1417"/>
      <c r="E50" s="1417"/>
      <c r="F50" s="1417"/>
      <c r="G50" s="1417"/>
      <c r="H50" s="1417"/>
      <c r="I50" s="1417"/>
      <c r="J50" s="494"/>
      <c r="K50" s="785"/>
      <c r="L50" s="1143"/>
      <c r="M50" s="1131"/>
      <c r="N50" s="1131"/>
      <c r="O50" s="1131"/>
      <c r="P50" s="3214" t="str">
        <f>A50</f>
        <v>估价对象XX用房的比较价值（楼面单价，元/平方米）</v>
      </c>
      <c r="Q50" s="3215"/>
      <c r="R50" s="3216" t="e">
        <f>IF(F1="售价",ROUND(AVERAGE(R49:V49),0),ROUND(AVERAGE(R49:V49),1))</f>
        <v>#DIV/0!</v>
      </c>
      <c r="S50" s="3216"/>
      <c r="T50" s="3216"/>
      <c r="U50" s="3216"/>
      <c r="V50" s="3216"/>
      <c r="W50" s="321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2674</v>
      </c>
      <c r="B58" s="759"/>
      <c r="C58" s="764"/>
      <c r="D58" s="764"/>
      <c r="E58" s="764"/>
      <c r="F58" s="765"/>
      <c r="G58" s="765"/>
      <c r="H58" s="764"/>
      <c r="I58" s="764"/>
      <c r="J58" s="764"/>
      <c r="K58" s="766"/>
      <c r="L58" s="1161"/>
      <c r="M58" s="1159"/>
      <c r="N58" s="1159"/>
      <c r="O58" s="1159"/>
      <c r="P58" s="2683"/>
      <c r="Q58" s="504"/>
    </row>
    <row r="59" spans="1:29" s="508" customFormat="1" ht="15">
      <c r="A59" s="505" t="s">
        <v>2548</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2585</v>
      </c>
      <c r="B61" s="516"/>
      <c r="C61" s="517"/>
      <c r="D61" s="518"/>
      <c r="E61" s="518"/>
      <c r="F61" s="518"/>
      <c r="G61" s="518"/>
      <c r="H61" s="518"/>
      <c r="I61" s="518"/>
      <c r="J61" s="518"/>
      <c r="K61" s="518"/>
      <c r="L61" s="518"/>
      <c r="M61" s="519"/>
      <c r="N61" s="518"/>
      <c r="O61" s="519"/>
      <c r="P61" s="2684"/>
      <c r="Q61" s="504"/>
    </row>
    <row r="62" spans="1:29" s="117" customFormat="1" ht="15">
      <c r="A62" s="521" t="s">
        <v>2550</v>
      </c>
      <c r="B62" s="510"/>
      <c r="C62" s="522" t="s">
        <v>2652</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2588</v>
      </c>
      <c r="B64" s="528" t="s">
        <v>2554</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2689</v>
      </c>
      <c r="C83" s="660" t="s">
        <v>2675</v>
      </c>
      <c r="D83" s="660" t="s">
        <v>2676</v>
      </c>
      <c r="E83" s="660" t="s">
        <v>2677</v>
      </c>
      <c r="F83" s="660" t="s">
        <v>2678</v>
      </c>
      <c r="G83" s="660" t="s">
        <v>2679</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2699</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2563</v>
      </c>
      <c r="B101" s="528" t="s">
        <v>2612</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2614</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2616</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2700</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2617</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2618</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2701</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2684</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2620</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212" priority="16" stopIfTrue="1" operator="containsText" text="超过">
      <formula>NOT(ISERROR(SEARCH("超过",F53)))</formula>
    </cfRule>
  </conditionalFormatting>
  <conditionalFormatting sqref="H55">
    <cfRule type="containsText" dxfId="211" priority="15" stopIfTrue="1" operator="containsText" text="超过">
      <formula>NOT(ISERROR(SEARCH("超过",H55)))</formula>
    </cfRule>
  </conditionalFormatting>
  <conditionalFormatting sqref="F55">
    <cfRule type="containsText" dxfId="210" priority="14" stopIfTrue="1" operator="containsText" text="超过">
      <formula>NOT(ISERROR(SEARCH("超过",F55)))</formula>
    </cfRule>
  </conditionalFormatting>
  <conditionalFormatting sqref="F54 H54">
    <cfRule type="containsText" dxfId="209" priority="13" stopIfTrue="1" operator="containsText" text="超过">
      <formula>NOT(ISERROR(SEARCH("超过",F54)))</formula>
    </cfRule>
  </conditionalFormatting>
  <conditionalFormatting sqref="E53">
    <cfRule type="expression" dxfId="208" priority="12" stopIfTrue="1">
      <formula>$F$53="超过30%"</formula>
    </cfRule>
  </conditionalFormatting>
  <conditionalFormatting sqref="E54">
    <cfRule type="expression" dxfId="207" priority="11" stopIfTrue="1">
      <formula>$F$54="超过20%"</formula>
    </cfRule>
  </conditionalFormatting>
  <conditionalFormatting sqref="E55">
    <cfRule type="expression" dxfId="206" priority="10" stopIfTrue="1">
      <formula>$F$55="超过30%"</formula>
    </cfRule>
  </conditionalFormatting>
  <conditionalFormatting sqref="G55">
    <cfRule type="expression" dxfId="205" priority="9" stopIfTrue="1">
      <formula>$H$55="超过30%"</formula>
    </cfRule>
  </conditionalFormatting>
  <conditionalFormatting sqref="G53">
    <cfRule type="expression" dxfId="204" priority="8" stopIfTrue="1">
      <formula>$H$53="超过30%"</formula>
    </cfRule>
  </conditionalFormatting>
  <conditionalFormatting sqref="G54">
    <cfRule type="expression" dxfId="203" priority="7" stopIfTrue="1">
      <formula>$H$54="超过20%"</formula>
    </cfRule>
  </conditionalFormatting>
  <conditionalFormatting sqref="J53">
    <cfRule type="containsText" dxfId="202" priority="6" stopIfTrue="1" operator="containsText" text="超过">
      <formula>NOT(ISERROR(SEARCH("超过",J53)))</formula>
    </cfRule>
  </conditionalFormatting>
  <conditionalFormatting sqref="J55">
    <cfRule type="containsText" dxfId="201" priority="5" stopIfTrue="1" operator="containsText" text="超过">
      <formula>NOT(ISERROR(SEARCH("超过",J55)))</formula>
    </cfRule>
  </conditionalFormatting>
  <conditionalFormatting sqref="J54">
    <cfRule type="containsText" dxfId="200" priority="4" stopIfTrue="1" operator="containsText" text="超过">
      <formula>NOT(ISERROR(SEARCH("超过",J54)))</formula>
    </cfRule>
  </conditionalFormatting>
  <conditionalFormatting sqref="I53">
    <cfRule type="expression" dxfId="199" priority="3" stopIfTrue="1">
      <formula>$J$53="超过30%"</formula>
    </cfRule>
  </conditionalFormatting>
  <conditionalFormatting sqref="I54">
    <cfRule type="expression" dxfId="198" priority="2" stopIfTrue="1">
      <formula>$J$53+$J$54="超过20%"</formula>
    </cfRule>
  </conditionalFormatting>
  <conditionalFormatting sqref="I55">
    <cfRule type="expression" dxfId="1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2528</v>
      </c>
      <c r="B1" s="2671" t="s">
        <v>2702</v>
      </c>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IF(C2="——",ROUND(C43*D3/10000,0),ROUND(C43*D3/10000,0)-D2)</f>
        <v>#DIV/0!</v>
      </c>
      <c r="C2" s="2590"/>
      <c r="D2" s="1124" t="e">
        <f ca="1">SUMIF(INDIRECT("'"&amp;F2&amp;"'"&amp;"!A:A"),"承租人权益价值",INDIRECT("'"&amp;F2&amp;"'"&amp;"!c:c"))</f>
        <v>#REF!</v>
      </c>
      <c r="E2" s="2591" t="s">
        <v>2331</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33112.840000000157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184" t="s">
        <v>2648</v>
      </c>
      <c r="AC4" s="3183" t="s">
        <v>2649</v>
      </c>
    </row>
    <row r="5" spans="1:29" ht="15">
      <c r="A5" s="404"/>
      <c r="B5" s="405"/>
      <c r="C5" s="3205" t="s">
        <v>2542</v>
      </c>
      <c r="D5" s="3206"/>
      <c r="E5" s="3212" t="s">
        <v>2543</v>
      </c>
      <c r="F5" s="3213"/>
      <c r="G5" s="3205" t="s">
        <v>2544</v>
      </c>
      <c r="H5" s="3206"/>
      <c r="I5" s="3205" t="s">
        <v>2545</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2546</v>
      </c>
      <c r="D6" s="3204"/>
      <c r="E6" s="3210" t="s">
        <v>2546</v>
      </c>
      <c r="F6" s="3211"/>
      <c r="G6" s="3203" t="s">
        <v>2546</v>
      </c>
      <c r="H6" s="3204"/>
      <c r="I6" s="3203" t="s">
        <v>2546</v>
      </c>
      <c r="J6" s="3204"/>
      <c r="K6" s="610" t="s">
        <v>2547</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2548</v>
      </c>
      <c r="B7" s="409"/>
      <c r="C7" s="410">
        <f>'数据-取费表'!B2</f>
        <v>43573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7" t="s">
        <v>2549</v>
      </c>
      <c r="Q7" s="3209"/>
      <c r="R7" s="770" t="s">
        <v>17</v>
      </c>
      <c r="S7" s="771">
        <f t="shared" ref="S7:S15" si="0">F7</f>
        <v>0</v>
      </c>
      <c r="T7" s="770" t="s">
        <v>17</v>
      </c>
      <c r="U7" s="771">
        <f t="shared" ref="U7:U15" si="1">H7</f>
        <v>0</v>
      </c>
      <c r="V7" s="770" t="s">
        <v>17</v>
      </c>
      <c r="W7" s="771">
        <f t="shared" ref="W7:W15" si="2">J7</f>
        <v>0</v>
      </c>
      <c r="X7" s="772"/>
      <c r="Y7" s="3207" t="s">
        <v>2549</v>
      </c>
      <c r="Z7" s="3208"/>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7" t="s">
        <v>2552</v>
      </c>
      <c r="Q8" s="3208"/>
      <c r="R8" s="770" t="s">
        <v>17</v>
      </c>
      <c r="S8" s="771">
        <f t="shared" si="0"/>
        <v>0</v>
      </c>
      <c r="T8" s="770" t="s">
        <v>17</v>
      </c>
      <c r="U8" s="771">
        <f t="shared" si="1"/>
        <v>0</v>
      </c>
      <c r="V8" s="770" t="s">
        <v>17</v>
      </c>
      <c r="W8" s="771">
        <f t="shared" si="2"/>
        <v>0</v>
      </c>
      <c r="X8" s="772"/>
      <c r="Y8" s="3207" t="s">
        <v>2552</v>
      </c>
      <c r="Z8" s="3208"/>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1"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2559</v>
      </c>
      <c r="B15" s="69" t="s">
        <v>2703</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3" t="s">
        <v>2560</v>
      </c>
      <c r="Q15" s="1810" t="str">
        <f t="shared" si="6"/>
        <v>产业集聚程度</v>
      </c>
      <c r="R15" s="774" t="s">
        <v>17</v>
      </c>
      <c r="S15" s="775">
        <f t="shared" si="0"/>
        <v>100</v>
      </c>
      <c r="T15" s="774" t="s">
        <v>17</v>
      </c>
      <c r="U15" s="775">
        <f t="shared" si="1"/>
        <v>100</v>
      </c>
      <c r="V15" s="774" t="s">
        <v>17</v>
      </c>
      <c r="W15" s="775">
        <f t="shared" si="2"/>
        <v>100</v>
      </c>
      <c r="X15" s="1813"/>
      <c r="Y15" s="3173" t="s">
        <v>2560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451" t="s">
        <v>2098</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174"/>
      <c r="Q18" s="1810"/>
      <c r="R18" s="774"/>
      <c r="S18" s="775"/>
      <c r="T18" s="774"/>
      <c r="U18" s="775"/>
      <c r="V18" s="774"/>
      <c r="W18" s="775"/>
      <c r="X18" s="1813"/>
      <c r="Y18" s="3174"/>
      <c r="Z18" s="1814"/>
      <c r="AA18" s="1811">
        <v>1</v>
      </c>
      <c r="AB18" s="1811">
        <v>1</v>
      </c>
      <c r="AC18" s="1811">
        <v>1</v>
      </c>
    </row>
    <row r="19" spans="1:29" ht="42.75">
      <c r="A19" s="428"/>
      <c r="B19" s="451" t="s">
        <v>2688</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4"/>
      <c r="Q19" s="1810" t="str">
        <f>B19</f>
        <v>公共配套设施</v>
      </c>
      <c r="R19" s="774" t="s">
        <v>17</v>
      </c>
      <c r="S19" s="775">
        <f>F19</f>
        <v>100</v>
      </c>
      <c r="T19" s="774" t="s">
        <v>17</v>
      </c>
      <c r="U19" s="775">
        <f>H19</f>
        <v>100</v>
      </c>
      <c r="V19" s="774" t="s">
        <v>17</v>
      </c>
      <c r="W19" s="775">
        <f>J19</f>
        <v>100</v>
      </c>
      <c r="X19" s="1813"/>
      <c r="Y19" s="3174"/>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174"/>
      <c r="Q20" s="1810"/>
      <c r="R20" s="774"/>
      <c r="S20" s="775"/>
      <c r="T20" s="774"/>
      <c r="U20" s="775"/>
      <c r="V20" s="774"/>
      <c r="W20" s="775"/>
      <c r="X20" s="1813"/>
      <c r="Y20" s="3174"/>
      <c r="Z20" s="1814"/>
      <c r="AA20" s="1811">
        <v>1</v>
      </c>
      <c r="AB20" s="1811">
        <v>1</v>
      </c>
      <c r="AC20" s="1811">
        <v>1</v>
      </c>
    </row>
    <row r="21" spans="1:29" ht="28.5">
      <c r="A21" s="428"/>
      <c r="B21" s="1384" t="s">
        <v>2689</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4"/>
      <c r="Q21" s="1810" t="str">
        <f>B21</f>
        <v>基础设施水平</v>
      </c>
      <c r="R21" s="774" t="s">
        <v>17</v>
      </c>
      <c r="S21" s="775">
        <f>F21</f>
        <v>100</v>
      </c>
      <c r="T21" s="774" t="s">
        <v>17</v>
      </c>
      <c r="U21" s="775">
        <f>H21</f>
        <v>100</v>
      </c>
      <c r="V21" s="774" t="s">
        <v>17</v>
      </c>
      <c r="W21" s="775">
        <f>J21</f>
        <v>100</v>
      </c>
      <c r="X21" s="1813"/>
      <c r="Y21" s="3174"/>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174"/>
      <c r="Q22" s="1810"/>
      <c r="R22" s="774"/>
      <c r="S22" s="775"/>
      <c r="T22" s="774"/>
      <c r="U22" s="775"/>
      <c r="V22" s="774"/>
      <c r="W22" s="775"/>
      <c r="X22" s="1813"/>
      <c r="Y22" s="3174"/>
      <c r="Z22" s="1814"/>
      <c r="AA22" s="1811">
        <v>1</v>
      </c>
      <c r="AB22" s="1811">
        <v>1</v>
      </c>
      <c r="AC22" s="1811">
        <v>1</v>
      </c>
    </row>
    <row r="23" spans="1:29" ht="71.25">
      <c r="A23" s="428"/>
      <c r="B23" s="451" t="s">
        <v>2690</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4"/>
      <c r="Q23" s="1810" t="str">
        <f>B23</f>
        <v>环境质量</v>
      </c>
      <c r="R23" s="774" t="s">
        <v>17</v>
      </c>
      <c r="S23" s="775">
        <f>F23</f>
        <v>100</v>
      </c>
      <c r="T23" s="774" t="s">
        <v>17</v>
      </c>
      <c r="U23" s="775">
        <f>H23</f>
        <v>100</v>
      </c>
      <c r="V23" s="774" t="s">
        <v>17</v>
      </c>
      <c r="W23" s="775">
        <f>J23</f>
        <v>100</v>
      </c>
      <c r="X23" s="1813"/>
      <c r="Y23" s="3174"/>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174"/>
      <c r="Q24" s="1810"/>
      <c r="R24" s="774"/>
      <c r="S24" s="775"/>
      <c r="T24" s="774"/>
      <c r="U24" s="775"/>
      <c r="V24" s="774"/>
      <c r="W24" s="775"/>
      <c r="X24" s="1813"/>
      <c r="Y24" s="317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4"/>
      <c r="Q25" s="1810">
        <f>B25</f>
        <v>111</v>
      </c>
      <c r="R25" s="774" t="s">
        <v>17</v>
      </c>
      <c r="S25" s="775">
        <f>F25</f>
        <v>100</v>
      </c>
      <c r="T25" s="774" t="s">
        <v>17</v>
      </c>
      <c r="U25" s="775">
        <f>H25</f>
        <v>100</v>
      </c>
      <c r="V25" s="774" t="s">
        <v>17</v>
      </c>
      <c r="W25" s="775">
        <f>J25</f>
        <v>100</v>
      </c>
      <c r="X25" s="1813"/>
      <c r="Y25" s="317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4"/>
      <c r="Q26" s="1810">
        <f t="shared" ref="Q26:Q40" si="11">B26</f>
        <v>111</v>
      </c>
      <c r="R26" s="774" t="s">
        <v>17</v>
      </c>
      <c r="S26" s="775">
        <f>F26</f>
        <v>100</v>
      </c>
      <c r="T26" s="774" t="s">
        <v>17</v>
      </c>
      <c r="U26" s="775">
        <f>H26</f>
        <v>100</v>
      </c>
      <c r="V26" s="774" t="s">
        <v>17</v>
      </c>
      <c r="W26" s="775">
        <f>J26</f>
        <v>100</v>
      </c>
      <c r="X26" s="1813"/>
      <c r="Y26" s="317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4"/>
      <c r="Q27" s="1795">
        <f t="shared" si="11"/>
        <v>111</v>
      </c>
      <c r="R27" s="770" t="s">
        <v>17</v>
      </c>
      <c r="S27" s="771">
        <f>F27</f>
        <v>100</v>
      </c>
      <c r="T27" s="770" t="s">
        <v>17</v>
      </c>
      <c r="U27" s="771">
        <f>H27</f>
        <v>100</v>
      </c>
      <c r="V27" s="770" t="s">
        <v>17</v>
      </c>
      <c r="W27" s="771">
        <f>J27</f>
        <v>100</v>
      </c>
      <c r="X27" s="772"/>
      <c r="Y27" s="317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4"/>
      <c r="Q28" s="1810">
        <f t="shared" si="11"/>
        <v>111</v>
      </c>
      <c r="R28" s="774" t="s">
        <v>17</v>
      </c>
      <c r="S28" s="775">
        <f t="shared" ref="S28:S40" si="12">F28</f>
        <v>100</v>
      </c>
      <c r="T28" s="774" t="s">
        <v>17</v>
      </c>
      <c r="U28" s="775">
        <f t="shared" ref="U28:U40" si="13">H28</f>
        <v>100</v>
      </c>
      <c r="V28" s="774" t="s">
        <v>17</v>
      </c>
      <c r="W28" s="775">
        <f t="shared" ref="W28:W40" si="14">J28</f>
        <v>100</v>
      </c>
      <c r="X28" s="1813"/>
      <c r="Y28" s="3174"/>
      <c r="Z28" s="1814">
        <f t="shared" ref="Z28:Z40" si="15">Q28</f>
        <v>111</v>
      </c>
      <c r="AA28" s="1811">
        <f t="shared" si="3"/>
        <v>1</v>
      </c>
      <c r="AB28" s="1811">
        <f t="shared" si="4"/>
        <v>1</v>
      </c>
      <c r="AC28" s="1811">
        <f t="shared" si="5"/>
        <v>1</v>
      </c>
    </row>
    <row r="29" spans="1:29" ht="28.5">
      <c r="A29" s="466" t="s">
        <v>2563</v>
      </c>
      <c r="B29" s="71" t="s">
        <v>2693</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29" t="s">
        <v>2565</v>
      </c>
      <c r="Q29" s="1810" t="str">
        <f t="shared" si="11"/>
        <v>建筑类型</v>
      </c>
      <c r="R29" s="774" t="s">
        <v>17</v>
      </c>
      <c r="S29" s="775">
        <f t="shared" si="12"/>
        <v>100</v>
      </c>
      <c r="T29" s="774" t="s">
        <v>17</v>
      </c>
      <c r="U29" s="775">
        <f t="shared" si="13"/>
        <v>100</v>
      </c>
      <c r="V29" s="774" t="s">
        <v>17</v>
      </c>
      <c r="W29" s="775">
        <f t="shared" si="14"/>
        <v>100</v>
      </c>
      <c r="X29" s="1813"/>
      <c r="Y29" s="3178" t="s">
        <v>2565</v>
      </c>
      <c r="Z29" s="1814" t="str">
        <f t="shared" si="15"/>
        <v>建筑类型</v>
      </c>
      <c r="AA29" s="1811">
        <f t="shared" si="3"/>
        <v>1</v>
      </c>
      <c r="AB29" s="1811">
        <f t="shared" si="4"/>
        <v>1</v>
      </c>
      <c r="AC29" s="1811">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1" t="e">
        <f t="shared" si="3"/>
        <v>#N/A</v>
      </c>
      <c r="AB30" s="1811" t="e">
        <f t="shared" si="4"/>
        <v>#N/A</v>
      </c>
      <c r="AC30" s="1811"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8"/>
      <c r="Q31" s="1810" t="str">
        <f t="shared" si="11"/>
        <v>建筑结构</v>
      </c>
      <c r="R31" s="774" t="s">
        <v>17</v>
      </c>
      <c r="S31" s="775">
        <f t="shared" si="12"/>
        <v>100</v>
      </c>
      <c r="T31" s="774" t="s">
        <v>17</v>
      </c>
      <c r="U31" s="775">
        <f t="shared" si="13"/>
        <v>100</v>
      </c>
      <c r="V31" s="774" t="s">
        <v>17</v>
      </c>
      <c r="W31" s="775">
        <f t="shared" si="14"/>
        <v>100</v>
      </c>
      <c r="X31" s="1813"/>
      <c r="Y31" s="3178"/>
      <c r="Z31" s="1814" t="str">
        <f t="shared" si="15"/>
        <v>建筑结构</v>
      </c>
      <c r="AA31" s="1811">
        <f t="shared" si="3"/>
        <v>1</v>
      </c>
      <c r="AB31" s="1811">
        <f t="shared" si="4"/>
        <v>1</v>
      </c>
      <c r="AC31" s="1811">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8"/>
      <c r="Q32" s="1810" t="str">
        <f t="shared" si="11"/>
        <v>公共部分装修</v>
      </c>
      <c r="R32" s="774" t="s">
        <v>17</v>
      </c>
      <c r="S32" s="775">
        <f t="shared" si="12"/>
        <v>100</v>
      </c>
      <c r="T32" s="774" t="s">
        <v>17</v>
      </c>
      <c r="U32" s="775">
        <f t="shared" si="13"/>
        <v>100</v>
      </c>
      <c r="V32" s="774" t="s">
        <v>17</v>
      </c>
      <c r="W32" s="775">
        <f t="shared" si="14"/>
        <v>100</v>
      </c>
      <c r="X32" s="1813"/>
      <c r="Y32" s="3178"/>
      <c r="Z32" s="1814" t="str">
        <f t="shared" si="15"/>
        <v>公共部分装修</v>
      </c>
      <c r="AA32" s="1811">
        <f t="shared" si="3"/>
        <v>1</v>
      </c>
      <c r="AB32" s="1811">
        <f t="shared" si="4"/>
        <v>1</v>
      </c>
      <c r="AC32" s="1811">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8"/>
      <c r="Q33" s="1810" t="str">
        <f t="shared" si="11"/>
        <v>成新度</v>
      </c>
      <c r="R33" s="774" t="s">
        <v>17</v>
      </c>
      <c r="S33" s="775" t="e">
        <f t="shared" si="12"/>
        <v>#N/A</v>
      </c>
      <c r="T33" s="774" t="s">
        <v>17</v>
      </c>
      <c r="U33" s="775" t="e">
        <f t="shared" si="13"/>
        <v>#N/A</v>
      </c>
      <c r="V33" s="774" t="s">
        <v>17</v>
      </c>
      <c r="W33" s="775" t="e">
        <f t="shared" si="14"/>
        <v>#N/A</v>
      </c>
      <c r="X33" s="1813"/>
      <c r="Y33" s="3178"/>
      <c r="Z33" s="1814" t="str">
        <f t="shared" si="15"/>
        <v>成新度</v>
      </c>
      <c r="AA33" s="1811" t="e">
        <f t="shared" si="3"/>
        <v>#N/A</v>
      </c>
      <c r="AB33" s="1811" t="e">
        <f t="shared" si="4"/>
        <v>#N/A</v>
      </c>
      <c r="AC33" s="1811"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8"/>
      <c r="Q34" s="1795"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8" t="s">
        <v>2565</v>
      </c>
      <c r="Q35" s="1810" t="str">
        <f t="shared" si="11"/>
        <v>市政基础设施</v>
      </c>
      <c r="R35" s="774" t="s">
        <v>17</v>
      </c>
      <c r="S35" s="775">
        <f t="shared" si="12"/>
        <v>100</v>
      </c>
      <c r="T35" s="774" t="s">
        <v>17</v>
      </c>
      <c r="U35" s="775">
        <f t="shared" si="13"/>
        <v>100</v>
      </c>
      <c r="V35" s="774" t="s">
        <v>17</v>
      </c>
      <c r="W35" s="775">
        <f t="shared" si="14"/>
        <v>100</v>
      </c>
      <c r="X35" s="1813"/>
      <c r="Y35" s="3178" t="s">
        <v>2565</v>
      </c>
      <c r="Z35" s="1814" t="str">
        <f t="shared" si="15"/>
        <v>市政基础设施</v>
      </c>
      <c r="AA35" s="1811">
        <f t="shared" si="3"/>
        <v>1</v>
      </c>
      <c r="AB35" s="1811">
        <f t="shared" si="4"/>
        <v>1</v>
      </c>
      <c r="AC35" s="1811">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8"/>
      <c r="Q36" s="1810" t="str">
        <f t="shared" si="11"/>
        <v>内部装修</v>
      </c>
      <c r="R36" s="774" t="s">
        <v>17</v>
      </c>
      <c r="S36" s="775">
        <f t="shared" si="12"/>
        <v>100</v>
      </c>
      <c r="T36" s="774" t="s">
        <v>17</v>
      </c>
      <c r="U36" s="775">
        <f t="shared" si="13"/>
        <v>100</v>
      </c>
      <c r="V36" s="774" t="s">
        <v>17</v>
      </c>
      <c r="W36" s="775">
        <f t="shared" si="14"/>
        <v>100</v>
      </c>
      <c r="X36" s="1813"/>
      <c r="Y36" s="3178"/>
      <c r="Z36" s="1814" t="str">
        <f t="shared" si="15"/>
        <v>内部装修</v>
      </c>
      <c r="AA36" s="1811">
        <f t="shared" si="3"/>
        <v>1</v>
      </c>
      <c r="AB36" s="1811">
        <f t="shared" si="4"/>
        <v>1</v>
      </c>
      <c r="AC36" s="1811">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8"/>
      <c r="Q37" s="1810" t="str">
        <f t="shared" si="11"/>
        <v>内部装修状况</v>
      </c>
      <c r="R37" s="774" t="s">
        <v>17</v>
      </c>
      <c r="S37" s="775">
        <f t="shared" si="12"/>
        <v>100</v>
      </c>
      <c r="T37" s="774" t="s">
        <v>17</v>
      </c>
      <c r="U37" s="775">
        <f t="shared" si="13"/>
        <v>100</v>
      </c>
      <c r="V37" s="774" t="s">
        <v>17</v>
      </c>
      <c r="W37" s="775">
        <f t="shared" si="14"/>
        <v>100</v>
      </c>
      <c r="X37" s="1813"/>
      <c r="Y37" s="317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8"/>
      <c r="Q39" s="1810">
        <f t="shared" si="11"/>
        <v>111</v>
      </c>
      <c r="R39" s="774" t="s">
        <v>17</v>
      </c>
      <c r="S39" s="775">
        <f t="shared" si="12"/>
        <v>100</v>
      </c>
      <c r="T39" s="774" t="s">
        <v>17</v>
      </c>
      <c r="U39" s="775">
        <f t="shared" si="13"/>
        <v>100</v>
      </c>
      <c r="V39" s="774" t="s">
        <v>17</v>
      </c>
      <c r="W39" s="775">
        <f t="shared" si="14"/>
        <v>100</v>
      </c>
      <c r="X39" s="1813"/>
      <c r="Y39" s="3178"/>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79"/>
      <c r="Q40" s="1810">
        <f t="shared" si="11"/>
        <v>111</v>
      </c>
      <c r="R40" s="774" t="s">
        <v>17</v>
      </c>
      <c r="S40" s="775">
        <f t="shared" si="12"/>
        <v>100</v>
      </c>
      <c r="T40" s="774" t="s">
        <v>17</v>
      </c>
      <c r="U40" s="775">
        <f t="shared" si="13"/>
        <v>100</v>
      </c>
      <c r="V40" s="774" t="s">
        <v>17</v>
      </c>
      <c r="W40" s="775">
        <f t="shared" si="14"/>
        <v>100</v>
      </c>
      <c r="X40" s="1813"/>
      <c r="Y40" s="3179"/>
      <c r="Z40" s="1814">
        <f t="shared" si="15"/>
        <v>111</v>
      </c>
      <c r="AA40" s="1811">
        <f t="shared" si="3"/>
        <v>1</v>
      </c>
      <c r="AB40" s="1811">
        <f t="shared" si="4"/>
        <v>1</v>
      </c>
      <c r="AC40" s="1811">
        <f t="shared" si="5"/>
        <v>1</v>
      </c>
    </row>
    <row r="41" spans="1:29" ht="15">
      <c r="A41" s="479" t="s">
        <v>2577</v>
      </c>
      <c r="B41" s="480"/>
      <c r="C41" s="1407" t="s">
        <v>1</v>
      </c>
      <c r="D41" s="1408"/>
      <c r="E41" s="1409"/>
      <c r="F41" s="1410"/>
      <c r="G41" s="1411"/>
      <c r="H41" s="1412"/>
      <c r="I41" s="1409"/>
      <c r="J41" s="1412"/>
      <c r="K41" s="783"/>
      <c r="L41" s="1143"/>
      <c r="M41" s="1144"/>
      <c r="N41" s="1131"/>
      <c r="O41" s="1144"/>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2669</v>
      </c>
      <c r="B42" s="487"/>
      <c r="C42" s="1413" t="e">
        <f>R43</f>
        <v>#DIV/0!</v>
      </c>
      <c r="D42" s="1414"/>
      <c r="E42" s="1415" t="e">
        <f>R42</f>
        <v>#DIV/0!</v>
      </c>
      <c r="F42" s="1415"/>
      <c r="G42" s="1413" t="e">
        <f>T42</f>
        <v>#DIV/0!</v>
      </c>
      <c r="H42" s="1414"/>
      <c r="I42" s="1415" t="e">
        <f>V42</f>
        <v>#DIV/0!</v>
      </c>
      <c r="J42" s="1414"/>
      <c r="K42" s="784"/>
      <c r="L42" s="1143"/>
      <c r="M42" s="1144"/>
      <c r="N42" s="1131"/>
      <c r="O42" s="1144"/>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2670</v>
      </c>
      <c r="B43" s="493"/>
      <c r="C43" s="1417" t="e">
        <f>R43</f>
        <v>#DIV/0!</v>
      </c>
      <c r="D43" s="1417"/>
      <c r="E43" s="1417"/>
      <c r="F43" s="1417"/>
      <c r="G43" s="1417"/>
      <c r="H43" s="1417"/>
      <c r="I43" s="1417"/>
      <c r="J43" s="1417"/>
      <c r="K43" s="785"/>
      <c r="L43" s="1143"/>
      <c r="M43" s="1144"/>
      <c r="N43" s="1144"/>
      <c r="O43" s="1144"/>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2674</v>
      </c>
      <c r="B51" s="759"/>
      <c r="C51" s="764"/>
      <c r="D51" s="764"/>
      <c r="E51" s="764"/>
      <c r="F51" s="765"/>
      <c r="G51" s="765"/>
      <c r="H51" s="764"/>
      <c r="I51" s="764"/>
      <c r="J51" s="764"/>
      <c r="K51" s="1160"/>
      <c r="L51" s="1161"/>
      <c r="M51" s="1159"/>
      <c r="N51" s="1159"/>
      <c r="O51" s="1159"/>
      <c r="P51" s="503"/>
      <c r="Q51" s="504"/>
    </row>
    <row r="52" spans="1:17" s="508" customFormat="1" ht="15">
      <c r="A52" s="505" t="s">
        <v>2548</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2588</v>
      </c>
      <c r="B57" s="528" t="s">
        <v>2554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2563</v>
      </c>
      <c r="B88" s="528" t="s">
        <v>2612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96" priority="16" stopIfTrue="1" operator="containsText" text="超过">
      <formula>NOT(ISERROR(SEARCH("超过",F46)))</formula>
    </cfRule>
  </conditionalFormatting>
  <conditionalFormatting sqref="H48">
    <cfRule type="containsText" dxfId="195" priority="15" stopIfTrue="1" operator="containsText" text="超过">
      <formula>NOT(ISERROR(SEARCH("超过",H48)))</formula>
    </cfRule>
  </conditionalFormatting>
  <conditionalFormatting sqref="F48">
    <cfRule type="containsText" dxfId="194" priority="14" stopIfTrue="1" operator="containsText" text="超过">
      <formula>NOT(ISERROR(SEARCH("超过",F48)))</formula>
    </cfRule>
  </conditionalFormatting>
  <conditionalFormatting sqref="F47 H47">
    <cfRule type="containsText" dxfId="193" priority="13" stopIfTrue="1" operator="containsText" text="超过">
      <formula>NOT(ISERROR(SEARCH("超过",F47)))</formula>
    </cfRule>
  </conditionalFormatting>
  <conditionalFormatting sqref="E46">
    <cfRule type="expression" dxfId="192" priority="12" stopIfTrue="1">
      <formula>$F$46="超过30%"</formula>
    </cfRule>
  </conditionalFormatting>
  <conditionalFormatting sqref="E47">
    <cfRule type="expression" dxfId="191" priority="11" stopIfTrue="1">
      <formula>$F$47="超过20%"</formula>
    </cfRule>
  </conditionalFormatting>
  <conditionalFormatting sqref="E48">
    <cfRule type="expression" dxfId="190" priority="10" stopIfTrue="1">
      <formula>$F$48="超过30%"</formula>
    </cfRule>
  </conditionalFormatting>
  <conditionalFormatting sqref="G48">
    <cfRule type="expression" dxfId="189" priority="9" stopIfTrue="1">
      <formula>$H$48="超过30%"</formula>
    </cfRule>
  </conditionalFormatting>
  <conditionalFormatting sqref="G46">
    <cfRule type="expression" dxfId="188" priority="8" stopIfTrue="1">
      <formula>$H$46="超过30%"</formula>
    </cfRule>
  </conditionalFormatting>
  <conditionalFormatting sqref="G47">
    <cfRule type="expression" dxfId="187" priority="7" stopIfTrue="1">
      <formula>$H$47="超过20%"</formula>
    </cfRule>
  </conditionalFormatting>
  <conditionalFormatting sqref="J46">
    <cfRule type="containsText" dxfId="186" priority="6" stopIfTrue="1" operator="containsText" text="超过">
      <formula>NOT(ISERROR(SEARCH("超过",J46)))</formula>
    </cfRule>
  </conditionalFormatting>
  <conditionalFormatting sqref="J48">
    <cfRule type="containsText" dxfId="185" priority="5" stopIfTrue="1" operator="containsText" text="超过">
      <formula>NOT(ISERROR(SEARCH("超过",J48)))</formula>
    </cfRule>
  </conditionalFormatting>
  <conditionalFormatting sqref="J47">
    <cfRule type="containsText" dxfId="184" priority="4" stopIfTrue="1" operator="containsText" text="超过">
      <formula>NOT(ISERROR(SEARCH("超过",J47)))</formula>
    </cfRule>
  </conditionalFormatting>
  <conditionalFormatting sqref="I46">
    <cfRule type="expression" dxfId="183" priority="3" stopIfTrue="1">
      <formula>$J$46="超过30%"</formula>
    </cfRule>
  </conditionalFormatting>
  <conditionalFormatting sqref="I47">
    <cfRule type="expression" dxfId="182" priority="2" stopIfTrue="1">
      <formula>$J$47="超过20%"</formula>
    </cfRule>
  </conditionalFormatting>
  <conditionalFormatting sqref="I48">
    <cfRule type="expression" dxfId="1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22"/>
      <c r="F1" s="2588"/>
      <c r="G1" s="1623" t="s">
        <v>2643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2330</v>
      </c>
      <c r="B2" s="1418" t="e">
        <f ca="1">IF(C2="——",IF(B37="元/平方米",ROUND(C39*D3/10000,0),ROUND(F3*C39/10000,0)),IF(B37="元/平方米",ROUND(C39*D3/10000,0),ROUND(F3*C39/10000,0))-D2)</f>
        <v>#DIV/0!</v>
      </c>
      <c r="C2" s="2590"/>
      <c r="D2" s="1124" t="e">
        <f ca="1">SUMIF(INDIRECT("'"&amp;F2&amp;"'"&amp;"!A:A"),"承租人权益价值",INDIRECT("'"&amp;F2&amp;"'"&amp;"!c:c"))</f>
        <v>#REF!</v>
      </c>
      <c r="E2" s="2591" t="s">
        <v>2331</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184" t="s">
        <v>2648</v>
      </c>
      <c r="AC4" s="3183" t="s">
        <v>2649</v>
      </c>
    </row>
    <row r="5" spans="1:29" ht="15">
      <c r="A5" s="404"/>
      <c r="B5" s="405"/>
      <c r="C5" s="3205" t="s">
        <v>2542</v>
      </c>
      <c r="D5" s="3206"/>
      <c r="E5" s="3212" t="s">
        <v>2543</v>
      </c>
      <c r="F5" s="3213"/>
      <c r="G5" s="3205" t="s">
        <v>2544</v>
      </c>
      <c r="H5" s="3206"/>
      <c r="I5" s="3205" t="s">
        <v>2545</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2546</v>
      </c>
      <c r="D6" s="3204"/>
      <c r="E6" s="3210" t="s">
        <v>2546</v>
      </c>
      <c r="F6" s="3211"/>
      <c r="G6" s="3203" t="s">
        <v>2546</v>
      </c>
      <c r="H6" s="3204"/>
      <c r="I6" s="3203" t="s">
        <v>2546</v>
      </c>
      <c r="J6" s="3204"/>
      <c r="K6" s="610" t="s">
        <v>2547</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2548</v>
      </c>
      <c r="B7" s="409"/>
      <c r="C7" s="410">
        <f>'数据-取费表'!B2</f>
        <v>43573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7" t="s">
        <v>2549</v>
      </c>
      <c r="Q7" s="3209"/>
      <c r="R7" s="770" t="s">
        <v>17</v>
      </c>
      <c r="S7" s="771">
        <f t="shared" ref="S7:S14" si="0">F7</f>
        <v>0</v>
      </c>
      <c r="T7" s="770" t="s">
        <v>17</v>
      </c>
      <c r="U7" s="771">
        <f t="shared" ref="U7:U14" si="1">H7</f>
        <v>0</v>
      </c>
      <c r="V7" s="770" t="s">
        <v>17</v>
      </c>
      <c r="W7" s="771">
        <f t="shared" ref="W7:W14" si="2">J7</f>
        <v>0</v>
      </c>
      <c r="X7" s="772"/>
      <c r="Y7" s="3207" t="s">
        <v>2549</v>
      </c>
      <c r="Z7" s="3208"/>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7" t="s">
        <v>2552</v>
      </c>
      <c r="Q8" s="3208"/>
      <c r="R8" s="770" t="s">
        <v>17</v>
      </c>
      <c r="S8" s="771">
        <f t="shared" si="0"/>
        <v>0</v>
      </c>
      <c r="T8" s="770" t="s">
        <v>17</v>
      </c>
      <c r="U8" s="771">
        <f t="shared" si="1"/>
        <v>0</v>
      </c>
      <c r="V8" s="770" t="s">
        <v>17</v>
      </c>
      <c r="W8" s="771">
        <f t="shared" si="2"/>
        <v>0</v>
      </c>
      <c r="X8" s="772"/>
      <c r="Y8" s="3207" t="s">
        <v>2552</v>
      </c>
      <c r="Z8" s="3208"/>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1" t="s">
        <v>2555</v>
      </c>
      <c r="Q9" s="1795" t="str">
        <f t="shared" ref="Q9:Q14" si="6">B9</f>
        <v>用途</v>
      </c>
      <c r="R9" s="770" t="s">
        <v>17</v>
      </c>
      <c r="S9" s="771">
        <f t="shared" si="0"/>
        <v>100</v>
      </c>
      <c r="T9" s="770" t="s">
        <v>17</v>
      </c>
      <c r="U9" s="771">
        <f t="shared" si="1"/>
        <v>100</v>
      </c>
      <c r="V9" s="770" t="s">
        <v>17</v>
      </c>
      <c r="W9" s="771">
        <f t="shared" si="2"/>
        <v>100</v>
      </c>
      <c r="X9" s="772"/>
      <c r="Y9" s="2996"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01" t="s">
        <v>2559</v>
      </c>
      <c r="B14" s="629" t="s">
        <v>2709</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3" t="s">
        <v>2560</v>
      </c>
      <c r="Q14" s="1810" t="str">
        <f t="shared" si="6"/>
        <v>交通便捷度</v>
      </c>
      <c r="R14" s="774" t="s">
        <v>17</v>
      </c>
      <c r="S14" s="775">
        <f t="shared" si="0"/>
        <v>100</v>
      </c>
      <c r="T14" s="774" t="s">
        <v>17</v>
      </c>
      <c r="U14" s="775">
        <f t="shared" si="1"/>
        <v>100</v>
      </c>
      <c r="V14" s="774" t="s">
        <v>17</v>
      </c>
      <c r="W14" s="775">
        <f t="shared" si="2"/>
        <v>100</v>
      </c>
      <c r="X14" s="1813"/>
      <c r="Y14" s="3173" t="s">
        <v>2560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4"/>
      <c r="Q15" s="1810"/>
      <c r="R15" s="774"/>
      <c r="S15" s="775"/>
      <c r="T15" s="774"/>
      <c r="U15" s="775"/>
      <c r="V15" s="774"/>
      <c r="W15" s="775"/>
      <c r="X15" s="1813"/>
      <c r="Y15" s="3174"/>
      <c r="Z15" s="1814"/>
      <c r="AA15" s="1811">
        <v>1</v>
      </c>
      <c r="AB15" s="1811">
        <v>1</v>
      </c>
      <c r="AC15" s="1811">
        <v>1</v>
      </c>
    </row>
    <row r="16" spans="1:29" ht="42.75">
      <c r="A16" s="404"/>
      <c r="B16" s="631" t="s">
        <v>2688</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174"/>
      <c r="Q17" s="1810"/>
      <c r="R17" s="774"/>
      <c r="S17" s="775"/>
      <c r="T17" s="774"/>
      <c r="U17" s="775"/>
      <c r="V17" s="774"/>
      <c r="W17" s="775"/>
      <c r="X17" s="1813"/>
      <c r="Y17" s="3174"/>
      <c r="Z17" s="1814"/>
      <c r="AA17" s="1811">
        <v>1</v>
      </c>
      <c r="AB17" s="1811">
        <v>1</v>
      </c>
      <c r="AC17" s="1811">
        <v>1</v>
      </c>
    </row>
    <row r="18" spans="1:29" ht="28.5">
      <c r="A18" s="404"/>
      <c r="B18" s="633" t="s">
        <v>2689</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174"/>
      <c r="Q19" s="1810"/>
      <c r="R19" s="774"/>
      <c r="S19" s="775"/>
      <c r="T19" s="774"/>
      <c r="U19" s="775"/>
      <c r="V19" s="774"/>
      <c r="W19" s="775"/>
      <c r="X19" s="1813"/>
      <c r="Y19" s="3174"/>
      <c r="Z19" s="1814"/>
      <c r="AA19" s="1811">
        <v>1</v>
      </c>
      <c r="AB19" s="1811">
        <v>1</v>
      </c>
      <c r="AC19" s="1811">
        <v>1</v>
      </c>
    </row>
    <row r="20" spans="1:29" ht="57">
      <c r="A20" s="404"/>
      <c r="B20" s="631" t="s">
        <v>2710</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4"/>
      <c r="Q21" s="1810"/>
      <c r="R21" s="774"/>
      <c r="S21" s="775"/>
      <c r="T21" s="774"/>
      <c r="U21" s="775"/>
      <c r="V21" s="774"/>
      <c r="W21" s="775"/>
      <c r="X21" s="1813"/>
      <c r="Y21" s="3174"/>
      <c r="Z21" s="1814"/>
      <c r="AA21" s="1811">
        <v>1</v>
      </c>
      <c r="AB21" s="1811">
        <v>1</v>
      </c>
      <c r="AC21" s="1811">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4"/>
      <c r="Q24" s="1810">
        <f t="shared" ref="Q24:Q36"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652" t="s">
        <v>2563</v>
      </c>
      <c r="B26" s="70" t="s">
        <v>2712</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29" t="s">
        <v>2565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8" t="s">
        <v>2565</v>
      </c>
      <c r="Z26" s="1814" t="str">
        <f t="shared" ref="Z26:Z36" si="15">Q26</f>
        <v>配套类型</v>
      </c>
      <c r="AA26" s="1811">
        <f t="shared" si="3"/>
        <v>1</v>
      </c>
      <c r="AB26" s="1811">
        <f t="shared" si="4"/>
        <v>1</v>
      </c>
      <c r="AC26" s="1811">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1">
        <f t="shared" si="3"/>
        <v>1</v>
      </c>
      <c r="AB27" s="1811">
        <f t="shared" si="4"/>
        <v>1</v>
      </c>
      <c r="AC27" s="1811">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8"/>
      <c r="Q28" s="1810" t="str">
        <f t="shared" si="11"/>
        <v>公共部分装修</v>
      </c>
      <c r="R28" s="774" t="s">
        <v>17</v>
      </c>
      <c r="S28" s="775">
        <f t="shared" si="12"/>
        <v>100</v>
      </c>
      <c r="T28" s="774" t="s">
        <v>17</v>
      </c>
      <c r="U28" s="775">
        <f t="shared" si="13"/>
        <v>100</v>
      </c>
      <c r="V28" s="774" t="s">
        <v>17</v>
      </c>
      <c r="W28" s="775">
        <f t="shared" si="14"/>
        <v>100</v>
      </c>
      <c r="X28" s="1813"/>
      <c r="Y28" s="3178"/>
      <c r="Z28" s="1814" t="str">
        <f t="shared" si="15"/>
        <v>公共部分装修</v>
      </c>
      <c r="AA28" s="1811">
        <f t="shared" si="3"/>
        <v>1</v>
      </c>
      <c r="AB28" s="1811">
        <f t="shared" si="4"/>
        <v>1</v>
      </c>
      <c r="AC28" s="1811">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8"/>
      <c r="Q29" s="1810" t="str">
        <f t="shared" si="11"/>
        <v>成新率</v>
      </c>
      <c r="R29" s="774" t="s">
        <v>17</v>
      </c>
      <c r="S29" s="775" t="e">
        <f t="shared" si="12"/>
        <v>#N/A</v>
      </c>
      <c r="T29" s="774" t="s">
        <v>17</v>
      </c>
      <c r="U29" s="775" t="e">
        <f t="shared" si="13"/>
        <v>#N/A</v>
      </c>
      <c r="V29" s="774" t="s">
        <v>17</v>
      </c>
      <c r="W29" s="775" t="e">
        <f t="shared" si="14"/>
        <v>#N/A</v>
      </c>
      <c r="X29" s="1813"/>
      <c r="Y29" s="3178"/>
      <c r="Z29" s="1814" t="str">
        <f t="shared" si="15"/>
        <v>成新率</v>
      </c>
      <c r="AA29" s="1811" t="e">
        <f t="shared" si="3"/>
        <v>#N/A</v>
      </c>
      <c r="AB29" s="1811" t="e">
        <f t="shared" si="4"/>
        <v>#N/A</v>
      </c>
      <c r="AC29" s="1811"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8"/>
      <c r="Q30" s="1810" t="str">
        <f t="shared" si="11"/>
        <v>物业等级</v>
      </c>
      <c r="R30" s="774" t="s">
        <v>17</v>
      </c>
      <c r="S30" s="775">
        <f t="shared" si="12"/>
        <v>100</v>
      </c>
      <c r="T30" s="774" t="s">
        <v>17</v>
      </c>
      <c r="U30" s="775">
        <f t="shared" si="13"/>
        <v>100</v>
      </c>
      <c r="V30" s="774" t="s">
        <v>17</v>
      </c>
      <c r="W30" s="775">
        <f t="shared" si="14"/>
        <v>100</v>
      </c>
      <c r="X30" s="1813"/>
      <c r="Y30" s="3178"/>
      <c r="Z30" s="1814" t="str">
        <f t="shared" si="15"/>
        <v>物业等级</v>
      </c>
      <c r="AA30" s="1811">
        <f t="shared" si="3"/>
        <v>1</v>
      </c>
      <c r="AB30" s="1811">
        <f t="shared" si="4"/>
        <v>1</v>
      </c>
      <c r="AC30" s="1811">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8"/>
      <c r="Q31" s="1795"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8" t="s">
        <v>2565</v>
      </c>
      <c r="Q32" s="1810" t="str">
        <f t="shared" si="11"/>
        <v>车位类型</v>
      </c>
      <c r="R32" s="774" t="s">
        <v>17</v>
      </c>
      <c r="S32" s="775">
        <f t="shared" si="12"/>
        <v>100</v>
      </c>
      <c r="T32" s="774" t="s">
        <v>17</v>
      </c>
      <c r="U32" s="775">
        <f t="shared" si="13"/>
        <v>100</v>
      </c>
      <c r="V32" s="774" t="s">
        <v>17</v>
      </c>
      <c r="W32" s="775">
        <f t="shared" si="14"/>
        <v>100</v>
      </c>
      <c r="X32" s="1813"/>
      <c r="Y32" s="3178" t="s">
        <v>2565</v>
      </c>
      <c r="Z32" s="1814" t="str">
        <f t="shared" si="15"/>
        <v>车位类型</v>
      </c>
      <c r="AA32" s="1811">
        <f t="shared" si="3"/>
        <v>1</v>
      </c>
      <c r="AB32" s="1811">
        <f t="shared" si="4"/>
        <v>1</v>
      </c>
      <c r="AC32" s="1811">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8"/>
      <c r="Q33" s="1810" t="str">
        <f t="shared" si="11"/>
        <v>是否直接入户</v>
      </c>
      <c r="R33" s="774" t="s">
        <v>17</v>
      </c>
      <c r="S33" s="775">
        <f t="shared" si="12"/>
        <v>100</v>
      </c>
      <c r="T33" s="774" t="s">
        <v>17</v>
      </c>
      <c r="U33" s="775">
        <f t="shared" si="13"/>
        <v>100</v>
      </c>
      <c r="V33" s="774" t="s">
        <v>17</v>
      </c>
      <c r="W33" s="775">
        <f t="shared" si="14"/>
        <v>100</v>
      </c>
      <c r="X33" s="1813"/>
      <c r="Y33" s="317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8"/>
      <c r="Q36" s="1810">
        <f t="shared" si="11"/>
        <v>111</v>
      </c>
      <c r="R36" s="774" t="s">
        <v>17</v>
      </c>
      <c r="S36" s="775">
        <f t="shared" si="12"/>
        <v>100</v>
      </c>
      <c r="T36" s="774" t="s">
        <v>17</v>
      </c>
      <c r="U36" s="775">
        <f t="shared" si="13"/>
        <v>100</v>
      </c>
      <c r="V36" s="774" t="s">
        <v>17</v>
      </c>
      <c r="W36" s="775">
        <f t="shared" si="14"/>
        <v>100</v>
      </c>
      <c r="X36" s="1813"/>
      <c r="Y36" s="3178"/>
      <c r="Z36" s="1814">
        <f t="shared" si="15"/>
        <v>111</v>
      </c>
      <c r="AA36" s="1811">
        <f t="shared" si="3"/>
        <v>1</v>
      </c>
      <c r="AB36" s="1811">
        <f t="shared" si="4"/>
        <v>1</v>
      </c>
      <c r="AC36" s="1811">
        <f t="shared" si="5"/>
        <v>1</v>
      </c>
    </row>
    <row r="37" spans="1:29" ht="15">
      <c r="A37" s="479" t="s">
        <v>2720</v>
      </c>
      <c r="B37" s="2697" t="s">
        <v>2721</v>
      </c>
      <c r="C37" s="1407" t="s">
        <v>1</v>
      </c>
      <c r="D37" s="1408"/>
      <c r="E37" s="1409"/>
      <c r="F37" s="1410"/>
      <c r="G37" s="1411"/>
      <c r="H37" s="1412"/>
      <c r="I37" s="1409"/>
      <c r="J37" s="1412"/>
      <c r="K37" s="619"/>
      <c r="L37" s="1143"/>
      <c r="M37" s="1144"/>
      <c r="N37" s="1131"/>
      <c r="O37" s="1144"/>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2722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2723</v>
      </c>
      <c r="B39" s="493"/>
      <c r="C39" s="1417" t="e">
        <f>R39</f>
        <v>#DIV/0!</v>
      </c>
      <c r="D39" s="1417"/>
      <c r="E39" s="1417"/>
      <c r="F39" s="1417"/>
      <c r="G39" s="1417"/>
      <c r="H39" s="1417"/>
      <c r="I39" s="1417"/>
      <c r="J39" s="1417"/>
      <c r="K39" s="621"/>
      <c r="L39" s="1143"/>
      <c r="M39" s="1144"/>
      <c r="N39" s="1144"/>
      <c r="O39" s="1144"/>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2728</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2550</v>
      </c>
      <c r="B51" s="510"/>
      <c r="C51" s="522" t="s">
        <v>2652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2588</v>
      </c>
      <c r="B53" s="528" t="s">
        <v>2554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2603</v>
      </c>
      <c r="C65" s="578" t="s">
        <v>2597</v>
      </c>
      <c r="D65" s="578" t="s">
        <v>2598</v>
      </c>
      <c r="E65" s="578" t="s">
        <v>2599</v>
      </c>
      <c r="F65" s="578" t="s">
        <v>2600</v>
      </c>
      <c r="G65" s="578" t="s">
        <v>2601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2689</v>
      </c>
      <c r="C67" s="660" t="s">
        <v>2675</v>
      </c>
      <c r="D67" s="660" t="s">
        <v>2676</v>
      </c>
      <c r="E67" s="660" t="s">
        <v>2677</v>
      </c>
      <c r="F67" s="660" t="s">
        <v>2678</v>
      </c>
      <c r="G67" s="660" t="s">
        <v>2679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2609</v>
      </c>
      <c r="C69" s="578" t="s">
        <v>2597</v>
      </c>
      <c r="D69" s="578" t="s">
        <v>2598</v>
      </c>
      <c r="E69" s="578" t="s">
        <v>2599</v>
      </c>
      <c r="F69" s="578" t="s">
        <v>2600</v>
      </c>
      <c r="G69" s="578" t="s">
        <v>2601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2563</v>
      </c>
      <c r="B79" s="528" t="s">
        <v>2730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0" priority="14" stopIfTrue="1" operator="containsText" text="超过">
      <formula>NOT(ISERROR(SEARCH("超过",F42)))</formula>
    </cfRule>
  </conditionalFormatting>
  <conditionalFormatting sqref="J44">
    <cfRule type="containsText" dxfId="179" priority="13" stopIfTrue="1" operator="containsText" text="超过">
      <formula>NOT(ISERROR(SEARCH("超过",J44)))</formula>
    </cfRule>
  </conditionalFormatting>
  <conditionalFormatting sqref="H44">
    <cfRule type="containsText" dxfId="178" priority="12" stopIfTrue="1" operator="containsText" text="超过">
      <formula>NOT(ISERROR(SEARCH("超过",H44)))</formula>
    </cfRule>
  </conditionalFormatting>
  <conditionalFormatting sqref="F44">
    <cfRule type="containsText" dxfId="177" priority="11" stopIfTrue="1" operator="containsText" text="超过">
      <formula>NOT(ISERROR(SEARCH("超过",F44)))</formula>
    </cfRule>
  </conditionalFormatting>
  <conditionalFormatting sqref="F43 H43 J43">
    <cfRule type="containsText" dxfId="176" priority="10" stopIfTrue="1" operator="containsText" text="超过">
      <formula>NOT(ISERROR(SEARCH("超过",F43)))</formula>
    </cfRule>
  </conditionalFormatting>
  <conditionalFormatting sqref="E42">
    <cfRule type="expression" dxfId="175" priority="9" stopIfTrue="1">
      <formula>$F$42="超过30%"</formula>
    </cfRule>
  </conditionalFormatting>
  <conditionalFormatting sqref="G44">
    <cfRule type="expression" dxfId="174" priority="8" stopIfTrue="1">
      <formula>$H$54+$H$44="超过30%"</formula>
    </cfRule>
  </conditionalFormatting>
  <conditionalFormatting sqref="E43">
    <cfRule type="expression" dxfId="173" priority="7" stopIfTrue="1">
      <formula>$F$43="超过20%"</formula>
    </cfRule>
  </conditionalFormatting>
  <conditionalFormatting sqref="E44">
    <cfRule type="expression" dxfId="172" priority="6" stopIfTrue="1">
      <formula>$F$44="超过30%"</formula>
    </cfRule>
  </conditionalFormatting>
  <conditionalFormatting sqref="G42">
    <cfRule type="expression" dxfId="171" priority="5" stopIfTrue="1">
      <formula>$H$52+$H$42="超过30%"</formula>
    </cfRule>
  </conditionalFormatting>
  <conditionalFormatting sqref="G43">
    <cfRule type="expression" dxfId="170" priority="4" stopIfTrue="1">
      <formula>$H$43="超过20%"</formula>
    </cfRule>
  </conditionalFormatting>
  <conditionalFormatting sqref="I42">
    <cfRule type="expression" dxfId="169" priority="3" stopIfTrue="1">
      <formula>$J$52+$J$42="超过30%"</formula>
    </cfRule>
  </conditionalFormatting>
  <conditionalFormatting sqref="I43">
    <cfRule type="expression" dxfId="168" priority="2" stopIfTrue="1">
      <formula>$J$53+$J$43="超过20%"</formula>
    </cfRule>
  </conditionalFormatting>
  <conditionalFormatting sqref="I44">
    <cfRule type="expression" dxfId="16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2707</v>
      </c>
      <c r="B1" s="1619"/>
      <c r="C1" s="1620" t="s">
        <v>2530</v>
      </c>
      <c r="D1" s="1621"/>
      <c r="E1" s="1630"/>
      <c r="F1" s="2588"/>
      <c r="G1" s="1631" t="s">
        <v>2643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2330</v>
      </c>
      <c r="B2" s="1418" t="e">
        <f ca="1">IF(C2="——",ROUND(C37*D3/10000,0),ROUND(C37*D3/10000,0)-D2)</f>
        <v>#DIV/0!</v>
      </c>
      <c r="C2" s="2590"/>
      <c r="D2" s="1124" t="e">
        <f ca="1">SUMIF(INDIRECT("'"&amp;F2&amp;"'"&amp;"!A:A"),"承租人权益价值",INDIRECT("'"&amp;F2&amp;"'"&amp;"!c:c"))</f>
        <v>#REF!</v>
      </c>
      <c r="E2" s="2591" t="s">
        <v>2331</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184" t="s">
        <v>2648</v>
      </c>
      <c r="AC4" s="3183" t="s">
        <v>2649</v>
      </c>
    </row>
    <row r="5" spans="1:29" ht="15">
      <c r="A5" s="404"/>
      <c r="B5" s="405"/>
      <c r="C5" s="3205" t="s">
        <v>2542</v>
      </c>
      <c r="D5" s="3206"/>
      <c r="E5" s="3212" t="s">
        <v>2543</v>
      </c>
      <c r="F5" s="3213"/>
      <c r="G5" s="3205" t="s">
        <v>2544</v>
      </c>
      <c r="H5" s="3206"/>
      <c r="I5" s="3205" t="s">
        <v>2545</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03" t="s">
        <v>2546</v>
      </c>
      <c r="D6" s="3204"/>
      <c r="E6" s="3210" t="s">
        <v>2546</v>
      </c>
      <c r="F6" s="3211"/>
      <c r="G6" s="3203" t="s">
        <v>2546</v>
      </c>
      <c r="H6" s="3204"/>
      <c r="I6" s="3203" t="s">
        <v>2546</v>
      </c>
      <c r="J6" s="3204"/>
      <c r="K6" s="610" t="s">
        <v>2547</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2548</v>
      </c>
      <c r="B7" s="409"/>
      <c r="C7" s="410">
        <f>'数据-取费表'!B2</f>
        <v>43573</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7" t="s">
        <v>2549</v>
      </c>
      <c r="Q7" s="3209"/>
      <c r="R7" s="770" t="s">
        <v>17</v>
      </c>
      <c r="S7" s="771">
        <f t="shared" ref="S7:S14" si="0">F7</f>
        <v>0</v>
      </c>
      <c r="T7" s="770" t="s">
        <v>17</v>
      </c>
      <c r="U7" s="771">
        <f t="shared" ref="U7:U14" si="1">H7</f>
        <v>0</v>
      </c>
      <c r="V7" s="770" t="s">
        <v>17</v>
      </c>
      <c r="W7" s="771">
        <f t="shared" ref="W7:W14" si="2">J7</f>
        <v>0</v>
      </c>
      <c r="X7" s="772"/>
      <c r="Y7" s="3207" t="s">
        <v>2549</v>
      </c>
      <c r="Z7" s="3208"/>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7" t="s">
        <v>2552</v>
      </c>
      <c r="Q8" s="3208"/>
      <c r="R8" s="770" t="s">
        <v>17</v>
      </c>
      <c r="S8" s="771">
        <f t="shared" si="0"/>
        <v>0</v>
      </c>
      <c r="T8" s="770" t="s">
        <v>17</v>
      </c>
      <c r="U8" s="771">
        <f t="shared" si="1"/>
        <v>0</v>
      </c>
      <c r="V8" s="770" t="s">
        <v>17</v>
      </c>
      <c r="W8" s="771">
        <f t="shared" si="2"/>
        <v>0</v>
      </c>
      <c r="X8" s="772"/>
      <c r="Y8" s="3207" t="s">
        <v>2552</v>
      </c>
      <c r="Z8" s="3208"/>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1" t="s">
        <v>2555</v>
      </c>
      <c r="Q9" s="1795" t="str">
        <f t="shared" ref="Q9:Q14" si="6">B9</f>
        <v>用途</v>
      </c>
      <c r="R9" s="770" t="s">
        <v>17</v>
      </c>
      <c r="S9" s="771">
        <f t="shared" si="0"/>
        <v>100</v>
      </c>
      <c r="T9" s="770" t="s">
        <v>17</v>
      </c>
      <c r="U9" s="771">
        <f t="shared" si="1"/>
        <v>100</v>
      </c>
      <c r="V9" s="770" t="s">
        <v>17</v>
      </c>
      <c r="W9" s="771">
        <f t="shared" si="2"/>
        <v>100</v>
      </c>
      <c r="X9" s="772"/>
      <c r="Y9" s="2996"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1"/>
      <c r="Q10" s="1795" t="str">
        <f t="shared" si="6"/>
        <v>土地使用年限（年）</v>
      </c>
      <c r="R10" s="770" t="s">
        <v>17</v>
      </c>
      <c r="S10" s="771">
        <f t="shared" si="0"/>
        <v>100</v>
      </c>
      <c r="T10" s="770" t="s">
        <v>17</v>
      </c>
      <c r="U10" s="771">
        <f t="shared" si="1"/>
        <v>100</v>
      </c>
      <c r="V10" s="770" t="s">
        <v>17</v>
      </c>
      <c r="W10" s="771">
        <f t="shared" si="2"/>
        <v>100</v>
      </c>
      <c r="X10" s="772"/>
      <c r="Y10" s="2996"/>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1"/>
      <c r="Q11" s="1795">
        <f t="shared" si="6"/>
        <v>111</v>
      </c>
      <c r="R11" s="770" t="s">
        <v>17</v>
      </c>
      <c r="S11" s="771">
        <f t="shared" si="0"/>
        <v>100</v>
      </c>
      <c r="T11" s="770" t="s">
        <v>17</v>
      </c>
      <c r="U11" s="771">
        <f t="shared" si="1"/>
        <v>100</v>
      </c>
      <c r="V11" s="770" t="s">
        <v>17</v>
      </c>
      <c r="W11" s="771">
        <f t="shared" si="2"/>
        <v>100</v>
      </c>
      <c r="X11" s="772"/>
      <c r="Y11" s="2996"/>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85.5">
      <c r="A14" s="440" t="s">
        <v>2559</v>
      </c>
      <c r="B14" s="69" t="s">
        <v>2709</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3" t="s">
        <v>2560</v>
      </c>
      <c r="Q14" s="1810" t="str">
        <f t="shared" si="6"/>
        <v>交通便捷度</v>
      </c>
      <c r="R14" s="774" t="s">
        <v>17</v>
      </c>
      <c r="S14" s="775">
        <f t="shared" si="0"/>
        <v>100</v>
      </c>
      <c r="T14" s="774" t="s">
        <v>17</v>
      </c>
      <c r="U14" s="775">
        <f t="shared" si="1"/>
        <v>100</v>
      </c>
      <c r="V14" s="774" t="s">
        <v>17</v>
      </c>
      <c r="W14" s="775">
        <f t="shared" si="2"/>
        <v>100</v>
      </c>
      <c r="X14" s="1813"/>
      <c r="Y14" s="3173" t="s">
        <v>2560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4"/>
      <c r="Q15" s="1810"/>
      <c r="R15" s="774"/>
      <c r="S15" s="775"/>
      <c r="T15" s="774"/>
      <c r="U15" s="775"/>
      <c r="V15" s="774"/>
      <c r="W15" s="775"/>
      <c r="X15" s="1813"/>
      <c r="Y15" s="3174"/>
      <c r="Z15" s="1814"/>
      <c r="AA15" s="1811">
        <v>1</v>
      </c>
      <c r="AB15" s="1811">
        <v>1</v>
      </c>
      <c r="AC15" s="1811">
        <v>1</v>
      </c>
    </row>
    <row r="16" spans="1:29" ht="42.75">
      <c r="A16" s="428"/>
      <c r="B16" s="451" t="s">
        <v>2688</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4"/>
      <c r="Q16" s="1810" t="str">
        <f>B16</f>
        <v>公共配套设施</v>
      </c>
      <c r="R16" s="774" t="s">
        <v>17</v>
      </c>
      <c r="S16" s="775">
        <f>F16</f>
        <v>100</v>
      </c>
      <c r="T16" s="774" t="s">
        <v>17</v>
      </c>
      <c r="U16" s="775">
        <f>H16</f>
        <v>100</v>
      </c>
      <c r="V16" s="774" t="s">
        <v>17</v>
      </c>
      <c r="W16" s="775">
        <f>J16</f>
        <v>100</v>
      </c>
      <c r="X16" s="1813"/>
      <c r="Y16" s="3174"/>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174"/>
      <c r="Q17" s="1810"/>
      <c r="R17" s="774"/>
      <c r="S17" s="775"/>
      <c r="T17" s="774"/>
      <c r="U17" s="775"/>
      <c r="V17" s="774"/>
      <c r="W17" s="775"/>
      <c r="X17" s="1813"/>
      <c r="Y17" s="3174"/>
      <c r="Z17" s="1814"/>
      <c r="AA17" s="1811">
        <v>1</v>
      </c>
      <c r="AB17" s="1811">
        <v>1</v>
      </c>
      <c r="AC17" s="1811">
        <v>1</v>
      </c>
    </row>
    <row r="18" spans="1:29" ht="28.5">
      <c r="A18" s="428"/>
      <c r="B18" s="1384" t="s">
        <v>2689</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4"/>
      <c r="Q18" s="1810" t="str">
        <f>B18</f>
        <v>基础设施水平</v>
      </c>
      <c r="R18" s="774" t="s">
        <v>17</v>
      </c>
      <c r="S18" s="775">
        <f>F18</f>
        <v>100</v>
      </c>
      <c r="T18" s="774" t="s">
        <v>17</v>
      </c>
      <c r="U18" s="775">
        <f>H18</f>
        <v>100</v>
      </c>
      <c r="V18" s="774" t="s">
        <v>17</v>
      </c>
      <c r="W18" s="775">
        <f>J18</f>
        <v>100</v>
      </c>
      <c r="X18" s="1813"/>
      <c r="Y18" s="3174"/>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174"/>
      <c r="Q19" s="1810"/>
      <c r="R19" s="774"/>
      <c r="S19" s="775"/>
      <c r="T19" s="774"/>
      <c r="U19" s="775"/>
      <c r="V19" s="774"/>
      <c r="W19" s="775"/>
      <c r="X19" s="1813"/>
      <c r="Y19" s="3174"/>
      <c r="Z19" s="1814"/>
      <c r="AA19" s="1811">
        <v>1</v>
      </c>
      <c r="AB19" s="1811">
        <v>1</v>
      </c>
      <c r="AC19" s="1811">
        <v>1</v>
      </c>
    </row>
    <row r="20" spans="1:29" ht="57">
      <c r="A20" s="428"/>
      <c r="B20" s="451" t="s">
        <v>2710</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4"/>
      <c r="Q20" s="1810" t="str">
        <f>B20</f>
        <v>自然及人文环境</v>
      </c>
      <c r="R20" s="774" t="s">
        <v>17</v>
      </c>
      <c r="S20" s="775">
        <f>F20</f>
        <v>100</v>
      </c>
      <c r="T20" s="774" t="s">
        <v>17</v>
      </c>
      <c r="U20" s="775">
        <f>H20</f>
        <v>100</v>
      </c>
      <c r="V20" s="774" t="s">
        <v>17</v>
      </c>
      <c r="W20" s="775">
        <f>J20</f>
        <v>100</v>
      </c>
      <c r="X20" s="1813"/>
      <c r="Y20" s="317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4"/>
      <c r="Q21" s="1810"/>
      <c r="R21" s="774"/>
      <c r="S21" s="775"/>
      <c r="T21" s="774"/>
      <c r="U21" s="775"/>
      <c r="V21" s="774"/>
      <c r="W21" s="775"/>
      <c r="X21" s="1813"/>
      <c r="Y21" s="3174"/>
      <c r="Z21" s="1814"/>
      <c r="AA21" s="1811">
        <v>1</v>
      </c>
      <c r="AB21" s="1811">
        <v>1</v>
      </c>
      <c r="AC21" s="1811">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4"/>
      <c r="Q22" s="1810" t="str">
        <f>B22</f>
        <v>楼层</v>
      </c>
      <c r="R22" s="774" t="s">
        <v>17</v>
      </c>
      <c r="S22" s="775">
        <f>F22</f>
        <v>100</v>
      </c>
      <c r="T22" s="774" t="s">
        <v>17</v>
      </c>
      <c r="U22" s="775">
        <f>H22</f>
        <v>100</v>
      </c>
      <c r="V22" s="774" t="s">
        <v>17</v>
      </c>
      <c r="W22" s="775">
        <f>J22</f>
        <v>100</v>
      </c>
      <c r="X22" s="1813"/>
      <c r="Y22" s="3174"/>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4"/>
      <c r="Q23" s="1810">
        <f>B23</f>
        <v>111</v>
      </c>
      <c r="R23" s="774" t="s">
        <v>17</v>
      </c>
      <c r="S23" s="775">
        <f>F23</f>
        <v>100</v>
      </c>
      <c r="T23" s="774" t="s">
        <v>17</v>
      </c>
      <c r="U23" s="775">
        <f>H23</f>
        <v>100</v>
      </c>
      <c r="V23" s="774" t="s">
        <v>17</v>
      </c>
      <c r="W23" s="775">
        <f>J23</f>
        <v>100</v>
      </c>
      <c r="X23" s="1813"/>
      <c r="Y23" s="3174"/>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4"/>
      <c r="Q24" s="1810">
        <f t="shared" ref="Q24:Q34" si="11">B24</f>
        <v>111</v>
      </c>
      <c r="R24" s="774" t="s">
        <v>17</v>
      </c>
      <c r="S24" s="775">
        <f>F24</f>
        <v>100</v>
      </c>
      <c r="T24" s="774" t="s">
        <v>17</v>
      </c>
      <c r="U24" s="775">
        <f>H24</f>
        <v>100</v>
      </c>
      <c r="V24" s="774" t="s">
        <v>17</v>
      </c>
      <c r="W24" s="775">
        <f>J24</f>
        <v>100</v>
      </c>
      <c r="X24" s="1813"/>
      <c r="Y24" s="3174"/>
      <c r="Z24" s="1814">
        <f>Q24</f>
        <v>111</v>
      </c>
      <c r="AA24" s="1811">
        <f t="shared" si="3"/>
        <v>1</v>
      </c>
      <c r="AB24" s="1811">
        <f t="shared" si="4"/>
        <v>1</v>
      </c>
      <c r="AC24" s="1811">
        <f t="shared" si="5"/>
        <v>1</v>
      </c>
    </row>
    <row r="25" spans="1:29" s="117" customFormat="1" ht="15.75" thickBot="1">
      <c r="A25" s="431"/>
      <c r="B25" s="2603">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74"/>
      <c r="Q25" s="1795">
        <f t="shared" si="11"/>
        <v>111</v>
      </c>
      <c r="R25" s="770" t="s">
        <v>17</v>
      </c>
      <c r="S25" s="771">
        <f>F25</f>
        <v>100</v>
      </c>
      <c r="T25" s="770" t="s">
        <v>17</v>
      </c>
      <c r="U25" s="771">
        <f>H25</f>
        <v>100</v>
      </c>
      <c r="V25" s="770" t="s">
        <v>17</v>
      </c>
      <c r="W25" s="771">
        <f>J25</f>
        <v>100</v>
      </c>
      <c r="X25" s="772"/>
      <c r="Y25" s="3174"/>
      <c r="Z25" s="55">
        <f>Q25</f>
        <v>111</v>
      </c>
      <c r="AA25" s="1811">
        <f>D25/F25</f>
        <v>1</v>
      </c>
      <c r="AB25" s="1811">
        <f>D25/H25</f>
        <v>1</v>
      </c>
      <c r="AC25" s="1811">
        <f>D25/J25</f>
        <v>1</v>
      </c>
    </row>
    <row r="26" spans="1:29" ht="28.5">
      <c r="A26" s="466" t="s">
        <v>2563</v>
      </c>
      <c r="B26" s="71" t="s">
        <v>2714</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29" t="s">
        <v>2565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8" t="s">
        <v>2565</v>
      </c>
      <c r="Z26" s="1814" t="str">
        <f t="shared" ref="Z26:Z34" si="15">Q26</f>
        <v>公共部分装修</v>
      </c>
      <c r="AA26" s="1811">
        <f t="shared" si="3"/>
        <v>1</v>
      </c>
      <c r="AB26" s="1811">
        <f t="shared" si="4"/>
        <v>1</v>
      </c>
      <c r="AC26" s="1811">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1" t="e">
        <f t="shared" si="3"/>
        <v>#N/A</v>
      </c>
      <c r="AB27" s="1811" t="e">
        <f t="shared" si="4"/>
        <v>#N/A</v>
      </c>
      <c r="AC27" s="1811"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8"/>
      <c r="Q28" s="1810" t="str">
        <f t="shared" si="11"/>
        <v>物业等级</v>
      </c>
      <c r="R28" s="774" t="s">
        <v>17</v>
      </c>
      <c r="S28" s="775">
        <f t="shared" si="12"/>
        <v>100</v>
      </c>
      <c r="T28" s="774" t="s">
        <v>17</v>
      </c>
      <c r="U28" s="775">
        <f t="shared" si="13"/>
        <v>100</v>
      </c>
      <c r="V28" s="774" t="s">
        <v>17</v>
      </c>
      <c r="W28" s="775">
        <f t="shared" si="14"/>
        <v>100</v>
      </c>
      <c r="X28" s="1813"/>
      <c r="Y28" s="3178"/>
      <c r="Z28" s="1814" t="str">
        <f t="shared" si="15"/>
        <v>物业等级</v>
      </c>
      <c r="AA28" s="1811">
        <f t="shared" si="3"/>
        <v>1</v>
      </c>
      <c r="AB28" s="1811">
        <f t="shared" si="4"/>
        <v>1</v>
      </c>
      <c r="AC28" s="1811">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8"/>
      <c r="Q29" s="1810" t="str">
        <f t="shared" si="11"/>
        <v>有无电梯</v>
      </c>
      <c r="R29" s="774" t="s">
        <v>17</v>
      </c>
      <c r="S29" s="775">
        <f t="shared" si="12"/>
        <v>100</v>
      </c>
      <c r="T29" s="774" t="s">
        <v>17</v>
      </c>
      <c r="U29" s="775">
        <f t="shared" si="13"/>
        <v>100</v>
      </c>
      <c r="V29" s="774" t="s">
        <v>17</v>
      </c>
      <c r="W29" s="775">
        <f t="shared" si="14"/>
        <v>100</v>
      </c>
      <c r="X29" s="1813"/>
      <c r="Y29" s="3178"/>
      <c r="Z29" s="1814" t="str">
        <f t="shared" si="15"/>
        <v>有无电梯</v>
      </c>
      <c r="AA29" s="1811">
        <f t="shared" si="3"/>
        <v>1</v>
      </c>
      <c r="AB29" s="1811">
        <f t="shared" si="4"/>
        <v>1</v>
      </c>
      <c r="AC29" s="1811">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8"/>
      <c r="Q30" s="1810" t="str">
        <f t="shared" si="11"/>
        <v>建筑面积</v>
      </c>
      <c r="R30" s="774" t="s">
        <v>17</v>
      </c>
      <c r="S30" s="775" t="e">
        <f t="shared" si="12"/>
        <v>#N/A</v>
      </c>
      <c r="T30" s="774" t="s">
        <v>17</v>
      </c>
      <c r="U30" s="775" t="e">
        <f t="shared" si="13"/>
        <v>#N/A</v>
      </c>
      <c r="V30" s="774" t="s">
        <v>17</v>
      </c>
      <c r="W30" s="775" t="e">
        <f t="shared" si="14"/>
        <v>#N/A</v>
      </c>
      <c r="X30" s="1813"/>
      <c r="Y30" s="3178"/>
      <c r="Z30" s="1814" t="str">
        <f t="shared" si="15"/>
        <v>建筑面积</v>
      </c>
      <c r="AA30" s="1811" t="e">
        <f t="shared" si="3"/>
        <v>#N/A</v>
      </c>
      <c r="AB30" s="1811" t="e">
        <f t="shared" si="4"/>
        <v>#N/A</v>
      </c>
      <c r="AC30" s="1811"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8"/>
      <c r="Q31" s="1795"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8" t="s">
        <v>2565</v>
      </c>
      <c r="Q32" s="1810">
        <f t="shared" si="11"/>
        <v>111</v>
      </c>
      <c r="R32" s="774" t="s">
        <v>17</v>
      </c>
      <c r="S32" s="775">
        <f t="shared" si="12"/>
        <v>100</v>
      </c>
      <c r="T32" s="774" t="s">
        <v>17</v>
      </c>
      <c r="U32" s="775">
        <f t="shared" si="13"/>
        <v>100</v>
      </c>
      <c r="V32" s="774" t="s">
        <v>17</v>
      </c>
      <c r="W32" s="775">
        <f t="shared" si="14"/>
        <v>100</v>
      </c>
      <c r="X32" s="1813"/>
      <c r="Y32" s="3178" t="s">
        <v>2565</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8"/>
      <c r="Q33" s="1810">
        <f t="shared" si="11"/>
        <v>111</v>
      </c>
      <c r="R33" s="774" t="s">
        <v>17</v>
      </c>
      <c r="S33" s="775">
        <f t="shared" si="12"/>
        <v>100</v>
      </c>
      <c r="T33" s="774" t="s">
        <v>17</v>
      </c>
      <c r="U33" s="775">
        <f t="shared" si="13"/>
        <v>100</v>
      </c>
      <c r="V33" s="774" t="s">
        <v>17</v>
      </c>
      <c r="W33" s="775">
        <f t="shared" si="14"/>
        <v>100</v>
      </c>
      <c r="X33" s="1813"/>
      <c r="Y33" s="3178"/>
      <c r="Z33" s="1814">
        <f t="shared" si="15"/>
        <v>111</v>
      </c>
      <c r="AA33" s="1811">
        <f t="shared" si="3"/>
        <v>1</v>
      </c>
      <c r="AB33" s="1811">
        <f t="shared" si="4"/>
        <v>1</v>
      </c>
      <c r="AC33" s="1811">
        <f t="shared" si="5"/>
        <v>1</v>
      </c>
    </row>
    <row r="34" spans="1:29" ht="15.75" thickBot="1">
      <c r="A34" s="478"/>
      <c r="B34" s="2605">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78"/>
      <c r="Q34" s="1810">
        <f t="shared" si="11"/>
        <v>111</v>
      </c>
      <c r="R34" s="774" t="s">
        <v>17</v>
      </c>
      <c r="S34" s="775">
        <f t="shared" si="12"/>
        <v>100</v>
      </c>
      <c r="T34" s="774" t="s">
        <v>17</v>
      </c>
      <c r="U34" s="775">
        <f t="shared" si="13"/>
        <v>100</v>
      </c>
      <c r="V34" s="774" t="s">
        <v>17</v>
      </c>
      <c r="W34" s="775">
        <f t="shared" si="14"/>
        <v>100</v>
      </c>
      <c r="X34" s="1813"/>
      <c r="Y34" s="3178"/>
      <c r="Z34" s="1814">
        <f t="shared" si="15"/>
        <v>111</v>
      </c>
      <c r="AA34" s="1811">
        <f t="shared" si="3"/>
        <v>1</v>
      </c>
      <c r="AB34" s="1811">
        <f t="shared" si="4"/>
        <v>1</v>
      </c>
      <c r="AC34" s="1811">
        <f t="shared" si="5"/>
        <v>1</v>
      </c>
    </row>
    <row r="35" spans="1:29" ht="15">
      <c r="A35" s="479" t="s">
        <v>2577</v>
      </c>
      <c r="B35" s="480"/>
      <c r="C35" s="1407" t="s">
        <v>1</v>
      </c>
      <c r="D35" s="1408"/>
      <c r="E35" s="1409"/>
      <c r="F35" s="1410"/>
      <c r="G35" s="1411"/>
      <c r="H35" s="1412"/>
      <c r="I35" s="1409"/>
      <c r="J35" s="1412"/>
      <c r="K35" s="783"/>
      <c r="L35" s="1143"/>
      <c r="M35" s="1144"/>
      <c r="N35" s="1131"/>
      <c r="O35" s="1144"/>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2669</v>
      </c>
      <c r="B36" s="487"/>
      <c r="C36" s="1413" t="e">
        <f>R37</f>
        <v>#DIV/0!</v>
      </c>
      <c r="D36" s="1414"/>
      <c r="E36" s="1415" t="e">
        <f>R36</f>
        <v>#DIV/0!</v>
      </c>
      <c r="F36" s="1415"/>
      <c r="G36" s="1413" t="e">
        <f>T36</f>
        <v>#DIV/0!</v>
      </c>
      <c r="H36" s="1414"/>
      <c r="I36" s="1415" t="e">
        <f>V36</f>
        <v>#DIV/0!</v>
      </c>
      <c r="J36" s="1414"/>
      <c r="K36" s="784"/>
      <c r="L36" s="1143"/>
      <c r="M36" s="1144"/>
      <c r="N36" s="1131"/>
      <c r="O36" s="1144"/>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2670</v>
      </c>
      <c r="B37" s="493"/>
      <c r="C37" s="1417" t="e">
        <f>R37</f>
        <v>#DIV/0!</v>
      </c>
      <c r="D37" s="1417"/>
      <c r="E37" s="1417"/>
      <c r="F37" s="1417"/>
      <c r="G37" s="1417"/>
      <c r="H37" s="1417"/>
      <c r="I37" s="1417"/>
      <c r="J37" s="1417"/>
      <c r="K37" s="785"/>
      <c r="L37" s="1143"/>
      <c r="M37" s="1144"/>
      <c r="N37" s="1144"/>
      <c r="O37" s="1144"/>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2588</v>
      </c>
      <c r="B51" s="528" t="s">
        <v>2554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2563</v>
      </c>
      <c r="B77" s="528" t="s">
        <v>2616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66" priority="14" stopIfTrue="1" operator="containsText" text="超过">
      <formula>NOT(ISERROR(SEARCH("超过",F40)))</formula>
    </cfRule>
  </conditionalFormatting>
  <conditionalFormatting sqref="J42">
    <cfRule type="containsText" dxfId="165" priority="13" stopIfTrue="1" operator="containsText" text="超过">
      <formula>NOT(ISERROR(SEARCH("超过",J42)))</formula>
    </cfRule>
  </conditionalFormatting>
  <conditionalFormatting sqref="H42">
    <cfRule type="containsText" dxfId="164" priority="12" stopIfTrue="1" operator="containsText" text="超过">
      <formula>NOT(ISERROR(SEARCH("超过",H42)))</formula>
    </cfRule>
  </conditionalFormatting>
  <conditionalFormatting sqref="F42">
    <cfRule type="containsText" dxfId="163" priority="11" stopIfTrue="1" operator="containsText" text="超过">
      <formula>NOT(ISERROR(SEARCH("超过",F42)))</formula>
    </cfRule>
  </conditionalFormatting>
  <conditionalFormatting sqref="F41 H41 J41">
    <cfRule type="containsText" dxfId="162" priority="10" stopIfTrue="1" operator="containsText" text="超过">
      <formula>NOT(ISERROR(SEARCH("超过",F41)))</formula>
    </cfRule>
  </conditionalFormatting>
  <conditionalFormatting sqref="E40">
    <cfRule type="expression" dxfId="161" priority="9" stopIfTrue="1">
      <formula>$F$40="超过30%"</formula>
    </cfRule>
  </conditionalFormatting>
  <conditionalFormatting sqref="G42">
    <cfRule type="expression" dxfId="160" priority="8" stopIfTrue="1">
      <formula>$H$54+$H$42="超过30%"</formula>
    </cfRule>
  </conditionalFormatting>
  <conditionalFormatting sqref="E41">
    <cfRule type="expression" dxfId="159" priority="7" stopIfTrue="1">
      <formula>$F$41="超过20%"</formula>
    </cfRule>
  </conditionalFormatting>
  <conditionalFormatting sqref="E42">
    <cfRule type="expression" dxfId="158" priority="6" stopIfTrue="1">
      <formula>$F$42="超过30%"</formula>
    </cfRule>
  </conditionalFormatting>
  <conditionalFormatting sqref="G40">
    <cfRule type="expression" dxfId="157" priority="5" stopIfTrue="1">
      <formula>$H$52+$H$40="超过30%"</formula>
    </cfRule>
  </conditionalFormatting>
  <conditionalFormatting sqref="G41">
    <cfRule type="expression" dxfId="156" priority="4" stopIfTrue="1">
      <formula>$H$53+$H$41="超过20%"</formula>
    </cfRule>
  </conditionalFormatting>
  <conditionalFormatting sqref="I40">
    <cfRule type="expression" dxfId="155" priority="3" stopIfTrue="1">
      <formula>$J$40="超过30%"</formula>
    </cfRule>
  </conditionalFormatting>
  <conditionalFormatting sqref="I41">
    <cfRule type="expression" dxfId="154" priority="2" stopIfTrue="1">
      <formula>$J$41="超过20%"</formula>
    </cfRule>
  </conditionalFormatting>
  <conditionalFormatting sqref="I42">
    <cfRule type="expression" dxfId="15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2645</v>
      </c>
      <c r="B4" s="402"/>
      <c r="C4" s="3186" t="s">
        <v>2646</v>
      </c>
      <c r="D4" s="3187"/>
      <c r="E4" s="3188" t="s">
        <v>2647</v>
      </c>
      <c r="F4" s="3189"/>
      <c r="G4" s="3186" t="s">
        <v>2648</v>
      </c>
      <c r="H4" s="3187"/>
      <c r="I4" s="3186" t="s">
        <v>2649</v>
      </c>
      <c r="J4" s="3187"/>
      <c r="K4" s="610" t="s">
        <v>2650</v>
      </c>
      <c r="L4" s="1130"/>
      <c r="M4" s="1131"/>
      <c r="N4" s="1131"/>
      <c r="O4" s="1131"/>
      <c r="P4" s="3190" t="s">
        <v>2651</v>
      </c>
      <c r="Q4" s="3191"/>
      <c r="R4" s="3196" t="s">
        <v>2647</v>
      </c>
      <c r="S4" s="3197"/>
      <c r="T4" s="3196" t="s">
        <v>2648</v>
      </c>
      <c r="U4" s="3197"/>
      <c r="V4" s="3202" t="s">
        <v>2649</v>
      </c>
      <c r="W4" s="3202"/>
      <c r="X4" s="1813"/>
      <c r="Y4" s="3196" t="s">
        <v>2651</v>
      </c>
      <c r="Z4" s="3197"/>
      <c r="AA4" s="3183" t="s">
        <v>2647</v>
      </c>
      <c r="AB4" s="3184" t="s">
        <v>2648</v>
      </c>
      <c r="AC4" s="3183" t="s">
        <v>2649</v>
      </c>
    </row>
    <row r="5" spans="1:29" ht="15">
      <c r="A5" s="404"/>
      <c r="B5" s="405"/>
      <c r="C5" s="3205" t="s">
        <v>2542</v>
      </c>
      <c r="D5" s="3206"/>
      <c r="E5" s="3212" t="s">
        <v>2543</v>
      </c>
      <c r="F5" s="3213"/>
      <c r="G5" s="3205" t="s">
        <v>2544</v>
      </c>
      <c r="H5" s="3206"/>
      <c r="I5" s="3205" t="s">
        <v>2545</v>
      </c>
      <c r="J5" s="3206"/>
      <c r="K5" s="610"/>
      <c r="L5" s="1130"/>
      <c r="M5" s="1131"/>
      <c r="N5" s="1131"/>
      <c r="O5" s="1131"/>
      <c r="P5" s="3192"/>
      <c r="Q5" s="3193"/>
      <c r="R5" s="3198"/>
      <c r="S5" s="3199"/>
      <c r="T5" s="3198"/>
      <c r="U5" s="3199"/>
      <c r="V5" s="3202"/>
      <c r="W5" s="3202"/>
      <c r="X5" s="1813"/>
      <c r="Y5" s="3198"/>
      <c r="Z5" s="3199"/>
      <c r="AA5" s="3184"/>
      <c r="AB5" s="3184"/>
      <c r="AC5" s="3184"/>
    </row>
    <row r="6" spans="1:29" ht="15.75" thickBot="1">
      <c r="A6" s="406"/>
      <c r="B6" s="407"/>
      <c r="C6" s="3234" t="s">
        <v>2796</v>
      </c>
      <c r="D6" s="3235"/>
      <c r="E6" s="3236" t="s">
        <v>2796</v>
      </c>
      <c r="F6" s="3237"/>
      <c r="G6" s="3234" t="s">
        <v>2796</v>
      </c>
      <c r="H6" s="3235"/>
      <c r="I6" s="3234" t="s">
        <v>2796</v>
      </c>
      <c r="J6" s="3235"/>
      <c r="K6" s="610" t="s">
        <v>2547</v>
      </c>
      <c r="L6" s="1130"/>
      <c r="M6" s="1131"/>
      <c r="N6" s="1131"/>
      <c r="O6" s="1131"/>
      <c r="P6" s="3194"/>
      <c r="Q6" s="3195"/>
      <c r="R6" s="3198"/>
      <c r="S6" s="3199"/>
      <c r="T6" s="3200"/>
      <c r="U6" s="3201"/>
      <c r="V6" s="3202"/>
      <c r="W6" s="3202"/>
      <c r="X6" s="1813"/>
      <c r="Y6" s="3200"/>
      <c r="Z6" s="3201"/>
      <c r="AA6" s="3185"/>
      <c r="AB6" s="3185"/>
      <c r="AC6" s="3185"/>
    </row>
    <row r="7" spans="1:29" s="117" customFormat="1" ht="15.75" thickBot="1">
      <c r="A7" s="408" t="s">
        <v>2548</v>
      </c>
      <c r="B7" s="409"/>
      <c r="C7" s="410">
        <f>'数据-取费表'!B2</f>
        <v>43573</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7" t="s">
        <v>2549</v>
      </c>
      <c r="Q7" s="3209"/>
      <c r="R7" s="770" t="s">
        <v>17</v>
      </c>
      <c r="S7" s="771">
        <f t="shared" ref="S7:S15" si="0">F7</f>
        <v>0</v>
      </c>
      <c r="T7" s="770" t="s">
        <v>17</v>
      </c>
      <c r="U7" s="771">
        <f t="shared" ref="U7:U15" si="1">H7</f>
        <v>0</v>
      </c>
      <c r="V7" s="770" t="s">
        <v>17</v>
      </c>
      <c r="W7" s="771">
        <f t="shared" ref="W7:W15" si="2">J7</f>
        <v>0</v>
      </c>
      <c r="X7" s="772"/>
      <c r="Y7" s="3207" t="s">
        <v>2549</v>
      </c>
      <c r="Z7" s="3208"/>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7" t="s">
        <v>2552</v>
      </c>
      <c r="Q8" s="3208"/>
      <c r="R8" s="770" t="s">
        <v>17</v>
      </c>
      <c r="S8" s="771">
        <f t="shared" si="0"/>
        <v>0</v>
      </c>
      <c r="T8" s="770" t="s">
        <v>17</v>
      </c>
      <c r="U8" s="771">
        <f t="shared" si="1"/>
        <v>0</v>
      </c>
      <c r="V8" s="770" t="s">
        <v>17</v>
      </c>
      <c r="W8" s="771">
        <f t="shared" si="2"/>
        <v>0</v>
      </c>
      <c r="X8" s="772"/>
      <c r="Y8" s="3207" t="s">
        <v>2552</v>
      </c>
      <c r="Z8" s="3208"/>
      <c r="AA8" s="773" t="e">
        <f t="shared" ref="AA8:AA40" si="3">D8/F8</f>
        <v>#DIV/0!</v>
      </c>
      <c r="AB8" s="773" t="e">
        <f t="shared" ref="AB8:AB40" si="4">D8/H8</f>
        <v>#DIV/0!</v>
      </c>
      <c r="AC8" s="773" t="e">
        <f t="shared" ref="AC8:AC40" si="5">D8/J8</f>
        <v>#DIV/0!</v>
      </c>
    </row>
    <row r="9" spans="1:29" s="117" customFormat="1">
      <c r="A9" s="415" t="s">
        <v>2553</v>
      </c>
      <c r="B9" s="71" t="s">
        <v>2554</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71" t="s">
        <v>2555</v>
      </c>
      <c r="Q9" s="1795" t="str">
        <f t="shared" ref="Q9:Q15" si="6">B9</f>
        <v>用途</v>
      </c>
      <c r="R9" s="770" t="s">
        <v>17</v>
      </c>
      <c r="S9" s="771">
        <f t="shared" si="0"/>
        <v>100</v>
      </c>
      <c r="T9" s="770" t="s">
        <v>17</v>
      </c>
      <c r="U9" s="771">
        <f t="shared" si="1"/>
        <v>100</v>
      </c>
      <c r="V9" s="770" t="s">
        <v>17</v>
      </c>
      <c r="W9" s="771">
        <f t="shared" si="2"/>
        <v>100</v>
      </c>
      <c r="X9" s="772"/>
      <c r="Y9" s="2996"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171"/>
      <c r="Q10" s="1795" t="str">
        <f t="shared" si="6"/>
        <v>土地使用年限（年）</v>
      </c>
      <c r="R10" s="770" t="s">
        <v>17</v>
      </c>
      <c r="S10" s="771">
        <f t="shared" si="0"/>
        <v>102</v>
      </c>
      <c r="T10" s="770" t="s">
        <v>17</v>
      </c>
      <c r="U10" s="771">
        <f t="shared" si="1"/>
        <v>102</v>
      </c>
      <c r="V10" s="770" t="s">
        <v>17</v>
      </c>
      <c r="W10" s="771">
        <f t="shared" si="2"/>
        <v>102</v>
      </c>
      <c r="X10" s="772"/>
      <c r="Y10" s="2996"/>
      <c r="Z10" s="55" t="str">
        <f t="shared" si="7"/>
        <v>土地使用年限（年）</v>
      </c>
      <c r="AA10" s="773">
        <f t="shared" si="3"/>
        <v>0.98039215686274506</v>
      </c>
      <c r="AB10" s="773">
        <f t="shared" si="4"/>
        <v>0.98039215686274506</v>
      </c>
      <c r="AC10" s="773">
        <f t="shared" si="5"/>
        <v>0.98039215686274506</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1"/>
      <c r="Q11" s="1795" t="str">
        <f t="shared" si="6"/>
        <v>容积率</v>
      </c>
      <c r="R11" s="770" t="s">
        <v>17</v>
      </c>
      <c r="S11" s="771" t="e">
        <f t="shared" si="0"/>
        <v>#N/A</v>
      </c>
      <c r="T11" s="770" t="s">
        <v>17</v>
      </c>
      <c r="U11" s="771" t="e">
        <f t="shared" si="1"/>
        <v>#N/A</v>
      </c>
      <c r="V11" s="770" t="s">
        <v>17</v>
      </c>
      <c r="W11" s="771" t="e">
        <f t="shared" si="2"/>
        <v>#N/A</v>
      </c>
      <c r="X11" s="772"/>
      <c r="Y11" s="2996"/>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1"/>
      <c r="Q12" s="1795">
        <f t="shared" si="6"/>
        <v>111</v>
      </c>
      <c r="R12" s="770" t="s">
        <v>17</v>
      </c>
      <c r="S12" s="771">
        <f t="shared" si="0"/>
        <v>100</v>
      </c>
      <c r="T12" s="770" t="s">
        <v>17</v>
      </c>
      <c r="U12" s="771">
        <f t="shared" si="1"/>
        <v>100</v>
      </c>
      <c r="V12" s="770" t="s">
        <v>17</v>
      </c>
      <c r="W12" s="771">
        <f t="shared" si="2"/>
        <v>100</v>
      </c>
      <c r="X12" s="772"/>
      <c r="Y12" s="2996"/>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1"/>
      <c r="Q13" s="1795">
        <f t="shared" si="6"/>
        <v>111</v>
      </c>
      <c r="R13" s="770" t="s">
        <v>17</v>
      </c>
      <c r="S13" s="771">
        <f t="shared" si="0"/>
        <v>100</v>
      </c>
      <c r="T13" s="770" t="s">
        <v>17</v>
      </c>
      <c r="U13" s="771">
        <f t="shared" si="1"/>
        <v>100</v>
      </c>
      <c r="V13" s="770" t="s">
        <v>17</v>
      </c>
      <c r="W13" s="771">
        <f t="shared" si="2"/>
        <v>100</v>
      </c>
      <c r="X13" s="772"/>
      <c r="Y13" s="2996"/>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1"/>
      <c r="Q14" s="1795">
        <f t="shared" si="6"/>
        <v>111</v>
      </c>
      <c r="R14" s="770" t="s">
        <v>17</v>
      </c>
      <c r="S14" s="771">
        <f t="shared" si="0"/>
        <v>100</v>
      </c>
      <c r="T14" s="770" t="s">
        <v>17</v>
      </c>
      <c r="U14" s="771">
        <f t="shared" si="1"/>
        <v>100</v>
      </c>
      <c r="V14" s="770" t="s">
        <v>17</v>
      </c>
      <c r="W14" s="771">
        <f t="shared" si="2"/>
        <v>100</v>
      </c>
      <c r="X14" s="772"/>
      <c r="Y14" s="2996"/>
      <c r="Z14" s="55">
        <f t="shared" si="7"/>
        <v>111</v>
      </c>
      <c r="AA14" s="773">
        <f t="shared" si="3"/>
        <v>1</v>
      </c>
      <c r="AB14" s="773">
        <f t="shared" si="4"/>
        <v>1</v>
      </c>
      <c r="AC14" s="773">
        <f t="shared" si="5"/>
        <v>1</v>
      </c>
    </row>
    <row r="15" spans="1:29" ht="57">
      <c r="A15" s="440" t="s">
        <v>2559</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3" t="s">
        <v>2560</v>
      </c>
      <c r="Q15" s="1810" t="str">
        <f t="shared" si="6"/>
        <v>产业集聚程度</v>
      </c>
      <c r="R15" s="774" t="s">
        <v>17</v>
      </c>
      <c r="S15" s="775">
        <f t="shared" si="0"/>
        <v>100</v>
      </c>
      <c r="T15" s="774" t="s">
        <v>17</v>
      </c>
      <c r="U15" s="775">
        <f t="shared" si="1"/>
        <v>100</v>
      </c>
      <c r="V15" s="774" t="s">
        <v>17</v>
      </c>
      <c r="W15" s="775">
        <f t="shared" si="2"/>
        <v>100</v>
      </c>
      <c r="X15" s="1813"/>
      <c r="Y15" s="3173" t="s">
        <v>2560</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174"/>
      <c r="Q16" s="1810"/>
      <c r="R16" s="774"/>
      <c r="S16" s="775"/>
      <c r="T16" s="774"/>
      <c r="U16" s="775"/>
      <c r="V16" s="774"/>
      <c r="W16" s="775"/>
      <c r="X16" s="1813"/>
      <c r="Y16" s="3174"/>
      <c r="Z16" s="1814"/>
      <c r="AA16" s="1811">
        <v>1</v>
      </c>
      <c r="AB16" s="1811">
        <v>1</v>
      </c>
      <c r="AC16" s="1811">
        <v>1</v>
      </c>
    </row>
    <row r="17" spans="1:29" ht="85.5">
      <c r="A17" s="428"/>
      <c r="B17" s="631" t="s">
        <v>2709</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4"/>
      <c r="Q17" s="1810" t="str">
        <f>B17</f>
        <v>交通便捷度</v>
      </c>
      <c r="R17" s="774" t="s">
        <v>17</v>
      </c>
      <c r="S17" s="775">
        <f>F17</f>
        <v>100</v>
      </c>
      <c r="T17" s="774" t="s">
        <v>17</v>
      </c>
      <c r="U17" s="775">
        <f>H17</f>
        <v>100</v>
      </c>
      <c r="V17" s="774" t="s">
        <v>17</v>
      </c>
      <c r="W17" s="775">
        <f>J17</f>
        <v>100</v>
      </c>
      <c r="X17" s="1813"/>
      <c r="Y17" s="3174"/>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174"/>
      <c r="Q18" s="1810"/>
      <c r="R18" s="774"/>
      <c r="S18" s="775"/>
      <c r="T18" s="774"/>
      <c r="U18" s="775"/>
      <c r="V18" s="774"/>
      <c r="W18" s="775"/>
      <c r="X18" s="1813"/>
      <c r="Y18" s="3174"/>
      <c r="Z18" s="1814"/>
      <c r="AA18" s="1811">
        <v>1</v>
      </c>
      <c r="AB18" s="1811">
        <v>1</v>
      </c>
      <c r="AC18" s="1811">
        <v>1</v>
      </c>
    </row>
    <row r="19" spans="1:29" ht="15">
      <c r="A19" s="428"/>
      <c r="B19" s="631" t="s">
        <v>2748</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4"/>
      <c r="Q19" s="1810" t="str">
        <f t="shared" ref="Q19:Q33" si="8">B19</f>
        <v>区域土地利用方向</v>
      </c>
      <c r="R19" s="774" t="s">
        <v>17</v>
      </c>
      <c r="S19" s="775">
        <f>F19</f>
        <v>100</v>
      </c>
      <c r="T19" s="774" t="s">
        <v>17</v>
      </c>
      <c r="U19" s="775">
        <f>H19</f>
        <v>100</v>
      </c>
      <c r="V19" s="774" t="s">
        <v>17</v>
      </c>
      <c r="W19" s="775">
        <f>J19</f>
        <v>100</v>
      </c>
      <c r="X19" s="1813"/>
      <c r="Y19" s="3174"/>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174"/>
      <c r="Q20" s="1810"/>
      <c r="R20" s="774"/>
      <c r="S20" s="775"/>
      <c r="T20" s="774"/>
      <c r="U20" s="775"/>
      <c r="V20" s="774"/>
      <c r="W20" s="775"/>
      <c r="X20" s="1813"/>
      <c r="Y20" s="3174"/>
      <c r="Z20" s="1814"/>
      <c r="AA20" s="1811"/>
      <c r="AB20" s="1811"/>
      <c r="AC20" s="1811"/>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4"/>
      <c r="Q21" s="1810" t="str">
        <f t="shared" si="8"/>
        <v>环境状况</v>
      </c>
      <c r="R21" s="774" t="s">
        <v>17</v>
      </c>
      <c r="S21" s="775">
        <f>F21</f>
        <v>100</v>
      </c>
      <c r="T21" s="774" t="s">
        <v>17</v>
      </c>
      <c r="U21" s="775">
        <f>H21</f>
        <v>100</v>
      </c>
      <c r="V21" s="774" t="s">
        <v>17</v>
      </c>
      <c r="W21" s="775">
        <f>J21</f>
        <v>100</v>
      </c>
      <c r="X21" s="1813"/>
      <c r="Y21" s="3174"/>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174"/>
      <c r="Q22" s="1810"/>
      <c r="R22" s="774"/>
      <c r="S22" s="775"/>
      <c r="T22" s="774"/>
      <c r="U22" s="775"/>
      <c r="V22" s="774"/>
      <c r="W22" s="775"/>
      <c r="X22" s="1813"/>
      <c r="Y22" s="3174"/>
      <c r="Z22" s="1814"/>
      <c r="AA22" s="1811">
        <v>1</v>
      </c>
      <c r="AB22" s="1811">
        <v>1</v>
      </c>
      <c r="AC22" s="1811">
        <v>1</v>
      </c>
    </row>
    <row r="23" spans="1:29" s="117" customFormat="1" ht="42.75">
      <c r="A23" s="649"/>
      <c r="B23" s="633" t="s">
        <v>2654</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4"/>
      <c r="Q23" s="1795" t="str">
        <f t="shared" si="8"/>
        <v>公共配套设施</v>
      </c>
      <c r="R23" s="770" t="s">
        <v>17</v>
      </c>
      <c r="S23" s="771">
        <f>F23</f>
        <v>100</v>
      </c>
      <c r="T23" s="770" t="s">
        <v>17</v>
      </c>
      <c r="U23" s="771">
        <f>H23</f>
        <v>100</v>
      </c>
      <c r="V23" s="770" t="s">
        <v>17</v>
      </c>
      <c r="W23" s="771">
        <f>J23</f>
        <v>100</v>
      </c>
      <c r="X23" s="772"/>
      <c r="Y23" s="3174"/>
      <c r="Z23" s="55" t="str">
        <f>Q23</f>
        <v>公共配套设施</v>
      </c>
      <c r="AA23" s="1811">
        <f>D23/F23</f>
        <v>1</v>
      </c>
      <c r="AB23" s="1811">
        <f>D23/H23</f>
        <v>1</v>
      </c>
      <c r="AC23" s="1811">
        <f>D23/J23</f>
        <v>1</v>
      </c>
    </row>
    <row r="24" spans="1:29" s="117" customFormat="1" ht="15">
      <c r="A24" s="649"/>
      <c r="B24" s="632"/>
      <c r="C24" s="2702"/>
      <c r="D24" s="448"/>
      <c r="E24" s="2614"/>
      <c r="F24" s="448"/>
      <c r="G24" s="2614"/>
      <c r="H24" s="448"/>
      <c r="I24" s="447"/>
      <c r="J24" s="448"/>
      <c r="K24" s="672"/>
      <c r="L24" s="1132"/>
      <c r="M24" s="1133"/>
      <c r="N24" s="1133"/>
      <c r="O24" s="1134"/>
      <c r="P24" s="3174"/>
      <c r="Q24" s="1795"/>
      <c r="R24" s="770"/>
      <c r="S24" s="771"/>
      <c r="T24" s="770"/>
      <c r="U24" s="771"/>
      <c r="V24" s="770"/>
      <c r="W24" s="771"/>
      <c r="X24" s="772"/>
      <c r="Y24" s="3174"/>
      <c r="Z24" s="55"/>
      <c r="AA24" s="773">
        <v>1</v>
      </c>
      <c r="AB24" s="773">
        <v>1</v>
      </c>
      <c r="AC24" s="773">
        <v>1</v>
      </c>
    </row>
    <row r="25" spans="1:29" s="117" customFormat="1" ht="28.5">
      <c r="A25" s="649"/>
      <c r="B25" s="633" t="s">
        <v>2655</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4"/>
      <c r="Q25" s="1795"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74"/>
      <c r="Q26" s="1795"/>
      <c r="R26" s="770"/>
      <c r="S26" s="771"/>
      <c r="T26" s="770"/>
      <c r="U26" s="771"/>
      <c r="V26" s="770"/>
      <c r="W26" s="771"/>
      <c r="X26" s="772"/>
      <c r="Y26" s="3174"/>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4"/>
      <c r="Z27" s="1814" t="str">
        <f t="shared" ref="Z27:Z40" si="13">Q27</f>
        <v>临街状况</v>
      </c>
      <c r="AA27" s="1811">
        <f t="shared" si="3"/>
        <v>1</v>
      </c>
      <c r="AB27" s="1811">
        <f t="shared" si="4"/>
        <v>1</v>
      </c>
      <c r="AC27" s="1811">
        <f t="shared" si="5"/>
        <v>1</v>
      </c>
    </row>
    <row r="28" spans="1:29" ht="27">
      <c r="A28" s="428"/>
      <c r="B28" s="633" t="s">
        <v>2691</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4"/>
      <c r="Q28" s="1810" t="str">
        <f t="shared" si="8"/>
        <v>毗邻道路的类型与等级</v>
      </c>
      <c r="R28" s="774" t="s">
        <v>17</v>
      </c>
      <c r="S28" s="775">
        <f t="shared" si="10"/>
        <v>100</v>
      </c>
      <c r="T28" s="774" t="s">
        <v>17</v>
      </c>
      <c r="U28" s="775">
        <f t="shared" si="11"/>
        <v>100</v>
      </c>
      <c r="V28" s="774" t="s">
        <v>17</v>
      </c>
      <c r="W28" s="775">
        <f t="shared" si="12"/>
        <v>100</v>
      </c>
      <c r="X28" s="1813"/>
      <c r="Y28" s="3174"/>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174"/>
      <c r="Q29" s="1810"/>
      <c r="R29" s="774"/>
      <c r="S29" s="775"/>
      <c r="T29" s="774"/>
      <c r="U29" s="775"/>
      <c r="V29" s="774"/>
      <c r="W29" s="775"/>
      <c r="X29" s="1813"/>
      <c r="Y29" s="3174"/>
      <c r="Z29" s="1814"/>
      <c r="AA29" s="1811">
        <v>1</v>
      </c>
      <c r="AB29" s="1811">
        <v>1</v>
      </c>
      <c r="AC29" s="1811">
        <v>1</v>
      </c>
    </row>
    <row r="30" spans="1:29" ht="15">
      <c r="A30" s="428"/>
      <c r="B30" s="654" t="s">
        <v>2750</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4"/>
      <c r="Q30" s="1810" t="str">
        <f t="shared" si="8"/>
        <v>土地级别</v>
      </c>
      <c r="R30" s="774" t="s">
        <v>17</v>
      </c>
      <c r="S30" s="775">
        <f t="shared" si="10"/>
        <v>100</v>
      </c>
      <c r="T30" s="774" t="s">
        <v>17</v>
      </c>
      <c r="U30" s="775">
        <f t="shared" si="11"/>
        <v>100</v>
      </c>
      <c r="V30" s="774" t="s">
        <v>17</v>
      </c>
      <c r="W30" s="775">
        <f t="shared" si="12"/>
        <v>100</v>
      </c>
      <c r="X30" s="1813"/>
      <c r="Y30" s="3174"/>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4"/>
      <c r="Q31" s="1810">
        <f t="shared" si="8"/>
        <v>111</v>
      </c>
      <c r="R31" s="774" t="s">
        <v>17</v>
      </c>
      <c r="S31" s="775">
        <f t="shared" si="10"/>
        <v>100</v>
      </c>
      <c r="T31" s="774" t="s">
        <v>17</v>
      </c>
      <c r="U31" s="775">
        <f t="shared" si="11"/>
        <v>100</v>
      </c>
      <c r="V31" s="774" t="s">
        <v>17</v>
      </c>
      <c r="W31" s="775">
        <f t="shared" si="12"/>
        <v>100</v>
      </c>
      <c r="X31" s="1813"/>
      <c r="Y31" s="3174"/>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29" t="s">
        <v>2565</v>
      </c>
      <c r="Q32" s="1810">
        <f t="shared" si="8"/>
        <v>111</v>
      </c>
      <c r="R32" s="774" t="s">
        <v>17</v>
      </c>
      <c r="S32" s="775">
        <f t="shared" si="10"/>
        <v>100</v>
      </c>
      <c r="T32" s="774" t="s">
        <v>17</v>
      </c>
      <c r="U32" s="775">
        <f t="shared" si="11"/>
        <v>100</v>
      </c>
      <c r="V32" s="774" t="s">
        <v>17</v>
      </c>
      <c r="W32" s="775">
        <f t="shared" si="12"/>
        <v>100</v>
      </c>
      <c r="X32" s="1813"/>
      <c r="Y32" s="3178" t="s">
        <v>2565</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8"/>
      <c r="Q33" s="1810">
        <f t="shared" si="8"/>
        <v>111</v>
      </c>
      <c r="R33" s="777" t="s">
        <v>17</v>
      </c>
      <c r="S33" s="778">
        <f t="shared" si="10"/>
        <v>100</v>
      </c>
      <c r="T33" s="777" t="s">
        <v>17</v>
      </c>
      <c r="U33" s="778">
        <f t="shared" si="11"/>
        <v>100</v>
      </c>
      <c r="V33" s="777" t="s">
        <v>17</v>
      </c>
      <c r="W33" s="778">
        <f t="shared" si="12"/>
        <v>100</v>
      </c>
      <c r="X33" s="779"/>
      <c r="Y33" s="3178"/>
      <c r="Z33" s="780">
        <f t="shared" si="13"/>
        <v>111</v>
      </c>
      <c r="AA33" s="1811">
        <f t="shared" si="3"/>
        <v>1</v>
      </c>
      <c r="AB33" s="1811">
        <f t="shared" si="4"/>
        <v>1</v>
      </c>
      <c r="AC33" s="1811">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8"/>
      <c r="Q34" s="1810" t="str">
        <f>B34</f>
        <v>宗地面积</v>
      </c>
      <c r="R34" s="774" t="s">
        <v>17</v>
      </c>
      <c r="S34" s="775" t="e">
        <f t="shared" si="10"/>
        <v>#N/A</v>
      </c>
      <c r="T34" s="774" t="s">
        <v>17</v>
      </c>
      <c r="U34" s="775" t="e">
        <f t="shared" si="11"/>
        <v>#N/A</v>
      </c>
      <c r="V34" s="774" t="s">
        <v>17</v>
      </c>
      <c r="W34" s="775" t="e">
        <f t="shared" si="12"/>
        <v>#N/A</v>
      </c>
      <c r="X34" s="1813"/>
      <c r="Y34" s="3178"/>
      <c r="Z34" s="1814" t="str">
        <f t="shared" si="13"/>
        <v>宗地面积</v>
      </c>
      <c r="AA34" s="1811" t="e">
        <f t="shared" si="3"/>
        <v>#N/A</v>
      </c>
      <c r="AB34" s="1811" t="e">
        <f t="shared" si="4"/>
        <v>#N/A</v>
      </c>
      <c r="AC34" s="1811" t="e">
        <f t="shared" si="5"/>
        <v>#N/A</v>
      </c>
    </row>
    <row r="35" spans="1:29" ht="15">
      <c r="A35" s="472"/>
      <c r="B35" s="422" t="s">
        <v>2752</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178"/>
      <c r="Q35" s="1810" t="str">
        <f t="shared" ref="Q35:Q40" si="14">B35</f>
        <v>宗地形状</v>
      </c>
      <c r="R35" s="774" t="s">
        <v>17</v>
      </c>
      <c r="S35" s="775">
        <f t="shared" si="10"/>
        <v>100</v>
      </c>
      <c r="T35" s="774" t="s">
        <v>17</v>
      </c>
      <c r="U35" s="775">
        <f t="shared" si="11"/>
        <v>100</v>
      </c>
      <c r="V35" s="774" t="s">
        <v>17</v>
      </c>
      <c r="W35" s="775">
        <f t="shared" si="12"/>
        <v>100</v>
      </c>
      <c r="X35" s="1813"/>
      <c r="Y35" s="3178"/>
      <c r="Z35" s="1814" t="str">
        <f t="shared" si="13"/>
        <v>宗地形状</v>
      </c>
      <c r="AA35" s="1811">
        <f t="shared" si="3"/>
        <v>1</v>
      </c>
      <c r="AB35" s="1811">
        <f t="shared" si="4"/>
        <v>1</v>
      </c>
      <c r="AC35" s="1811">
        <f t="shared" si="5"/>
        <v>1</v>
      </c>
    </row>
    <row r="36" spans="1:29" s="117" customFormat="1" ht="15">
      <c r="A36" s="473"/>
      <c r="B36" s="422" t="s">
        <v>2754</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78"/>
      <c r="Q36" s="1810"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2755</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178" t="s">
        <v>2565</v>
      </c>
      <c r="Q37" s="1810" t="str">
        <f t="shared" si="14"/>
        <v>工程地质条件</v>
      </c>
      <c r="R37" s="774" t="s">
        <v>17</v>
      </c>
      <c r="S37" s="775">
        <f t="shared" si="10"/>
        <v>100</v>
      </c>
      <c r="T37" s="774" t="s">
        <v>17</v>
      </c>
      <c r="U37" s="775">
        <f t="shared" si="11"/>
        <v>100</v>
      </c>
      <c r="V37" s="774" t="s">
        <v>17</v>
      </c>
      <c r="W37" s="775">
        <f t="shared" si="12"/>
        <v>100</v>
      </c>
      <c r="X37" s="1813"/>
      <c r="Y37" s="3178" t="s">
        <v>2565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8"/>
      <c r="Q38" s="1810">
        <f t="shared" si="14"/>
        <v>111</v>
      </c>
      <c r="R38" s="774" t="s">
        <v>17</v>
      </c>
      <c r="S38" s="775">
        <f t="shared" si="10"/>
        <v>100</v>
      </c>
      <c r="T38" s="774" t="s">
        <v>17</v>
      </c>
      <c r="U38" s="775">
        <f t="shared" si="11"/>
        <v>100</v>
      </c>
      <c r="V38" s="774" t="s">
        <v>17</v>
      </c>
      <c r="W38" s="775">
        <f t="shared" si="12"/>
        <v>100</v>
      </c>
      <c r="X38" s="1813"/>
      <c r="Y38" s="317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8"/>
      <c r="Q39" s="1810">
        <f t="shared" si="14"/>
        <v>111</v>
      </c>
      <c r="R39" s="774" t="s">
        <v>17</v>
      </c>
      <c r="S39" s="775">
        <f t="shared" si="10"/>
        <v>100</v>
      </c>
      <c r="T39" s="774" t="s">
        <v>17</v>
      </c>
      <c r="U39" s="775">
        <f t="shared" si="11"/>
        <v>100</v>
      </c>
      <c r="V39" s="774" t="s">
        <v>17</v>
      </c>
      <c r="W39" s="775">
        <f t="shared" si="12"/>
        <v>100</v>
      </c>
      <c r="X39" s="1813"/>
      <c r="Y39" s="317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8"/>
      <c r="Q40" s="1810">
        <f t="shared" si="14"/>
        <v>111</v>
      </c>
      <c r="R40" s="777" t="s">
        <v>17</v>
      </c>
      <c r="S40" s="778">
        <f t="shared" si="10"/>
        <v>100</v>
      </c>
      <c r="T40" s="777" t="s">
        <v>17</v>
      </c>
      <c r="U40" s="778">
        <f t="shared" si="11"/>
        <v>100</v>
      </c>
      <c r="V40" s="777" t="s">
        <v>17</v>
      </c>
      <c r="W40" s="778">
        <f t="shared" si="12"/>
        <v>100</v>
      </c>
      <c r="X40" s="779"/>
      <c r="Y40" s="3178"/>
      <c r="Z40" s="780">
        <f t="shared" si="13"/>
        <v>111</v>
      </c>
      <c r="AA40" s="1811">
        <f t="shared" si="3"/>
        <v>1</v>
      </c>
      <c r="AB40" s="1811">
        <f t="shared" si="4"/>
        <v>1</v>
      </c>
      <c r="AC40" s="1811">
        <f t="shared" si="5"/>
        <v>1</v>
      </c>
    </row>
    <row r="41" spans="1:29" ht="15">
      <c r="A41" s="479" t="s">
        <v>2720</v>
      </c>
      <c r="B41" s="2706" t="s">
        <v>2799</v>
      </c>
      <c r="C41" s="682" t="s">
        <v>1</v>
      </c>
      <c r="D41" s="481"/>
      <c r="E41" s="482"/>
      <c r="F41" s="483"/>
      <c r="G41" s="484"/>
      <c r="H41" s="485"/>
      <c r="I41" s="482"/>
      <c r="J41" s="485"/>
      <c r="K41" s="783"/>
      <c r="L41" s="1143"/>
      <c r="M41" s="1131"/>
      <c r="N41" s="1131"/>
      <c r="O41" s="1144"/>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3"/>
      <c r="M42" s="1131"/>
      <c r="N42" s="1131"/>
      <c r="O42" s="1144"/>
      <c r="P42" s="3171" t="str">
        <f>A42</f>
        <v>比较价值（元/平方米）</v>
      </c>
      <c r="Q42" s="3171"/>
      <c r="R42" s="3230" t="e">
        <f>ROUND(PRODUCT(R41,AA7:AA40),0)</f>
        <v>#DIV/0!</v>
      </c>
      <c r="S42" s="3230"/>
      <c r="T42" s="3230" t="e">
        <f>ROUND(PRODUCT(T41,AB7:AB40),0)</f>
        <v>#DIV/0!</v>
      </c>
      <c r="U42" s="3230"/>
      <c r="V42" s="3230" t="e">
        <f>ROUND(PRODUCT(V41,AC7:AC40),0)</f>
        <v>#DIV/0!</v>
      </c>
      <c r="W42" s="3230"/>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3"/>
      <c r="M43" s="1131"/>
      <c r="N43" s="1131"/>
      <c r="O43" s="1144"/>
      <c r="P43" s="3168" t="str">
        <f>A43</f>
        <v>估价对象XX用房的比较价值（楼面单价，元/平方米）</v>
      </c>
      <c r="Q43" s="3169"/>
      <c r="R43" s="3231" t="e">
        <f>ROUND(AVERAGE(R42:V42),0)</f>
        <v>#DIV/0!</v>
      </c>
      <c r="S43" s="3231"/>
      <c r="T43" s="3231"/>
      <c r="U43" s="3231"/>
      <c r="V43" s="3231"/>
      <c r="W43" s="323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2758</v>
      </c>
      <c r="B50" s="685" t="s">
        <v>2759</v>
      </c>
      <c r="C50" s="2707" t="s">
        <v>2760</v>
      </c>
      <c r="D50" s="2708" t="s">
        <v>2761</v>
      </c>
      <c r="E50" s="686" t="s">
        <v>2762</v>
      </c>
      <c r="F50" s="687" t="s">
        <v>2763</v>
      </c>
      <c r="G50" s="3186" t="s">
        <v>2764</v>
      </c>
      <c r="H50" s="3232"/>
      <c r="I50" s="1814" t="s">
        <v>2800</v>
      </c>
      <c r="J50" s="1814">
        <f>项目基本情况!F35</f>
        <v>0</v>
      </c>
      <c r="K50" s="2710" t="s">
        <v>2766</v>
      </c>
      <c r="L50" s="1106"/>
      <c r="M50" s="1144"/>
      <c r="N50" s="1144"/>
      <c r="O50" s="1144"/>
    </row>
    <row r="51" spans="1:17" s="692" customFormat="1">
      <c r="A51" s="688" t="s">
        <v>2767</v>
      </c>
      <c r="B51" s="689" t="e">
        <f>C43</f>
        <v>#DIV/0!</v>
      </c>
      <c r="C51" s="690">
        <v>1</v>
      </c>
      <c r="D51" s="1163">
        <v>1</v>
      </c>
      <c r="E51" s="690">
        <f>'数据-汇总表'!E8+'数据-汇总表'!E9</f>
        <v>33112.840000000157</v>
      </c>
      <c r="F51" s="691" t="e">
        <f t="shared" ref="F51:F60" si="15">ROUND(B51*E51/10000,0)</f>
        <v>#DIV/0!</v>
      </c>
      <c r="G51" s="3182"/>
      <c r="H51" s="3171"/>
      <c r="I51" s="942">
        <v>1</v>
      </c>
      <c r="J51" s="942">
        <v>1</v>
      </c>
      <c r="K51" s="1145"/>
      <c r="L51" s="941"/>
      <c r="M51" s="941"/>
      <c r="N51" s="941"/>
      <c r="O51" s="941"/>
    </row>
    <row r="52" spans="1:17" s="692" customFormat="1">
      <c r="A52" s="693" t="s">
        <v>2768</v>
      </c>
      <c r="B52" s="262" t="e">
        <f>ROUND($C$43*C52*D52,0)</f>
        <v>#DIV/0!</v>
      </c>
      <c r="C52" s="200">
        <f t="shared" ref="C52:C60" si="16">IF($C$50="北京市系数",I52,J52)</f>
        <v>0</v>
      </c>
      <c r="D52" s="1164">
        <v>0.25</v>
      </c>
      <c r="E52" s="694"/>
      <c r="F52" s="691" t="e">
        <f t="shared" si="15"/>
        <v>#DIV/0!</v>
      </c>
      <c r="G52" s="3233" t="s">
        <v>2769</v>
      </c>
      <c r="H52" s="1104">
        <f>项目基本情况!B37</f>
        <v>0</v>
      </c>
      <c r="I52" s="942">
        <f>SUMIF(修正!A45:A56,H52,修正!B45:B56)</f>
        <v>0</v>
      </c>
      <c r="J52" s="943"/>
      <c r="K52" s="1144"/>
      <c r="L52" s="941"/>
      <c r="M52" s="941"/>
      <c r="N52" s="941"/>
      <c r="O52" s="941"/>
    </row>
    <row r="53" spans="1:17" s="692" customFormat="1">
      <c r="A53" s="693" t="s">
        <v>2770</v>
      </c>
      <c r="B53" s="262" t="e">
        <f t="shared" ref="B53:B60" si="17">ROUND($C$43*C53*D53,0)</f>
        <v>#DIV/0!</v>
      </c>
      <c r="C53" s="200">
        <f t="shared" si="16"/>
        <v>0</v>
      </c>
      <c r="D53" s="1164">
        <v>0.25</v>
      </c>
      <c r="E53" s="694"/>
      <c r="F53" s="691" t="e">
        <f t="shared" si="15"/>
        <v>#DIV/0!</v>
      </c>
      <c r="G53" s="3233"/>
      <c r="H53" s="1104">
        <f>项目基本情况!B37</f>
        <v>0</v>
      </c>
      <c r="I53" s="942">
        <f>SUMIF(修正!A45:A56,H53,修正!C45:C56)</f>
        <v>0</v>
      </c>
      <c r="J53" s="943"/>
      <c r="K53" s="1145"/>
      <c r="L53" s="941"/>
      <c r="M53" s="941"/>
      <c r="N53" s="941"/>
      <c r="O53" s="941"/>
    </row>
    <row r="54" spans="1:17" s="692" customFormat="1">
      <c r="A54" s="693" t="s">
        <v>2771</v>
      </c>
      <c r="B54" s="262" t="e">
        <f t="shared" si="17"/>
        <v>#DIV/0!</v>
      </c>
      <c r="C54" s="200">
        <f t="shared" si="16"/>
        <v>0</v>
      </c>
      <c r="D54" s="1164">
        <v>0.25</v>
      </c>
      <c r="E54" s="694"/>
      <c r="F54" s="691" t="e">
        <f t="shared" si="15"/>
        <v>#DIV/0!</v>
      </c>
      <c r="G54" s="3233"/>
      <c r="H54" s="1104">
        <f>项目基本情况!B37</f>
        <v>0</v>
      </c>
      <c r="I54" s="942">
        <f>SUMIF(修正!A45:A56,H54,修正!D45:D56)</f>
        <v>0</v>
      </c>
      <c r="J54" s="943"/>
      <c r="K54" s="1144"/>
      <c r="L54" s="941"/>
      <c r="M54" s="941"/>
      <c r="N54" s="941"/>
      <c r="O54" s="941"/>
    </row>
    <row r="55" spans="1:17" s="692" customFormat="1">
      <c r="A55" s="693" t="s">
        <v>2772</v>
      </c>
      <c r="B55" s="262" t="e">
        <f t="shared" si="17"/>
        <v>#DIV/0!</v>
      </c>
      <c r="C55" s="200">
        <f t="shared" si="16"/>
        <v>0</v>
      </c>
      <c r="D55" s="1164">
        <v>0.25</v>
      </c>
      <c r="E55" s="694"/>
      <c r="F55" s="691" t="e">
        <f t="shared" si="15"/>
        <v>#DIV/0!</v>
      </c>
      <c r="G55" s="3233"/>
      <c r="H55" s="1104">
        <f>项目基本情况!B37</f>
        <v>0</v>
      </c>
      <c r="I55" s="942">
        <f>SUMIF(修正!A45:A56,H55,修正!E45:E56)</f>
        <v>0</v>
      </c>
      <c r="J55" s="943"/>
      <c r="K55" s="1145"/>
      <c r="L55" s="941"/>
      <c r="M55" s="941"/>
      <c r="N55" s="941"/>
      <c r="O55" s="941"/>
    </row>
    <row r="56" spans="1:17" s="692" customFormat="1">
      <c r="A56" s="693" t="s">
        <v>2773</v>
      </c>
      <c r="B56" s="262" t="e">
        <f t="shared" si="17"/>
        <v>#DIV/0!</v>
      </c>
      <c r="C56" s="200">
        <f t="shared" si="16"/>
        <v>0</v>
      </c>
      <c r="D56" s="1164">
        <v>0.25</v>
      </c>
      <c r="E56" s="261">
        <f>'数据-汇总表'!E11</f>
        <v>0</v>
      </c>
      <c r="F56" s="691" t="e">
        <f t="shared" si="15"/>
        <v>#DIV/0!</v>
      </c>
      <c r="G56" s="2711" t="s">
        <v>2774</v>
      </c>
      <c r="H56" s="1104">
        <f>项目基本情况!C37</f>
        <v>0</v>
      </c>
      <c r="I56" s="942">
        <f>SUMIF(修正!A45:A56,H56,修正!F45:F56)</f>
        <v>0</v>
      </c>
      <c r="J56" s="943"/>
      <c r="K56" s="1144"/>
      <c r="L56" s="941"/>
      <c r="M56" s="941"/>
      <c r="N56" s="941"/>
      <c r="O56" s="941"/>
    </row>
    <row r="57" spans="1:17" s="692" customFormat="1">
      <c r="A57" s="693" t="s">
        <v>2775</v>
      </c>
      <c r="B57" s="262" t="e">
        <f t="shared" si="17"/>
        <v>#DIV/0!</v>
      </c>
      <c r="C57" s="200">
        <f t="shared" si="16"/>
        <v>0</v>
      </c>
      <c r="D57" s="1164">
        <v>0.25</v>
      </c>
      <c r="E57" s="261">
        <f>'数据-汇总表'!E12</f>
        <v>0</v>
      </c>
      <c r="F57" s="691"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2777</v>
      </c>
      <c r="B58" s="262" t="e">
        <f t="shared" si="17"/>
        <v>#DIV/0!</v>
      </c>
      <c r="C58" s="200">
        <f t="shared" si="16"/>
        <v>0</v>
      </c>
      <c r="D58" s="1164">
        <v>0.25</v>
      </c>
      <c r="E58" s="261">
        <f>'数据-汇总表'!E13</f>
        <v>0</v>
      </c>
      <c r="F58" s="691"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2779</v>
      </c>
      <c r="B59" s="262" t="e">
        <f t="shared" si="17"/>
        <v>#DIV/0!</v>
      </c>
      <c r="C59" s="200">
        <f t="shared" si="16"/>
        <v>0</v>
      </c>
      <c r="D59" s="1164">
        <v>0.25</v>
      </c>
      <c r="E59" s="261">
        <f>'数据-汇总表'!E14</f>
        <v>0</v>
      </c>
      <c r="F59" s="691" t="e">
        <f t="shared" si="15"/>
        <v>#DIV/0!</v>
      </c>
      <c r="G59" s="2711" t="s">
        <v>2769</v>
      </c>
      <c r="H59" s="1104">
        <f>项目基本情况!B37</f>
        <v>0</v>
      </c>
      <c r="I59" s="942">
        <f>SUMIF(修正!A45:A56,H59,修正!H45:H56)</f>
        <v>0</v>
      </c>
      <c r="J59" s="943"/>
      <c r="K59" s="1145"/>
      <c r="L59" s="941"/>
      <c r="M59" s="941"/>
      <c r="N59" s="941"/>
      <c r="O59" s="941"/>
    </row>
    <row r="60" spans="1:17" s="692" customFormat="1" ht="15" thickBot="1">
      <c r="A60" s="693" t="s">
        <v>2780</v>
      </c>
      <c r="B60" s="262" t="e">
        <f t="shared" si="17"/>
        <v>#DIV/0!</v>
      </c>
      <c r="C60" s="200">
        <f t="shared" si="16"/>
        <v>0</v>
      </c>
      <c r="D60" s="1164">
        <v>0.25</v>
      </c>
      <c r="E60" s="261">
        <f>'数据-汇总表'!E15</f>
        <v>0</v>
      </c>
      <c r="F60" s="691" t="e">
        <f t="shared" si="15"/>
        <v>#DIV/0!</v>
      </c>
      <c r="G60" s="2712" t="s">
        <v>2774</v>
      </c>
      <c r="H60" s="1114">
        <f>项目基本情况!C37</f>
        <v>0</v>
      </c>
      <c r="I60" s="942">
        <f>SUMIF(修正!A45:A56,H60,修正!H45:H56)</f>
        <v>0</v>
      </c>
      <c r="J60" s="943"/>
      <c r="K60" s="1144"/>
      <c r="L60" s="941"/>
      <c r="M60" s="941"/>
      <c r="N60" s="941"/>
      <c r="O60" s="941"/>
    </row>
    <row r="61" spans="1:17" s="692" customFormat="1" ht="15" thickBot="1">
      <c r="A61" s="695" t="s">
        <v>2781</v>
      </c>
      <c r="B61" s="696" t="s">
        <v>28</v>
      </c>
      <c r="C61" s="696" t="s">
        <v>29</v>
      </c>
      <c r="D61" s="696" t="s">
        <v>1026</v>
      </c>
      <c r="E61" s="696">
        <f>IF(B41="楼面地价",SUM(E51:E60),'数据-汇总表'!D3)</f>
        <v>9460.81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2674</v>
      </c>
      <c r="B64" s="759"/>
      <c r="C64" s="764"/>
      <c r="D64" s="764"/>
      <c r="E64" s="764"/>
      <c r="F64" s="765"/>
      <c r="G64" s="765"/>
      <c r="H64" s="764"/>
      <c r="I64" s="764"/>
      <c r="J64" s="764"/>
      <c r="K64" s="766"/>
      <c r="L64" s="767"/>
      <c r="M64" s="764"/>
      <c r="N64" s="764"/>
      <c r="O64" s="1159"/>
      <c r="P64" s="503"/>
      <c r="Q64" s="504"/>
    </row>
    <row r="65" spans="1:17" s="508" customFormat="1" ht="15">
      <c r="A65" s="2713" t="s">
        <v>2782</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8" t="s">
        <v>2801</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2588</v>
      </c>
      <c r="B70" s="528" t="s">
        <v>2554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2597</v>
      </c>
      <c r="D87" s="573" t="s">
        <v>2598</v>
      </c>
      <c r="E87" s="573" t="s">
        <v>2599</v>
      </c>
      <c r="F87" s="573" t="s">
        <v>2600</v>
      </c>
      <c r="G87" s="573" t="s">
        <v>2601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2597</v>
      </c>
      <c r="D89" s="573" t="s">
        <v>2598</v>
      </c>
      <c r="E89" s="573" t="s">
        <v>2599</v>
      </c>
      <c r="F89" s="573" t="s">
        <v>2600</v>
      </c>
      <c r="G89" s="573" t="s">
        <v>2601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2675</v>
      </c>
      <c r="D93" s="660" t="s">
        <v>2676</v>
      </c>
      <c r="E93" s="660" t="s">
        <v>2677</v>
      </c>
      <c r="F93" s="660" t="s">
        <v>2678</v>
      </c>
      <c r="G93" s="660" t="s">
        <v>2679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2750</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2563</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8" priority="14" stopIfTrue="1" operator="containsText" text="超过">
      <formula>NOT(ISERROR(SEARCH("超过",F46)))</formula>
    </cfRule>
  </conditionalFormatting>
  <conditionalFormatting sqref="J48">
    <cfRule type="containsText" dxfId="137" priority="13" stopIfTrue="1" operator="containsText" text="超过">
      <formula>NOT(ISERROR(SEARCH("超过",J48)))</formula>
    </cfRule>
  </conditionalFormatting>
  <conditionalFormatting sqref="H48">
    <cfRule type="containsText" dxfId="136" priority="12" stopIfTrue="1" operator="containsText" text="超过">
      <formula>NOT(ISERROR(SEARCH("超过",H48)))</formula>
    </cfRule>
  </conditionalFormatting>
  <conditionalFormatting sqref="F48">
    <cfRule type="containsText" dxfId="135" priority="11" stopIfTrue="1" operator="containsText" text="超过">
      <formula>NOT(ISERROR(SEARCH("超过",F48)))</formula>
    </cfRule>
  </conditionalFormatting>
  <conditionalFormatting sqref="F47 H47 J47">
    <cfRule type="containsText" dxfId="134" priority="10" stopIfTrue="1" operator="containsText" text="超过">
      <formula>NOT(ISERROR(SEARCH("超过",F47)))</formula>
    </cfRule>
  </conditionalFormatting>
  <conditionalFormatting sqref="E46">
    <cfRule type="expression" dxfId="133" priority="9" stopIfTrue="1">
      <formula>$F$46="超过30%"</formula>
    </cfRule>
  </conditionalFormatting>
  <conditionalFormatting sqref="G48">
    <cfRule type="expression" dxfId="132" priority="8" stopIfTrue="1">
      <formula>$H$48="超过30%"</formula>
    </cfRule>
  </conditionalFormatting>
  <conditionalFormatting sqref="E48">
    <cfRule type="expression" dxfId="131" priority="6" stopIfTrue="1">
      <formula>$F$48="超过30%"</formula>
    </cfRule>
  </conditionalFormatting>
  <conditionalFormatting sqref="G46">
    <cfRule type="expression" dxfId="130" priority="5" stopIfTrue="1">
      <formula>$H$46="超过30%"</formula>
    </cfRule>
  </conditionalFormatting>
  <conditionalFormatting sqref="G47">
    <cfRule type="expression" dxfId="129" priority="4" stopIfTrue="1">
      <formula>$H$47="超过20%"</formula>
    </cfRule>
  </conditionalFormatting>
  <conditionalFormatting sqref="I46">
    <cfRule type="expression" dxfId="128" priority="3" stopIfTrue="1">
      <formula>$J$46="超过30%"</formula>
    </cfRule>
  </conditionalFormatting>
  <conditionalFormatting sqref="I47">
    <cfRule type="expression" dxfId="127" priority="2" stopIfTrue="1">
      <formula>$J$47="超过20%"</formula>
    </cfRule>
  </conditionalFormatting>
  <conditionalFormatting sqref="I48">
    <cfRule type="expression" dxfId="126" priority="1" stopIfTrue="1">
      <formula>$J$48="超过30%"</formula>
    </cfRule>
  </conditionalFormatting>
  <conditionalFormatting sqref="E47">
    <cfRule type="expression" dxfId="12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38" sqref="C38"/>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t="e">
        <f>C26</f>
        <v>#DIV/0!</v>
      </c>
      <c r="C2" s="2723" t="s">
        <v>2812</v>
      </c>
      <c r="D2" s="2724" t="s">
        <v>2813</v>
      </c>
      <c r="E2" s="2725"/>
      <c r="F2" s="2724" t="s">
        <v>2814</v>
      </c>
      <c r="G2" s="2726">
        <f>IF(E2="商业",项目基本情况!B37,IF(E2="办公",项目基本情况!C37,IF(E2="住宅",项目基本情况!D37,项目基本情况!E37)))</f>
        <v>0</v>
      </c>
      <c r="H2" s="2724" t="s">
        <v>2815</v>
      </c>
      <c r="I2" s="2726">
        <f>IF(E2="商业",项目基本情况!B38,IF(E2="办公",项目基本情况!C38,IF(E2="住宅",项目基本情况!D38,项目基本情况!E38)))</f>
        <v>0</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2817</v>
      </c>
      <c r="B3" s="248" t="e">
        <f>ROUND(B2*10000/D1,0)</f>
        <v>#DIV/0!</v>
      </c>
      <c r="C3" s="2723" t="s">
        <v>2818</v>
      </c>
      <c r="D3" s="2724" t="s">
        <v>2819</v>
      </c>
      <c r="E3" s="2729"/>
      <c r="F3" s="2730" t="s">
        <v>2820</v>
      </c>
      <c r="G3" s="916">
        <f>IF(F3="宗地容积率",'数据-汇总表'!I4,IF(F3="估价对象容积率",'数据-汇总表'!I6,'数据-汇总表'!I7))</f>
        <v>3.5</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41"/>
      <c r="B4" s="3242"/>
      <c r="C4" s="3242"/>
      <c r="D4" s="3243"/>
      <c r="E4" s="3243"/>
      <c r="F4" s="3243"/>
      <c r="G4" s="3243"/>
      <c r="H4" s="3243"/>
      <c r="I4" s="3243"/>
      <c r="J4" s="3244"/>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7" t="e">
        <f>ROUND(IF(E2="商业",C6*C7+C16,(IF(E2="住宅",C6*C12+C16,C6+C16))),0)</f>
        <v>#DIV/0!</v>
      </c>
      <c r="D5" s="1787" t="e">
        <f>ROUND(IF(F17="增加",C6+C16,C6-C16),0)</f>
        <v>#DIV/0!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7"/>
      <c r="AD5" s="2738"/>
      <c r="AE5" s="2738"/>
      <c r="AF5" s="2738"/>
      <c r="AG5" s="2738"/>
      <c r="AH5" s="2738"/>
      <c r="AI5" s="2738"/>
      <c r="AJ5" s="2739"/>
    </row>
    <row r="6" spans="1:36" ht="15.75" thickBot="1">
      <c r="A6" s="2741" t="s">
        <v>2827</v>
      </c>
      <c r="B6" s="2742" t="s">
        <v>2828</v>
      </c>
      <c r="C6" s="918">
        <f>SUMIF(L1:L12,G2,M1:M12)</f>
        <v>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7"/>
      <c r="AD6" s="2738"/>
      <c r="AE6" s="2738"/>
      <c r="AF6" s="2738"/>
      <c r="AG6" s="2738"/>
      <c r="AH6" s="2738"/>
      <c r="AI6" s="2738"/>
      <c r="AJ6" s="2739"/>
    </row>
    <row r="7" spans="1:36" ht="24">
      <c r="A7" s="3245"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2834</v>
      </c>
      <c r="X7" s="1604">
        <f>G2</f>
        <v>0</v>
      </c>
      <c r="Y7" s="1604" t="s">
        <v>2835</v>
      </c>
      <c r="Z7" s="1605">
        <f>G3</f>
        <v>3.5</v>
      </c>
      <c r="AA7" s="1606"/>
      <c r="AB7" s="1606"/>
      <c r="AC7" s="1607"/>
      <c r="AD7" s="1608"/>
      <c r="AE7" s="1608"/>
      <c r="AF7" s="1608"/>
      <c r="AG7" s="1608"/>
      <c r="AH7" s="1608"/>
      <c r="AI7" s="1608"/>
      <c r="AJ7" s="1609"/>
    </row>
    <row r="8" spans="1:36" ht="15">
      <c r="A8" s="3246"/>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38" t="s">
        <v>2839</v>
      </c>
      <c r="X8" s="3239"/>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46"/>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40"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6"/>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4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6"/>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40" t="s">
        <v>2863</v>
      </c>
      <c r="X11" s="1614" t="s">
        <v>2864</v>
      </c>
      <c r="Y11" s="1615">
        <f>$G$3</f>
        <v>3.5</v>
      </c>
      <c r="Z11" s="1615">
        <f t="shared" ref="Z11:AJ11" si="3">$G$3</f>
        <v>3.5</v>
      </c>
      <c r="AA11" s="1615">
        <f t="shared" si="3"/>
        <v>3.5</v>
      </c>
      <c r="AB11" s="1615">
        <f t="shared" si="3"/>
        <v>3.5</v>
      </c>
      <c r="AC11" s="1615">
        <f t="shared" si="3"/>
        <v>3.5</v>
      </c>
      <c r="AD11" s="1615">
        <f t="shared" si="3"/>
        <v>3.5</v>
      </c>
      <c r="AE11" s="1615">
        <f t="shared" si="3"/>
        <v>3.5</v>
      </c>
      <c r="AF11" s="1615">
        <f t="shared" si="3"/>
        <v>3.5</v>
      </c>
      <c r="AG11" s="1615">
        <f t="shared" si="3"/>
        <v>3.5</v>
      </c>
      <c r="AH11" s="1615">
        <f t="shared" si="3"/>
        <v>3.5</v>
      </c>
      <c r="AI11" s="1615">
        <f t="shared" si="3"/>
        <v>3.5</v>
      </c>
      <c r="AJ11" s="1615">
        <f t="shared" si="3"/>
        <v>3.5</v>
      </c>
    </row>
    <row r="12" spans="1:36" ht="25.5" thickBot="1">
      <c r="A12" s="3245"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40"/>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47"/>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t="e">
        <f t="shared" si="0"/>
        <v>#DIV/0!</v>
      </c>
      <c r="U13" s="1603"/>
      <c r="V13" s="1602" t="e">
        <f t="shared" si="1"/>
        <v>#DIV/0!</v>
      </c>
      <c r="W13" s="3240"/>
      <c r="X13" s="1616"/>
      <c r="Y13" s="1613">
        <f>(-0.163*(Y12^2)-0.59*Y12+7617)*(10^(-4))/Y11</f>
        <v>0.21762857142857145</v>
      </c>
      <c r="Z13" s="1613">
        <f t="shared" ref="Z13:AJ13" si="5">(-0.163*(Z12^2)-0.59*Z12+7617)*(10^(-4))/Z11</f>
        <v>0.21762857142857145</v>
      </c>
      <c r="AA13" s="1613">
        <f t="shared" si="5"/>
        <v>0.21762857142857145</v>
      </c>
      <c r="AB13" s="1613">
        <f t="shared" si="5"/>
        <v>0.21762857142857145</v>
      </c>
      <c r="AC13" s="1613">
        <f t="shared" si="5"/>
        <v>0.21762857142857145</v>
      </c>
      <c r="AD13" s="1613">
        <f t="shared" si="5"/>
        <v>0.21762857142857145</v>
      </c>
      <c r="AE13" s="1613">
        <f t="shared" si="5"/>
        <v>0.21762857142857145</v>
      </c>
      <c r="AF13" s="1613">
        <f t="shared" si="5"/>
        <v>0.21762857142857145</v>
      </c>
      <c r="AG13" s="1613">
        <f t="shared" si="5"/>
        <v>0.21762857142857145</v>
      </c>
      <c r="AH13" s="1613">
        <f t="shared" si="5"/>
        <v>0.21762857142857145</v>
      </c>
      <c r="AI13" s="1613">
        <f t="shared" si="5"/>
        <v>0.21762857142857145</v>
      </c>
      <c r="AJ13" s="1613">
        <f t="shared" si="5"/>
        <v>0.21762857142857145</v>
      </c>
    </row>
    <row r="14" spans="1:36" ht="15">
      <c r="A14" s="3247"/>
      <c r="B14" s="2770"/>
      <c r="C14" s="2771"/>
      <c r="D14" s="2772"/>
      <c r="E14" s="2772"/>
      <c r="F14" s="2773"/>
      <c r="G14" s="2774" t="s">
        <v>2876</v>
      </c>
      <c r="H14" s="2775"/>
      <c r="I14" s="2776"/>
      <c r="J14" s="2777"/>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48"/>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5" t="s">
        <v>2882</v>
      </c>
      <c r="B16" s="2747" t="s">
        <v>2883</v>
      </c>
      <c r="C16" s="2937" t="e">
        <f>ROUND(IF(F17="与级别开发程度一致",0,(G17-E17)/C17),0)</f>
        <v>#DIV/0!</v>
      </c>
      <c r="D16" s="3259" t="s">
        <v>2887</v>
      </c>
      <c r="E16" s="3260"/>
      <c r="F16" s="3259" t="s">
        <v>2884</v>
      </c>
      <c r="G16" s="3260"/>
      <c r="H16" s="2781"/>
      <c r="I16" s="2781"/>
      <c r="J16" s="2941"/>
      <c r="K16" s="2781"/>
      <c r="L16" s="2781"/>
      <c r="M16" s="2781"/>
      <c r="N16" s="2781"/>
      <c r="O16" s="2782"/>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9"/>
      <c r="B17" s="2948" t="s">
        <v>2886</v>
      </c>
      <c r="C17" s="2949">
        <f>SUMPRODUCT((修正!A2:A5=E2)*(修正!B1:M1=G2)*(修正!B2:M5))</f>
        <v>0</v>
      </c>
      <c r="D17" s="229" t="str">
        <f>IF(OR(G2="八级",G2="九级",G2="十级",G2="十一级",G2="十二级"),"五通一平","七通一平")</f>
        <v>七通一平</v>
      </c>
      <c r="E17" s="2938">
        <f>SUMPRODUCT((修正!B1:M1=G2)*(修正!B15:M15))</f>
        <v>0</v>
      </c>
      <c r="F17" s="2939"/>
      <c r="G17" s="2940">
        <f>SUM(H17:O17)</f>
        <v>0</v>
      </c>
      <c r="H17" s="2949">
        <f>SUMPRODUCT((七通一平=H16)*(修正!B1:M1=G2)*(修正!B6:M14))</f>
        <v>0</v>
      </c>
      <c r="I17" s="2949">
        <f>SUMPRODUCT((七通一平=I16)*(修正!B1:M1=G2)*(修正!B6:M14))</f>
        <v>0</v>
      </c>
      <c r="J17" s="2950">
        <f>SUMPRODUCT((七通一平=J16)*(修正!B1:M1=G2)*(修正!B6:M14))</f>
        <v>0</v>
      </c>
      <c r="K17" s="2949">
        <f>SUMPRODUCT((七通一平=K16)*(修正!B1:M1=G2)*(修正!B6:M14))</f>
        <v>0</v>
      </c>
      <c r="L17" s="2949">
        <f>SUMPRODUCT((七通一平=L16)*(修正!B1:M1=G2)*(修正!B6:M14))</f>
        <v>0</v>
      </c>
      <c r="M17" s="2949">
        <f>SUMPRODUCT((七通一平=M16)*(修正!B1:M1=G2)*(修正!B6:M14))</f>
        <v>0</v>
      </c>
      <c r="N17" s="2949">
        <f>SUMPRODUCT((七通一平=N16)*(修正!B1:M1=G2)*(修正!B6:M14))</f>
        <v>0</v>
      </c>
      <c r="O17" s="2951">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42" t="s">
        <v>808</v>
      </c>
      <c r="B18" s="2943" t="s">
        <v>2889</v>
      </c>
      <c r="C18" s="2944">
        <f>SUMIF(修正!C18:C39,E3,修正!E18:E39)</f>
        <v>0</v>
      </c>
      <c r="D18" s="2945"/>
      <c r="E18" s="2946"/>
      <c r="F18" s="2946"/>
      <c r="G18" s="2946"/>
      <c r="H18" s="2946"/>
      <c r="I18" s="2946"/>
      <c r="J18" s="2947"/>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2890</v>
      </c>
      <c r="C19" s="924" t="e">
        <f>ROUND(IF(H19="按公示增长率计算",SUMPRODUCT((地价!A3:A26=YEAR(G19)&amp;"-"&amp;ROUNDUP(MONTH(G19)/3,0))*(地价!X2:AB2=E2)*(地价!X3:AB26)),IF(H19="地价指数",M20/M19,(1+I19)^O19)),4)</f>
        <v>#DIV/0!</v>
      </c>
      <c r="D19" s="2791" t="s">
        <v>2891</v>
      </c>
      <c r="E19" s="925">
        <v>41640</v>
      </c>
      <c r="F19" s="2791" t="s">
        <v>2892</v>
      </c>
      <c r="G19" s="926">
        <f>'数据-取费表'!B2</f>
        <v>43573</v>
      </c>
      <c r="H19" s="2792" t="s">
        <v>2893</v>
      </c>
      <c r="I19" s="927" t="str">
        <f>IF(H19="季度增幅（自定义）",SUMIF(N21:N24,E2,O21:O24),"")</f>
        <v/>
      </c>
      <c r="J19" s="2789"/>
      <c r="K19" s="1377"/>
      <c r="L19" s="2793" t="s">
        <v>2894</v>
      </c>
      <c r="M19" s="1734">
        <f>ROUND(SUMIF(地价!B2:F2,E2,地价!B26:F26),0)</f>
        <v>0</v>
      </c>
      <c r="N19" s="2794" t="s">
        <v>2895</v>
      </c>
      <c r="O19" s="928">
        <f>ROUNDDOWN(DATEDIF(E19,G19,"M")/3,0)</f>
        <v>21</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2896</v>
      </c>
      <c r="C20" s="929" t="e">
        <f>ROUND(POWER(1+G20,J20-I20)*(POWER(1+G20,I20)-1)/(POWER(1+G20,J20)-1),4)</f>
        <v>#DIV/0!</v>
      </c>
      <c r="D20" s="2800" t="s">
        <v>2897</v>
      </c>
      <c r="E20" s="1768">
        <f ca="1">存贷款利率!D4/100</f>
        <v>4.3499999999999997E-2</v>
      </c>
      <c r="F20" s="2800" t="s">
        <v>2888</v>
      </c>
      <c r="G20" s="934">
        <f>SUMIF(M26:P26,E2,M28:P28)</f>
        <v>0</v>
      </c>
      <c r="H20" s="2800" t="s">
        <v>2898</v>
      </c>
      <c r="I20" s="935" t="e">
        <f>SUMIF('数据-取费表'!C6:C15,E2,'数据-取费表'!F6:F15)/COUNTIF('数据-取费表'!C6:C15,E2)</f>
        <v>#DIV/0!</v>
      </c>
      <c r="J20" s="936">
        <f>IF(E2="住宅",70,IF(E2="商业",40,50))</f>
        <v>50</v>
      </c>
      <c r="K20" s="1377"/>
      <c r="L20" s="2801" t="s">
        <v>2899</v>
      </c>
      <c r="M20" s="1735">
        <f>ROUND(SUMPRODUCT((地价!A4:A26=YEAR(G19)&amp;"-"&amp;ROUNDUP(MONTH(G19)/3,0))*(地价!B2:F2=E2)*(地价!B4:F26)),0)</f>
        <v>0</v>
      </c>
      <c r="N20" s="2802" t="s">
        <v>2900</v>
      </c>
      <c r="O20" s="2803" t="s">
        <v>2901</v>
      </c>
      <c r="P20" s="2804" t="s">
        <v>2902</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2903</v>
      </c>
      <c r="C21" s="937">
        <f>IF(B21="容积率修正",IF(G3&lt;=10,D22,J22),C23)</f>
        <v>0</v>
      </c>
      <c r="D21" s="2807"/>
      <c r="E21" s="2807"/>
      <c r="F21" s="2807"/>
      <c r="G21" s="2807"/>
      <c r="H21" s="2807"/>
      <c r="I21" s="2807"/>
      <c r="J21" s="2808"/>
      <c r="K21" s="1377"/>
      <c r="N21" s="2809" t="s">
        <v>2904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0" customFormat="1" ht="14.25">
      <c r="A22" s="2666" t="s">
        <v>2905</v>
      </c>
      <c r="B22" s="2810" t="s">
        <v>2906</v>
      </c>
      <c r="C22" s="1810" t="s">
        <v>2907</v>
      </c>
      <c r="D22" s="1810" t="b">
        <f>IF(E22=G22,F22,IF(G3&lt;=10,ROUND(F22+(H22-F22)*(G3-E22)/(G22-E22),4),"——"))</f>
        <v>0</v>
      </c>
      <c r="E22" s="916">
        <f>ROUNDDOWN(G3,1)</f>
        <v>3.5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9" t="s">
        <v>2908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6" t="s">
        <v>2909</v>
      </c>
      <c r="B23" s="2811" t="s">
        <v>2910</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2911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2912</v>
      </c>
      <c r="C24" s="924">
        <f>SUMIF(A45:A88,E2,B45:B88)</f>
        <v>0</v>
      </c>
      <c r="D24" s="2788"/>
      <c r="E24" s="2817"/>
      <c r="F24" s="2817"/>
      <c r="G24" s="2817"/>
      <c r="H24" s="2817"/>
      <c r="I24" s="2817"/>
      <c r="J24" s="2818"/>
      <c r="K24" s="1377"/>
      <c r="N24" s="2819" t="s">
        <v>2913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2914</v>
      </c>
      <c r="C25" s="930"/>
      <c r="D25" s="2750"/>
      <c r="E25" s="2750"/>
      <c r="F25" s="2821"/>
      <c r="G25" s="2750"/>
      <c r="H25" s="2750"/>
      <c r="I25" s="2750"/>
      <c r="J25" s="2751"/>
      <c r="K25" s="1370"/>
      <c r="N25" s="2822" t="s">
        <v>2915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3"/>
      <c r="B26" s="2810" t="s">
        <v>2916</v>
      </c>
      <c r="C26" s="206" t="e">
        <f>E29+SUM(E33:E39)</f>
        <v>#DIV/0!</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5.75" thickBot="1">
      <c r="A27" s="2823"/>
      <c r="B27" s="2827" t="s">
        <v>2917</v>
      </c>
      <c r="C27" s="931" t="e">
        <f>E30+SUM(I33:I39)</f>
        <v>#DIV/0!</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2918</v>
      </c>
      <c r="C28" s="2834" t="s">
        <v>2919</v>
      </c>
      <c r="D28" s="2834" t="s">
        <v>2920</v>
      </c>
      <c r="E28" s="2835" t="s">
        <v>2921</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2922</v>
      </c>
      <c r="C29" s="206" t="e">
        <f>ROUND(C5*C18*C19*C20*C21*C24,0)</f>
        <v>#DIV/0!</v>
      </c>
      <c r="D29" s="2839"/>
      <c r="E29" s="942" t="e">
        <f>ROUND(C29*D29/10000,0)</f>
        <v>#DIV/0!</v>
      </c>
      <c r="F29" s="2840" t="s">
        <v>2923</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2924</v>
      </c>
      <c r="C30" s="229" t="e">
        <f>ROUND(IF(E2="工业",C29*M39,C29*M38),0)</f>
        <v>#DIV/0!</v>
      </c>
      <c r="D30" s="2845"/>
      <c r="E30" s="942" t="e">
        <f>ROUND(C30*D30/10000,0)</f>
        <v>#DIV/0!</v>
      </c>
      <c r="F30" s="2846" t="s">
        <v>2925</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2926</v>
      </c>
      <c r="C31" s="2851" t="s">
        <v>2927</v>
      </c>
      <c r="D31" s="2763"/>
      <c r="E31" s="2851"/>
      <c r="F31" s="2851"/>
      <c r="G31" s="2761" t="s">
        <v>2928</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2919</v>
      </c>
      <c r="D32" s="498" t="s">
        <v>2920</v>
      </c>
      <c r="E32" s="498" t="s">
        <v>2921</v>
      </c>
      <c r="F32" s="388" t="s">
        <v>2929</v>
      </c>
      <c r="G32" s="2854" t="s">
        <v>2919</v>
      </c>
      <c r="H32" s="2854" t="s">
        <v>2920</v>
      </c>
      <c r="I32" s="2854"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56" t="s">
        <v>2930</v>
      </c>
      <c r="B33" s="2855" t="s">
        <v>2931</v>
      </c>
      <c r="C33" s="206" t="e">
        <f>ROUND(D5*C19*C20*C24*F33,0)</f>
        <v>#DIV/0!</v>
      </c>
      <c r="D33" s="2839"/>
      <c r="E33" s="200" t="e">
        <f>ROUND(C33*D33/10000,0)</f>
        <v>#DIV/0!</v>
      </c>
      <c r="F33" s="200">
        <f>SUMIF(修正!A45:A56,G2,修正!B45:B56)</f>
        <v>0</v>
      </c>
      <c r="G33" s="200" t="e">
        <f t="shared" ref="G33" si="6">ROUND(IF(E2="工业",C33*$M$39,C33*$M$38),0)</f>
        <v>#DIV/0!</v>
      </c>
      <c r="H33" s="200">
        <f>D33</f>
        <v>0</v>
      </c>
      <c r="I33" s="200" t="e">
        <f>ROUND(G33*H33/10000,0)</f>
        <v>#DIV/0!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7"/>
      <c r="B34" s="2767" t="s">
        <v>2932</v>
      </c>
      <c r="C34" s="206" t="e">
        <f>ROUND(D5*C19*C20*C24*F34,0)</f>
        <v>#DIV/0!</v>
      </c>
      <c r="D34" s="283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7"/>
      <c r="B35" s="2767" t="s">
        <v>2933</v>
      </c>
      <c r="C35" s="206" t="e">
        <f>ROUND(D5*C19*C20*C24*F35,0)</f>
        <v>#DIV/0!</v>
      </c>
      <c r="D35" s="2839"/>
      <c r="E35" s="200" t="e">
        <f t="shared" si="7"/>
        <v>#DIV/0!</v>
      </c>
      <c r="F35" s="200">
        <f>SUMIF(修正!A45:A56,G2,修正!D45:D56)</f>
        <v>0</v>
      </c>
      <c r="G35" s="200" t="e">
        <f>ROUND(IF(E2="工业",C35*$M$39,C35*$M$38),0)</f>
        <v>#DIV/0!</v>
      </c>
      <c r="H35" s="200">
        <f t="shared" si="8"/>
        <v>0</v>
      </c>
      <c r="I35" s="200" t="e">
        <f t="shared" si="9"/>
        <v>#DIV/0!</v>
      </c>
      <c r="J35" s="2856"/>
      <c r="K35" s="1370"/>
      <c r="L35" s="1370"/>
      <c r="M35" s="1370"/>
      <c r="N35" s="1370"/>
      <c r="O35" s="1370"/>
      <c r="P35" s="1370"/>
      <c r="Q35" s="1370"/>
      <c r="R35" s="1370"/>
      <c r="S35" s="1370"/>
      <c r="T35" s="1370"/>
      <c r="U35" s="1370"/>
      <c r="V35" s="1370"/>
      <c r="W35" s="1370"/>
      <c r="X35" s="1370"/>
      <c r="Y35" s="1370"/>
      <c r="Z35" s="1371"/>
    </row>
    <row r="36" spans="1:37" ht="13.5" thickBot="1">
      <c r="A36" s="3258"/>
      <c r="B36" s="2767" t="s">
        <v>2934</v>
      </c>
      <c r="C36" s="206" t="e">
        <f>ROUND(D5*C19*C20*C24*F36,0)</f>
        <v>#DIV/0!</v>
      </c>
      <c r="D36" s="2839"/>
      <c r="E36" s="200" t="e">
        <f t="shared" si="7"/>
        <v>#DIV/0!</v>
      </c>
      <c r="F36" s="200">
        <f>SUMIF(修正!A45:A56,G2,修正!E45:E56)</f>
        <v>0</v>
      </c>
      <c r="G36" s="200" t="e">
        <f>ROUND(IF(E2="工业",C36*$M$39,C36*$M$38),0)</f>
        <v>#DIV/0!</v>
      </c>
      <c r="H36" s="200">
        <f t="shared" si="8"/>
        <v>0</v>
      </c>
      <c r="I36" s="200" t="e">
        <f t="shared" si="9"/>
        <v>#DIV/0!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2935</v>
      </c>
      <c r="C37" s="200" t="e">
        <f>ROUND(D5*C19*C20*C24*F37,0)</f>
        <v>#DIV/0!</v>
      </c>
      <c r="D37" s="2839"/>
      <c r="E37" s="200" t="e">
        <f t="shared" si="7"/>
        <v>#DIV/0!</v>
      </c>
      <c r="F37" s="206">
        <f>SUMIF(修正!A45:A56,G2,修正!F45:F56)</f>
        <v>0</v>
      </c>
      <c r="G37" s="200" t="e">
        <f>ROUND(IF(E2="工业",C37*$M$39,C37*$M$38),0)</f>
        <v>#DIV/0!</v>
      </c>
      <c r="H37" s="200">
        <f t="shared" si="8"/>
        <v>0</v>
      </c>
      <c r="I37" s="200" t="e">
        <f t="shared" si="9"/>
        <v>#DIV/0!</v>
      </c>
      <c r="J37" s="2856"/>
      <c r="K37" s="1370"/>
      <c r="L37" s="2858" t="s">
        <v>2936</v>
      </c>
      <c r="M37" s="2859"/>
      <c r="N37" s="1370"/>
      <c r="O37" s="1370"/>
      <c r="P37" s="1370"/>
      <c r="Q37" s="1370"/>
      <c r="R37" s="1370"/>
      <c r="S37" s="1370"/>
      <c r="T37" s="1370"/>
      <c r="U37" s="1370"/>
      <c r="V37" s="1370"/>
      <c r="W37" s="1370"/>
      <c r="X37" s="1370"/>
      <c r="Y37" s="1370"/>
      <c r="Z37" s="1371"/>
    </row>
    <row r="38" spans="1:37">
      <c r="A38" s="2857"/>
      <c r="B38" s="2767" t="s">
        <v>2937</v>
      </c>
      <c r="C38" s="200" t="e">
        <f>ROUND(D5*C19*C41*C24*F38,0)</f>
        <v>#DIV/0!</v>
      </c>
      <c r="D38" s="2839"/>
      <c r="E38" s="200" t="e">
        <f t="shared" si="7"/>
        <v>#DIV/0!</v>
      </c>
      <c r="F38" s="206">
        <f>SUMIF(修正!A45:A56,G2,修正!G45:G56)</f>
        <v>0</v>
      </c>
      <c r="G38" s="200" t="e">
        <f>ROUND(IF(E2="工业",C38*$M$39,C38*$M$38),0)</f>
        <v>#DIV/0!</v>
      </c>
      <c r="H38" s="200">
        <f t="shared" si="8"/>
        <v>0</v>
      </c>
      <c r="I38" s="200" t="e">
        <f t="shared" si="9"/>
        <v>#DIV/0!</v>
      </c>
      <c r="J38" s="2856"/>
      <c r="K38" s="1370"/>
      <c r="L38" s="1887" t="s">
        <v>2938</v>
      </c>
      <c r="M38" s="2860">
        <v>0.25</v>
      </c>
      <c r="N38" s="1370"/>
      <c r="O38" s="1370"/>
      <c r="P38" s="1370"/>
      <c r="Q38" s="1370"/>
      <c r="R38" s="1370"/>
      <c r="S38" s="1370"/>
      <c r="T38" s="1370"/>
      <c r="U38" s="1370"/>
      <c r="V38" s="1370"/>
      <c r="W38" s="1370"/>
      <c r="X38" s="1370"/>
      <c r="Y38" s="1370"/>
      <c r="Z38" s="1371"/>
    </row>
    <row r="39" spans="1:37" ht="13.5" thickBot="1">
      <c r="A39" s="2843"/>
      <c r="B39" s="2861" t="s">
        <v>2939</v>
      </c>
      <c r="C39" s="229" t="e">
        <f>ROUND(D5*C19*C41*C24*F39,0)</f>
        <v>#DIV/0!</v>
      </c>
      <c r="D39" s="2845"/>
      <c r="E39" s="229" t="e">
        <f t="shared" si="7"/>
        <v>#DIV/0!</v>
      </c>
      <c r="F39" s="932">
        <f>SUMIF(修正!A45:A56,G2,修正!H45:H56)</f>
        <v>0</v>
      </c>
      <c r="G39" s="229" t="e">
        <f>ROUND(IF(E2="工业",C39*$M$39,C39*$M$38),0)</f>
        <v>#DIV/0!</v>
      </c>
      <c r="H39" s="229">
        <f t="shared" si="8"/>
        <v>0</v>
      </c>
      <c r="I39" s="229" t="e">
        <f t="shared" si="9"/>
        <v>#DIV/0!</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3050</v>
      </c>
      <c r="C41" s="388" t="e">
        <f>ROUND(POWER(1+E41,H41-G41)*(POWER(1+E41,G41)-1)/(POWER(1+E41,H41)-1),4)</f>
        <v>#DIV/0!</v>
      </c>
      <c r="D41" s="200" t="s">
        <v>2888</v>
      </c>
      <c r="E41" s="2931">
        <f>G20</f>
        <v>0</v>
      </c>
      <c r="F41" s="200" t="s">
        <v>2898</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2940</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2941</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2942</v>
      </c>
      <c r="B47" s="1809" t="s">
        <v>2943</v>
      </c>
      <c r="C47" s="1809" t="s">
        <v>2944</v>
      </c>
      <c r="D47" s="1809" t="s">
        <v>2945</v>
      </c>
      <c r="E47" s="819" t="s">
        <v>2946</v>
      </c>
      <c r="F47" s="2873" t="s">
        <v>2947</v>
      </c>
      <c r="G47" s="1809" t="s">
        <v>754</v>
      </c>
      <c r="H47" s="2874" t="s">
        <v>2948</v>
      </c>
      <c r="I47" s="1809" t="s">
        <v>2949</v>
      </c>
      <c r="J47" s="603" t="s">
        <v>2597</v>
      </c>
      <c r="K47" s="603" t="s">
        <v>2598</v>
      </c>
      <c r="L47" s="603" t="s">
        <v>2599</v>
      </c>
      <c r="M47" s="603" t="s">
        <v>2600</v>
      </c>
      <c r="N47" s="603" t="s">
        <v>2601</v>
      </c>
      <c r="AA47" s="1371"/>
      <c r="AB47" s="1371"/>
      <c r="AC47" s="1371"/>
      <c r="AD47" s="1371"/>
      <c r="AE47" s="1371"/>
      <c r="AF47" s="1371"/>
      <c r="AG47" s="1371"/>
      <c r="AH47" s="1371"/>
      <c r="AI47" s="1371"/>
      <c r="AJ47" s="1371"/>
      <c r="AK47" s="1371"/>
    </row>
    <row r="48" spans="1:37" s="1370" customFormat="1" ht="38.25">
      <c r="A48" s="2872" t="s">
        <v>2950</v>
      </c>
      <c r="B48" s="2875" t="str">
        <f>估价对象房地状况!C4</f>
        <v>估价对象位于XX商圈，周边商业氛围成熟，人流量大，商业繁华度好</v>
      </c>
      <c r="C48" s="2772"/>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2951</v>
      </c>
      <c r="B49" s="2876" t="str">
        <f>估价对象房地状况!C18</f>
        <v>估价对象周边道路状况、公共交通通达情况、停车便捷程度，综合评价交通便捷度较好</v>
      </c>
      <c r="C49" s="2772"/>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2952</v>
      </c>
      <c r="B50" s="2876">
        <f>估价对象房地状况!C19</f>
        <v>0</v>
      </c>
      <c r="C50" s="2772"/>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2953</v>
      </c>
      <c r="B51" s="2877" t="s">
        <v>2954</v>
      </c>
      <c r="C51" s="2772"/>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2955</v>
      </c>
      <c r="B52" s="2876">
        <f>估价对象房地状况!C24</f>
        <v>0</v>
      </c>
      <c r="C52" s="2772"/>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2956</v>
      </c>
      <c r="B53" s="2878" t="s">
        <v>2957</v>
      </c>
      <c r="C53" s="2772"/>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2958</v>
      </c>
      <c r="B54" s="1725" t="str">
        <f>估价对象房地状况!C21</f>
        <v>估价对象所在区域公共配套设施齐备情况</v>
      </c>
      <c r="C54" s="2772"/>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2959</v>
      </c>
      <c r="B55" s="2876" t="str">
        <f>估价对象房地状况!C22</f>
        <v>估价对象所在区域基础设施水平</v>
      </c>
      <c r="C55" s="2772"/>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2960</v>
      </c>
      <c r="B56" s="2881" t="str">
        <f>估价对象房地状况!C20</f>
        <v>区域自然环境：；人文环境；综合评价环境状况一般</v>
      </c>
      <c r="C56" s="2772"/>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2961</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2942</v>
      </c>
      <c r="B58" s="1809"/>
      <c r="C58" s="1809" t="s">
        <v>2944</v>
      </c>
      <c r="D58" s="1809" t="s">
        <v>2945</v>
      </c>
      <c r="E58" s="819" t="s">
        <v>2946</v>
      </c>
      <c r="F58" s="2873" t="s">
        <v>2962</v>
      </c>
      <c r="G58" s="1809" t="s">
        <v>754</v>
      </c>
      <c r="H58" s="2874" t="s">
        <v>2948</v>
      </c>
      <c r="I58" s="1809" t="s">
        <v>2949</v>
      </c>
      <c r="J58" s="603" t="s">
        <v>2597</v>
      </c>
      <c r="K58" s="603" t="s">
        <v>2598</v>
      </c>
      <c r="L58" s="603" t="s">
        <v>2599</v>
      </c>
      <c r="M58" s="603" t="s">
        <v>2600</v>
      </c>
      <c r="N58" s="603" t="s">
        <v>2601</v>
      </c>
      <c r="AA58" s="1371"/>
      <c r="AB58" s="1371"/>
      <c r="AC58" s="1371"/>
      <c r="AD58" s="1371"/>
      <c r="AE58" s="1371"/>
      <c r="AF58" s="1371"/>
      <c r="AG58" s="1371"/>
      <c r="AH58" s="1371"/>
      <c r="AI58" s="1371"/>
      <c r="AJ58" s="1371"/>
      <c r="AK58" s="1371"/>
    </row>
    <row r="59" spans="1:37" s="1370" customFormat="1" ht="38.25">
      <c r="A59" s="2872" t="s">
        <v>2963</v>
      </c>
      <c r="B59" s="2875" t="str">
        <f>估价对象房地状况!C17</f>
        <v>估价对象位于XX商圈，周边办公楼项目较多，入驻率高，办公集聚程度较好</v>
      </c>
      <c r="C59" s="2772"/>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2951</v>
      </c>
      <c r="B60" s="2876" t="str">
        <f>估价对象房地状况!C18</f>
        <v>估价对象周边道路状况、公共交通通达情况、停车便捷程度，综合评价交通便捷度较好</v>
      </c>
      <c r="C60" s="2772"/>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2952</v>
      </c>
      <c r="B61" s="2876">
        <f>估价对象房地状况!C19</f>
        <v>0</v>
      </c>
      <c r="C61" s="2772"/>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2953</v>
      </c>
      <c r="B62" s="2877" t="s">
        <v>2954</v>
      </c>
      <c r="C62" s="2772"/>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2955</v>
      </c>
      <c r="B63" s="2876">
        <f>估价对象房地状况!C24</f>
        <v>0</v>
      </c>
      <c r="C63" s="2772"/>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2956</v>
      </c>
      <c r="B64" s="2878" t="s">
        <v>2957</v>
      </c>
      <c r="C64" s="2772"/>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2958</v>
      </c>
      <c r="B65" s="1725" t="str">
        <f>估价对象房地状况!C21</f>
        <v>估价对象所在区域公共配套设施齐备情况</v>
      </c>
      <c r="C65" s="2772"/>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2959</v>
      </c>
      <c r="B66" s="1725" t="str">
        <f>估价对象房地状况!C22</f>
        <v>估价对象所在区域基础设施水平</v>
      </c>
      <c r="C66" s="2772"/>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2960</v>
      </c>
      <c r="B67" s="2882" t="str">
        <f>估价对象房地状况!C20</f>
        <v>区域自然环境：；人文环境；综合评价环境状况一般</v>
      </c>
      <c r="C67" s="2772"/>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2964</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2942</v>
      </c>
      <c r="B69" s="1809"/>
      <c r="C69" s="1809" t="s">
        <v>2944</v>
      </c>
      <c r="D69" s="1809" t="s">
        <v>2945</v>
      </c>
      <c r="E69" s="819" t="s">
        <v>2946</v>
      </c>
      <c r="F69" s="2873" t="s">
        <v>2962</v>
      </c>
      <c r="G69" s="1809" t="s">
        <v>754</v>
      </c>
      <c r="H69" s="2874" t="s">
        <v>2948</v>
      </c>
      <c r="I69" s="1809" t="s">
        <v>2949</v>
      </c>
      <c r="J69" s="603" t="s">
        <v>2597</v>
      </c>
      <c r="K69" s="603" t="s">
        <v>2598</v>
      </c>
      <c r="L69" s="603" t="s">
        <v>2599</v>
      </c>
      <c r="M69" s="603" t="s">
        <v>2600</v>
      </c>
      <c r="N69" s="603" t="s">
        <v>2601</v>
      </c>
      <c r="AA69" s="1371"/>
      <c r="AB69" s="1371"/>
      <c r="AC69" s="1371"/>
      <c r="AD69" s="1371"/>
      <c r="AE69" s="1371"/>
      <c r="AF69" s="1371"/>
      <c r="AG69" s="1371"/>
      <c r="AH69" s="1371"/>
      <c r="AI69" s="1371"/>
      <c r="AJ69" s="1371"/>
      <c r="AK69" s="1371"/>
    </row>
    <row r="70" spans="1:37" s="1370" customFormat="1" ht="51">
      <c r="A70" s="2872" t="s">
        <v>2965</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2951</v>
      </c>
      <c r="B71" s="2876" t="str">
        <f>估价对象房地状况!C18</f>
        <v>估价对象周边道路状况、公共交通通达情况、停车便捷程度，综合评价交通便捷度较好</v>
      </c>
      <c r="C71" s="2772"/>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2952</v>
      </c>
      <c r="B72" s="2876">
        <f>估价对象房地状况!C19</f>
        <v>0</v>
      </c>
      <c r="C72" s="2772"/>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2966</v>
      </c>
      <c r="B73" s="2876">
        <f>估价对象房地状况!C24</f>
        <v>0</v>
      </c>
      <c r="C73" s="2772"/>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2958</v>
      </c>
      <c r="B74" s="1725" t="str">
        <f>估价对象房地状况!C21</f>
        <v>估价对象所在区域公共配套设施齐备情况</v>
      </c>
      <c r="C74" s="2772"/>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2959</v>
      </c>
      <c r="B75" s="1725" t="str">
        <f>估价对象房地状况!C22</f>
        <v>估价对象所在区域基础设施水平</v>
      </c>
      <c r="C75" s="2772"/>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2956</v>
      </c>
      <c r="B76" s="2878" t="s">
        <v>2957</v>
      </c>
      <c r="C76" s="2772"/>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2960</v>
      </c>
      <c r="B77" s="2875" t="str">
        <f>估价对象房地状况!C20</f>
        <v>区域自然环境：；人文环境；综合评价环境状况一般</v>
      </c>
      <c r="C77" s="2772"/>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2967</v>
      </c>
      <c r="B78" s="2884"/>
      <c r="C78" s="2772"/>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2968</v>
      </c>
      <c r="B79" s="2869">
        <f>1+E81</f>
        <v>1</v>
      </c>
      <c r="C79" s="814"/>
      <c r="D79" s="814"/>
      <c r="E79" s="815"/>
      <c r="F79" s="2871"/>
      <c r="G79" s="6"/>
      <c r="H79" s="6"/>
      <c r="I79" s="6"/>
      <c r="J79" s="7"/>
      <c r="K79" s="7"/>
      <c r="L79" s="7"/>
      <c r="M79" s="7"/>
      <c r="N79" s="7"/>
      <c r="Z79" s="2722"/>
      <c r="AA79" s="2790"/>
      <c r="AG79" s="1372"/>
      <c r="AK79" s="2790"/>
    </row>
    <row r="80" spans="1:37" ht="24.75">
      <c r="A80" s="2872" t="s">
        <v>2942</v>
      </c>
      <c r="B80" s="1809"/>
      <c r="C80" s="1809" t="s">
        <v>2944</v>
      </c>
      <c r="D80" s="1809" t="s">
        <v>2945</v>
      </c>
      <c r="E80" s="819" t="s">
        <v>2946</v>
      </c>
      <c r="F80" s="2873" t="s">
        <v>2962</v>
      </c>
      <c r="G80" s="1809" t="s">
        <v>754</v>
      </c>
      <c r="H80" s="2874" t="s">
        <v>2948</v>
      </c>
      <c r="I80" s="1809" t="s">
        <v>2949</v>
      </c>
      <c r="J80" s="603" t="s">
        <v>2597</v>
      </c>
      <c r="K80" s="603" t="s">
        <v>2598</v>
      </c>
      <c r="L80" s="603" t="s">
        <v>2599</v>
      </c>
      <c r="M80" s="603" t="s">
        <v>2600</v>
      </c>
      <c r="N80" s="603" t="s">
        <v>2601</v>
      </c>
      <c r="Z80" s="2722"/>
      <c r="AA80" s="2790"/>
      <c r="AG80" s="1372"/>
      <c r="AK80" s="2790"/>
    </row>
    <row r="81" spans="1:37" ht="38.25">
      <c r="A81" s="2872" t="s">
        <v>2969</v>
      </c>
      <c r="B81" s="2876" t="str">
        <f>估价对象房地状况!G15</f>
        <v>估价对象位于XX开发区，园区建设成熟度XX，产业集聚程度XX</v>
      </c>
      <c r="C81" s="2772"/>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2"/>
      <c r="AA81" s="2790"/>
      <c r="AG81" s="1372"/>
      <c r="AK81" s="2790"/>
    </row>
    <row r="82" spans="1:37" ht="51">
      <c r="A82" s="2872" t="s">
        <v>2951</v>
      </c>
      <c r="B82" s="2876" t="str">
        <f>估价对象房地状况!G16</f>
        <v>估价对象周边道路状况、公共交通通达情况、停车便捷程度，综合评价交通便捷度较好</v>
      </c>
      <c r="C82" s="2772"/>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2"/>
      <c r="AA82" s="2790"/>
      <c r="AG82" s="1372"/>
      <c r="AK82" s="2790"/>
    </row>
    <row r="83" spans="1:37" ht="24">
      <c r="A83" s="2872" t="s">
        <v>2952</v>
      </c>
      <c r="B83" s="2876">
        <f>估价对象房地状况!G17</f>
        <v>0</v>
      </c>
      <c r="C83" s="2772"/>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2"/>
      <c r="AA83" s="2790"/>
      <c r="AG83" s="1372"/>
      <c r="AK83" s="2790"/>
    </row>
    <row r="84" spans="1:37" ht="14.25">
      <c r="A84" s="2872" t="s">
        <v>2966</v>
      </c>
      <c r="B84" s="2876">
        <f>估价对象房地状况!G22</f>
        <v>0</v>
      </c>
      <c r="C84" s="2772"/>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2"/>
      <c r="AA84" s="2790"/>
      <c r="AG84" s="1372"/>
      <c r="AK84" s="2790"/>
    </row>
    <row r="85" spans="1:37" ht="25.5">
      <c r="A85" s="2872" t="s">
        <v>2958</v>
      </c>
      <c r="B85" s="1725" t="str">
        <f>估价对象房地状况!G19</f>
        <v>估价对象所在区域公共配套设施齐备情况</v>
      </c>
      <c r="C85" s="2772"/>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2"/>
      <c r="AA85" s="2790"/>
      <c r="AG85" s="1372"/>
      <c r="AK85" s="2790"/>
    </row>
    <row r="86" spans="1:37" ht="25.5">
      <c r="A86" s="2872" t="s">
        <v>2959</v>
      </c>
      <c r="B86" s="1725" t="str">
        <f>估价对象房地状况!G20</f>
        <v>估价对象所在区域基础设施水平</v>
      </c>
      <c r="C86" s="2772"/>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2"/>
      <c r="AA86" s="2790"/>
      <c r="AG86" s="1372"/>
      <c r="AK86" s="2790"/>
    </row>
    <row r="87" spans="1:37" ht="24">
      <c r="A87" s="2872" t="s">
        <v>2956</v>
      </c>
      <c r="B87" s="2878" t="s">
        <v>2970</v>
      </c>
      <c r="C87" s="2772"/>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2"/>
      <c r="AA87" s="2790"/>
      <c r="AG87" s="1372"/>
      <c r="AK87" s="2790"/>
    </row>
    <row r="88" spans="1:37" ht="39" thickBot="1">
      <c r="A88" s="2880" t="s">
        <v>2971</v>
      </c>
      <c r="B88" s="2885" t="str">
        <f>估价对象房地状况!G18</f>
        <v>该园区内是否有污染型企业，绿化情况，卫生条件，整体环境状况判断</v>
      </c>
      <c r="C88" s="2772"/>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2"/>
      <c r="AA88" s="2790"/>
      <c r="AG88" s="1372"/>
      <c r="AK88" s="2790"/>
    </row>
    <row r="90" spans="1:37">
      <c r="A90" s="3250" t="s">
        <v>2972</v>
      </c>
      <c r="B90" s="3250"/>
      <c r="C90" s="3250"/>
      <c r="D90" s="3250"/>
      <c r="E90" s="3250"/>
      <c r="F90" s="3250"/>
      <c r="G90" s="3250"/>
      <c r="H90" s="3250"/>
      <c r="I90" s="3250"/>
      <c r="J90" s="3250"/>
      <c r="K90" s="2886"/>
      <c r="L90" s="2886"/>
      <c r="M90" s="2886"/>
      <c r="N90" s="2886"/>
    </row>
    <row r="91" spans="1:37">
      <c r="A91" s="3252" t="s">
        <v>2973</v>
      </c>
      <c r="B91" s="3252" t="s">
        <v>2974</v>
      </c>
      <c r="C91" s="2840" t="s">
        <v>2975</v>
      </c>
      <c r="D91" s="2841"/>
      <c r="E91" s="2841"/>
      <c r="F91" s="2841"/>
      <c r="G91" s="2841"/>
      <c r="H91" s="2841"/>
      <c r="I91" s="2841"/>
      <c r="J91" s="2887"/>
      <c r="K91" s="2888"/>
      <c r="L91" s="2888"/>
      <c r="M91" s="2888"/>
      <c r="N91" s="2888"/>
    </row>
    <row r="92" spans="1:37">
      <c r="A92" s="3252"/>
      <c r="B92" s="3252"/>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53"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5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5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5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5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5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54"/>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55"/>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53" t="s">
        <v>2977</v>
      </c>
      <c r="B101" s="2893" t="s">
        <v>2978</v>
      </c>
      <c r="C101" s="2894">
        <f>$G$3</f>
        <v>3.5</v>
      </c>
      <c r="D101" s="2894">
        <f t="shared" ref="D101:N101" si="31">$G$3</f>
        <v>3.5</v>
      </c>
      <c r="E101" s="2894">
        <f t="shared" si="31"/>
        <v>3.5</v>
      </c>
      <c r="F101" s="2894">
        <f t="shared" si="31"/>
        <v>3.5</v>
      </c>
      <c r="G101" s="2894">
        <f t="shared" si="31"/>
        <v>3.5</v>
      </c>
      <c r="H101" s="2894">
        <f t="shared" si="31"/>
        <v>3.5</v>
      </c>
      <c r="I101" s="2894">
        <f t="shared" si="31"/>
        <v>3.5</v>
      </c>
      <c r="J101" s="2894">
        <f t="shared" si="31"/>
        <v>3.5</v>
      </c>
      <c r="K101" s="2894">
        <f t="shared" si="31"/>
        <v>3.5</v>
      </c>
      <c r="L101" s="2894">
        <f t="shared" si="31"/>
        <v>3.5</v>
      </c>
      <c r="M101" s="2894">
        <f t="shared" si="31"/>
        <v>3.5</v>
      </c>
      <c r="N101" s="2894">
        <f t="shared" si="31"/>
        <v>3.5</v>
      </c>
    </row>
    <row r="102" spans="1:14">
      <c r="A102" s="3254"/>
      <c r="B102" s="2889">
        <v>1</v>
      </c>
      <c r="C102" s="2890">
        <f>1.9362/C101</f>
        <v>0.55320000000000003</v>
      </c>
      <c r="D102" s="2890">
        <f>1.9362/D101</f>
        <v>0.55320000000000003</v>
      </c>
      <c r="E102" s="2890">
        <f>1.8629/E101</f>
        <v>0.53225714285714287</v>
      </c>
      <c r="F102" s="2890">
        <f>1.8629/F101</f>
        <v>0.53225714285714287</v>
      </c>
      <c r="G102" s="2890">
        <f>1.8629/G101</f>
        <v>0.53225714285714287</v>
      </c>
      <c r="H102" s="2890">
        <f>1.8629/H101</f>
        <v>0.53225714285714287</v>
      </c>
      <c r="I102" s="2890">
        <f>1.8629/I101</f>
        <v>0.53225714285714287</v>
      </c>
      <c r="J102" s="2890">
        <f>1.942/J101</f>
        <v>0.55485714285714283</v>
      </c>
      <c r="K102" s="2890">
        <f>1.942/K101</f>
        <v>0.55485714285714283</v>
      </c>
      <c r="L102" s="2890">
        <f>1.942/L101</f>
        <v>0.55485714285714283</v>
      </c>
      <c r="M102" s="2890">
        <f>1.942/M101</f>
        <v>0.55485714285714283</v>
      </c>
      <c r="N102" s="2890">
        <f>1.942/N101</f>
        <v>0.55485714285714283</v>
      </c>
    </row>
    <row r="103" spans="1:14">
      <c r="A103" s="3254"/>
      <c r="B103" s="2889">
        <v>2</v>
      </c>
      <c r="C103" s="2890">
        <f>1.4198/C101</f>
        <v>0.40565714285714283</v>
      </c>
      <c r="D103" s="2890">
        <f>1.4198/D101</f>
        <v>0.40565714285714283</v>
      </c>
      <c r="E103" s="2890">
        <f>1.3372/E101</f>
        <v>0.38205714285714282</v>
      </c>
      <c r="F103" s="2890">
        <f>1.3372/F101</f>
        <v>0.38205714285714282</v>
      </c>
      <c r="G103" s="2890">
        <f>1.3372/G101</f>
        <v>0.38205714285714282</v>
      </c>
      <c r="H103" s="2890">
        <f>1.3372/H101</f>
        <v>0.38205714285714282</v>
      </c>
      <c r="I103" s="2890">
        <f>1.3372/I101</f>
        <v>0.38205714285714282</v>
      </c>
      <c r="J103" s="2890">
        <f>1.2799/J101</f>
        <v>0.36568571428571428</v>
      </c>
      <c r="K103" s="2890">
        <f>1.2799/K101</f>
        <v>0.36568571428571428</v>
      </c>
      <c r="L103" s="2890">
        <f>1.2799/L101</f>
        <v>0.36568571428571428</v>
      </c>
      <c r="M103" s="2890">
        <f>1.2799/M101</f>
        <v>0.36568571428571428</v>
      </c>
      <c r="N103" s="2890">
        <f>1.2799/N101</f>
        <v>0.36568571428571428</v>
      </c>
    </row>
    <row r="104" spans="1:14">
      <c r="A104" s="3254"/>
      <c r="B104" s="2889">
        <v>3</v>
      </c>
      <c r="C104" s="2890">
        <f>1.1594/C101</f>
        <v>0.33125714285714286</v>
      </c>
      <c r="D104" s="2890">
        <f>1.1594/D101</f>
        <v>0.33125714285714286</v>
      </c>
      <c r="E104" s="2890">
        <f>1.0788/E101</f>
        <v>0.30822857142857141</v>
      </c>
      <c r="F104" s="2890">
        <f>1.0788/F101</f>
        <v>0.30822857142857141</v>
      </c>
      <c r="G104" s="2890">
        <f>1.0788/G101</f>
        <v>0.30822857142857141</v>
      </c>
      <c r="H104" s="2890">
        <f>1.0788/H101</f>
        <v>0.30822857142857141</v>
      </c>
      <c r="I104" s="2890">
        <f>1.0788/I101</f>
        <v>0.30822857142857141</v>
      </c>
      <c r="J104" s="2890">
        <f>1.0072/J101</f>
        <v>0.28777142857142862</v>
      </c>
      <c r="K104" s="2890">
        <f>1.0072/K101</f>
        <v>0.28777142857142862</v>
      </c>
      <c r="L104" s="2890">
        <f>1.0072/L101</f>
        <v>0.28777142857142862</v>
      </c>
      <c r="M104" s="2890">
        <f>1.0072/M101</f>
        <v>0.28777142857142862</v>
      </c>
      <c r="N104" s="2890">
        <f>1.0072/N101</f>
        <v>0.28777142857142862</v>
      </c>
    </row>
    <row r="105" spans="1:14">
      <c r="A105" s="3254"/>
      <c r="B105" s="2889">
        <v>4</v>
      </c>
      <c r="C105" s="2890">
        <f>0.9622/C101</f>
        <v>0.27491428571428572</v>
      </c>
      <c r="D105" s="2890">
        <f>0.9622/D101</f>
        <v>0.27491428571428572</v>
      </c>
      <c r="E105" s="2890">
        <f>0.8656/E101</f>
        <v>0.24731428571428574</v>
      </c>
      <c r="F105" s="2890">
        <f>0.8656/F101</f>
        <v>0.24731428571428574</v>
      </c>
      <c r="G105" s="2890">
        <f>0.8656/G101</f>
        <v>0.24731428571428574</v>
      </c>
      <c r="H105" s="2890">
        <f>0.8656/H101</f>
        <v>0.24731428571428574</v>
      </c>
      <c r="I105" s="2890">
        <f>0.8656/I101</f>
        <v>0.24731428571428574</v>
      </c>
      <c r="J105" s="2890">
        <f>0.7525/J101</f>
        <v>0.215</v>
      </c>
      <c r="K105" s="2890">
        <f>0.7525/K101</f>
        <v>0.215</v>
      </c>
      <c r="L105" s="2890">
        <f>0.7525/L101</f>
        <v>0.215</v>
      </c>
      <c r="M105" s="2890">
        <f>0.7525/M101</f>
        <v>0.215</v>
      </c>
      <c r="N105" s="2890">
        <f>0.7525/N101</f>
        <v>0.215</v>
      </c>
    </row>
    <row r="106" spans="1:14">
      <c r="A106" s="3254"/>
      <c r="B106" s="2889">
        <v>5</v>
      </c>
      <c r="C106" s="2890">
        <f>0.8417/C101</f>
        <v>0.24048571428571427</v>
      </c>
      <c r="D106" s="2890">
        <f>0.8417/D101</f>
        <v>0.24048571428571427</v>
      </c>
      <c r="E106" s="2890">
        <f>0.7371/E101</f>
        <v>0.21059999999999998</v>
      </c>
      <c r="F106" s="2890">
        <f>0.7371/F101</f>
        <v>0.21059999999999998</v>
      </c>
      <c r="G106" s="2890">
        <f>0.7371/G101</f>
        <v>0.21059999999999998</v>
      </c>
      <c r="H106" s="2890">
        <f>0.7371/H101</f>
        <v>0.21059999999999998</v>
      </c>
      <c r="I106" s="2890">
        <f>0.7371/I101</f>
        <v>0.21059999999999998</v>
      </c>
      <c r="J106" s="2890">
        <f>0.5659/J101</f>
        <v>0.16168571428571427</v>
      </c>
      <c r="K106" s="2890">
        <f>0.5659/K101</f>
        <v>0.16168571428571427</v>
      </c>
      <c r="L106" s="2890">
        <f>0.5659/L101</f>
        <v>0.16168571428571427</v>
      </c>
      <c r="M106" s="2890">
        <f>0.5659/M101</f>
        <v>0.16168571428571427</v>
      </c>
      <c r="N106" s="2890">
        <f>0.5659/N101</f>
        <v>0.16168571428571427</v>
      </c>
    </row>
    <row r="107" spans="1:14">
      <c r="A107" s="3254"/>
      <c r="B107" s="2889">
        <v>6</v>
      </c>
      <c r="C107" s="2890">
        <f>0.7608/C101</f>
        <v>0.21737142857142858</v>
      </c>
      <c r="D107" s="2890">
        <f>0.7608/D101</f>
        <v>0.21737142857142858</v>
      </c>
      <c r="E107" s="2890">
        <f>0.6482/E101</f>
        <v>0.1852</v>
      </c>
      <c r="F107" s="2890">
        <f>0.6482/F101</f>
        <v>0.1852</v>
      </c>
      <c r="G107" s="2890">
        <f>0.6482/G101</f>
        <v>0.1852</v>
      </c>
      <c r="H107" s="2890">
        <f>0.6482/H101</f>
        <v>0.1852</v>
      </c>
      <c r="I107" s="2890">
        <f>0.6482/I101</f>
        <v>0.1852</v>
      </c>
      <c r="J107" s="2890">
        <f>0.4525/J101</f>
        <v>0.12928571428571428</v>
      </c>
      <c r="K107" s="2890">
        <f>0.4525/K101</f>
        <v>0.12928571428571428</v>
      </c>
      <c r="L107" s="2890">
        <f>0.4525/L101</f>
        <v>0.12928571428571428</v>
      </c>
      <c r="M107" s="2890">
        <f>0.4525/M101</f>
        <v>0.12928571428571428</v>
      </c>
      <c r="N107" s="2890">
        <f>0.4525/N101</f>
        <v>0.12928571428571428</v>
      </c>
    </row>
    <row r="108" spans="1:14">
      <c r="A108" s="3254"/>
      <c r="B108" s="3111"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55"/>
      <c r="B109" s="3112"/>
      <c r="C109" s="2892">
        <f>(-0.163*(C108^2)-0.59*C108+7617)*(10^(-4))/C101</f>
        <v>0.21762857142857145</v>
      </c>
      <c r="D109" s="2892">
        <f>(-0.163*(D108^2)-0.59*D108+7617)*(10^(-4))/D101</f>
        <v>0.21762857142857145</v>
      </c>
      <c r="E109" s="2892">
        <f>(-0.161*(E108^2)-7.509*E108+6533)*(10^(-4))/E101</f>
        <v>0.18665714285714285</v>
      </c>
      <c r="F109" s="2892">
        <f>(-0.161*(F108^2)-7.509*F108+6533)*(10^(-4))/F101</f>
        <v>0.18665714285714285</v>
      </c>
      <c r="G109" s="2892">
        <f>(-0.161*(G108^2)-7.509*G108+6533)*(10^(-4))/G101</f>
        <v>0.18665714285714285</v>
      </c>
      <c r="H109" s="2892">
        <f>(-0.161*(H108^2)-7.509*H108+6533)*(10^(-4))/H101</f>
        <v>0.18665714285714285</v>
      </c>
      <c r="I109" s="2892">
        <f>(-0.161*(I108^2)-7.509*I108+6533)*(10^(-4))/I101</f>
        <v>0.18665714285714285</v>
      </c>
      <c r="J109" s="2892">
        <f>(-0.214*(J108^2)-21.991*J108+4665)*(10^(-4))/J101</f>
        <v>0.13328571428571429</v>
      </c>
      <c r="K109" s="2892">
        <f>(-0.214*(K108^2)-21.991*K108+4665)*(10^(-4))/K101</f>
        <v>0.13328571428571429</v>
      </c>
      <c r="L109" s="2892">
        <f>(-0.214*(L108^2)-21.991*L108+4665)*(10^(-4))/L101</f>
        <v>0.13328571428571429</v>
      </c>
      <c r="M109" s="2892">
        <f>(-0.214*(M108^2)-21.991*M108+4665)*(10^(-4))/M101</f>
        <v>0.13328571428571429</v>
      </c>
      <c r="N109" s="2892">
        <f>(-0.214*(N108^2)-21.991*N108+4665)*(10^(-4))/N101</f>
        <v>0.13328571428571429</v>
      </c>
    </row>
    <row r="110" spans="1:14">
      <c r="A110" s="3251" t="s">
        <v>2980</v>
      </c>
      <c r="B110" s="3251"/>
      <c r="C110" s="3251"/>
      <c r="D110" s="3251"/>
      <c r="E110" s="3251"/>
      <c r="F110" s="3251"/>
      <c r="G110" s="3251"/>
      <c r="H110" s="3251"/>
      <c r="I110" s="3251"/>
      <c r="J110" s="3251"/>
      <c r="K110" s="2895"/>
      <c r="L110" s="2895"/>
      <c r="M110" s="2895"/>
      <c r="N110" s="2895"/>
    </row>
    <row r="112" spans="1:14" ht="13.5" thickBot="1"/>
    <row r="113" spans="1:13" ht="25.5" thickBot="1">
      <c r="A113" s="903" t="s">
        <v>2981</v>
      </c>
      <c r="B113" s="1287">
        <f>G3</f>
        <v>3.5</v>
      </c>
      <c r="C113" s="904" t="s">
        <v>2982</v>
      </c>
      <c r="D113" s="905">
        <f>SUMPRODUCT((A115:A118=F113)*(B114:M114=H113)*B115:M118)</f>
        <v>0</v>
      </c>
      <c r="E113" s="2726" t="s">
        <v>2813</v>
      </c>
      <c r="F113" s="2897">
        <f>E2</f>
        <v>0</v>
      </c>
      <c r="G113" s="2726" t="s">
        <v>2814</v>
      </c>
      <c r="H113" s="2897">
        <f>G2</f>
        <v>0</v>
      </c>
      <c r="I113" s="2726"/>
      <c r="J113" s="2898"/>
      <c r="K113" s="2898"/>
      <c r="L113" s="2898"/>
      <c r="M113" s="2898"/>
    </row>
    <row r="114" spans="1:13">
      <c r="A114" s="908"/>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9" t="s">
        <v>2878</v>
      </c>
      <c r="B115" s="910">
        <f>ROUND(0.9335-0.0094*B113,4)</f>
        <v>0.90059999999999996</v>
      </c>
      <c r="C115" s="910">
        <f>B115</f>
        <v>0.90059999999999996</v>
      </c>
      <c r="D115" s="910">
        <f>ROUND(0.8331-0.0109*B113,4)</f>
        <v>0.79500000000000004</v>
      </c>
      <c r="E115" s="910">
        <f>D115</f>
        <v>0.79500000000000004</v>
      </c>
      <c r="F115" s="910">
        <f>E115</f>
        <v>0.79500000000000004</v>
      </c>
      <c r="G115" s="910">
        <f>F115</f>
        <v>0.79500000000000004</v>
      </c>
      <c r="H115" s="910">
        <f>G115</f>
        <v>0.79500000000000004</v>
      </c>
      <c r="I115" s="910">
        <f>ROUND(0.689-0.0155*B113,4)</f>
        <v>0.63480000000000003</v>
      </c>
      <c r="J115" s="910">
        <f t="shared" ref="J115:M118" si="33">I115</f>
        <v>0.63480000000000003</v>
      </c>
      <c r="K115" s="910">
        <f t="shared" si="33"/>
        <v>0.63480000000000003</v>
      </c>
      <c r="L115" s="910">
        <f t="shared" si="33"/>
        <v>0.63480000000000003</v>
      </c>
      <c r="M115" s="911">
        <f t="shared" si="33"/>
        <v>0.63480000000000003</v>
      </c>
    </row>
    <row r="116" spans="1:13">
      <c r="A116" s="909" t="s">
        <v>2879</v>
      </c>
      <c r="B116" s="910">
        <f>ROUND(0.949-0.012*B113,4)</f>
        <v>0.90700000000000003</v>
      </c>
      <c r="C116" s="910">
        <f>B116</f>
        <v>0.90700000000000003</v>
      </c>
      <c r="D116" s="910">
        <f>ROUND(0.8567-0.013*B113,4)</f>
        <v>0.81120000000000003</v>
      </c>
      <c r="E116" s="910">
        <f t="shared" ref="E116:H117" si="34">D116</f>
        <v>0.81120000000000003</v>
      </c>
      <c r="F116" s="910">
        <f t="shared" si="34"/>
        <v>0.81120000000000003</v>
      </c>
      <c r="G116" s="910">
        <f t="shared" si="34"/>
        <v>0.81120000000000003</v>
      </c>
      <c r="H116" s="910">
        <f t="shared" si="34"/>
        <v>0.81120000000000003</v>
      </c>
      <c r="I116" s="910">
        <f>ROUND(0.7694-0.014*B113,4)</f>
        <v>0.72040000000000004</v>
      </c>
      <c r="J116" s="910">
        <f t="shared" si="33"/>
        <v>0.72040000000000004</v>
      </c>
      <c r="K116" s="910">
        <f t="shared" si="33"/>
        <v>0.72040000000000004</v>
      </c>
      <c r="L116" s="910">
        <f t="shared" si="33"/>
        <v>0.72040000000000004</v>
      </c>
      <c r="M116" s="911">
        <f t="shared" si="33"/>
        <v>0.72040000000000004</v>
      </c>
    </row>
    <row r="117" spans="1:13">
      <c r="A117" s="909" t="s">
        <v>2880</v>
      </c>
      <c r="B117" s="910">
        <f>ROUND(0.8808-0.006*B113,4)</f>
        <v>0.85980000000000001</v>
      </c>
      <c r="C117" s="910">
        <f>B117</f>
        <v>0.85980000000000001</v>
      </c>
      <c r="D117" s="910">
        <f>ROUND(0.8748-0.008*B113,4)</f>
        <v>0.8468</v>
      </c>
      <c r="E117" s="910">
        <f t="shared" si="34"/>
        <v>0.8468</v>
      </c>
      <c r="F117" s="910">
        <f t="shared" si="34"/>
        <v>0.8468</v>
      </c>
      <c r="G117" s="910">
        <f t="shared" si="34"/>
        <v>0.8468</v>
      </c>
      <c r="H117" s="910">
        <f t="shared" si="34"/>
        <v>0.8468</v>
      </c>
      <c r="I117" s="910">
        <f>ROUND(0.7412-0.0095*B113,4)</f>
        <v>0.70799999999999996</v>
      </c>
      <c r="J117" s="910">
        <f t="shared" si="33"/>
        <v>0.70799999999999996</v>
      </c>
      <c r="K117" s="910">
        <f t="shared" si="33"/>
        <v>0.70799999999999996</v>
      </c>
      <c r="L117" s="910">
        <f t="shared" si="33"/>
        <v>0.70799999999999996</v>
      </c>
      <c r="M117" s="911">
        <f t="shared" si="33"/>
        <v>0.70799999999999996</v>
      </c>
    </row>
    <row r="118" spans="1:13" ht="13.5" thickBot="1">
      <c r="A118" s="714" t="s">
        <v>2881</v>
      </c>
      <c r="B118" s="912">
        <f>ROUND(0.7275-0.01*B113,4)</f>
        <v>0.6925</v>
      </c>
      <c r="C118" s="912">
        <f>B118</f>
        <v>0.6925</v>
      </c>
      <c r="D118" s="912">
        <f>ROUND(0.7043-0.012*B113,4)</f>
        <v>0.6623</v>
      </c>
      <c r="E118" s="912">
        <f>D118</f>
        <v>0.6623</v>
      </c>
      <c r="F118" s="912">
        <f>E118</f>
        <v>0.6623</v>
      </c>
      <c r="G118" s="912">
        <f>ROUND(0.6299-0.0122*B113,4)</f>
        <v>0.58720000000000006</v>
      </c>
      <c r="H118" s="912">
        <f>G118</f>
        <v>0.58720000000000006</v>
      </c>
      <c r="I118" s="912">
        <f>ROUND(0.5667-0.0136*B113,4)</f>
        <v>0.51910000000000001</v>
      </c>
      <c r="J118" s="912">
        <f t="shared" si="33"/>
        <v>0.51910000000000001</v>
      </c>
      <c r="K118" s="912">
        <f t="shared" si="33"/>
        <v>0.51910000000000001</v>
      </c>
      <c r="L118" s="912">
        <f t="shared" si="33"/>
        <v>0.51910000000000001</v>
      </c>
      <c r="M118" s="913">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4" priority="5" stopIfTrue="1" operator="notEqual">
      <formula>"——"</formula>
    </cfRule>
  </conditionalFormatting>
  <conditionalFormatting sqref="F59">
    <cfRule type="cellIs" dxfId="123" priority="4" stopIfTrue="1" operator="notEqual">
      <formula>"——"</formula>
    </cfRule>
  </conditionalFormatting>
  <conditionalFormatting sqref="F70">
    <cfRule type="cellIs" dxfId="122" priority="3" stopIfTrue="1" operator="notEqual">
      <formula>"——"</formula>
    </cfRule>
  </conditionalFormatting>
  <conditionalFormatting sqref="F81">
    <cfRule type="cellIs" dxfId="121" priority="2" stopIfTrue="1" operator="notEqual">
      <formula>"——"</formula>
    </cfRule>
  </conditionalFormatting>
  <conditionalFormatting sqref="H48:H56 H59:H67 H70:H78 H81:H88">
    <cfRule type="cellIs" dxfId="12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1" t="s">
        <v>183</v>
      </c>
      <c r="B18" s="882" t="s">
        <v>560</v>
      </c>
      <c r="C18" s="883" t="s">
        <v>561</v>
      </c>
      <c r="D18" s="884"/>
      <c r="E18" s="882">
        <v>1</v>
      </c>
      <c r="F18" s="885" t="s">
        <v>562</v>
      </c>
      <c r="G18" s="886"/>
      <c r="H18" s="878"/>
      <c r="I18" s="878"/>
    </row>
    <row r="19" spans="1:9" s="887" customFormat="1" ht="19.5" customHeight="1">
      <c r="A19" s="3261"/>
      <c r="B19" s="3261" t="s">
        <v>563</v>
      </c>
      <c r="C19" s="883" t="s">
        <v>564</v>
      </c>
      <c r="D19" s="884"/>
      <c r="E19" s="882">
        <v>0.9</v>
      </c>
      <c r="F19" s="885" t="s">
        <v>565</v>
      </c>
      <c r="G19" s="886"/>
      <c r="H19" s="878"/>
      <c r="I19" s="878"/>
    </row>
    <row r="20" spans="1:9" s="887" customFormat="1" ht="19.5" customHeight="1">
      <c r="A20" s="3261"/>
      <c r="B20" s="3261"/>
      <c r="C20" s="883" t="s">
        <v>566</v>
      </c>
      <c r="D20" s="884"/>
      <c r="E20" s="882">
        <v>1.1000000000000001</v>
      </c>
      <c r="F20" s="885" t="s">
        <v>567</v>
      </c>
      <c r="G20" s="886"/>
      <c r="H20" s="878"/>
      <c r="I20" s="878"/>
    </row>
    <row r="21" spans="1:9" s="887" customFormat="1" ht="19.5" customHeight="1">
      <c r="A21" s="3261"/>
      <c r="B21" s="3261"/>
      <c r="C21" s="883" t="s">
        <v>568</v>
      </c>
      <c r="D21" s="884"/>
      <c r="E21" s="882">
        <v>0.8</v>
      </c>
      <c r="F21" s="885" t="s">
        <v>569</v>
      </c>
      <c r="G21" s="886"/>
      <c r="H21" s="878"/>
      <c r="I21" s="878"/>
    </row>
    <row r="22" spans="1:9" s="887" customFormat="1" ht="19.5" customHeight="1">
      <c r="A22" s="3261"/>
      <c r="B22" s="3261"/>
      <c r="C22" s="883" t="s">
        <v>570</v>
      </c>
      <c r="D22" s="884"/>
      <c r="E22" s="882">
        <v>0.5</v>
      </c>
      <c r="F22" s="885"/>
      <c r="G22" s="886"/>
      <c r="H22" s="878"/>
      <c r="I22" s="878"/>
    </row>
    <row r="23" spans="1:9" s="887" customFormat="1" ht="19.5" customHeight="1">
      <c r="A23" s="3261" t="s">
        <v>184</v>
      </c>
      <c r="B23" s="882" t="s">
        <v>560</v>
      </c>
      <c r="C23" s="883" t="s">
        <v>571</v>
      </c>
      <c r="D23" s="884"/>
      <c r="E23" s="882">
        <v>1</v>
      </c>
      <c r="F23" s="885" t="s">
        <v>572</v>
      </c>
      <c r="G23" s="886"/>
      <c r="H23" s="878"/>
      <c r="I23" s="878"/>
    </row>
    <row r="24" spans="1:9" s="887" customFormat="1" ht="19.5" customHeight="1">
      <c r="A24" s="3261"/>
      <c r="B24" s="3261" t="s">
        <v>563</v>
      </c>
      <c r="C24" s="883" t="s">
        <v>573</v>
      </c>
      <c r="D24" s="884"/>
      <c r="E24" s="882">
        <v>0.5</v>
      </c>
      <c r="F24" s="885"/>
      <c r="G24" s="886"/>
      <c r="H24" s="878"/>
      <c r="I24" s="878"/>
    </row>
    <row r="25" spans="1:9" s="887" customFormat="1" ht="19.5" customHeight="1">
      <c r="A25" s="3261"/>
      <c r="B25" s="3261"/>
      <c r="C25" s="883" t="s">
        <v>574</v>
      </c>
      <c r="D25" s="884"/>
      <c r="E25" s="882">
        <v>1.1000000000000001</v>
      </c>
      <c r="F25" s="885"/>
      <c r="G25" s="886"/>
      <c r="H25" s="878"/>
      <c r="I25" s="878"/>
    </row>
    <row r="26" spans="1:9" s="887" customFormat="1" ht="19.5" customHeight="1">
      <c r="A26" s="3261"/>
      <c r="B26" s="3261"/>
      <c r="C26" s="883" t="s">
        <v>575</v>
      </c>
      <c r="D26" s="884"/>
      <c r="E26" s="882">
        <v>1.1000000000000001</v>
      </c>
      <c r="F26" s="885"/>
      <c r="G26" s="886"/>
      <c r="H26" s="878"/>
      <c r="I26" s="878"/>
    </row>
    <row r="27" spans="1:9" s="887" customFormat="1" ht="19.5" customHeight="1">
      <c r="A27" s="3261"/>
      <c r="B27" s="3261"/>
      <c r="C27" s="883" t="s">
        <v>576</v>
      </c>
      <c r="D27" s="884"/>
      <c r="E27" s="882">
        <v>0.9</v>
      </c>
      <c r="F27" s="885" t="s">
        <v>577</v>
      </c>
      <c r="G27" s="886"/>
      <c r="H27" s="878"/>
      <c r="I27" s="878"/>
    </row>
    <row r="28" spans="1:9" s="887" customFormat="1" ht="19.5" customHeight="1">
      <c r="A28" s="3261"/>
      <c r="B28" s="3261"/>
      <c r="C28" s="883" t="s">
        <v>578</v>
      </c>
      <c r="D28" s="884"/>
      <c r="E28" s="882">
        <v>0.9</v>
      </c>
      <c r="F28" s="885" t="s">
        <v>579</v>
      </c>
      <c r="G28" s="886"/>
      <c r="H28" s="878"/>
      <c r="I28" s="878"/>
    </row>
    <row r="29" spans="1:9" s="887" customFormat="1" ht="19.5" customHeight="1">
      <c r="A29" s="3261"/>
      <c r="B29" s="3261"/>
      <c r="C29" s="883" t="s">
        <v>580</v>
      </c>
      <c r="D29" s="884"/>
      <c r="E29" s="882">
        <v>0.9</v>
      </c>
      <c r="F29" s="885" t="s">
        <v>581</v>
      </c>
      <c r="G29" s="886"/>
      <c r="H29" s="878"/>
      <c r="I29" s="878"/>
    </row>
    <row r="30" spans="1:9" s="887" customFormat="1" ht="19.5" customHeight="1">
      <c r="A30" s="3261"/>
      <c r="B30" s="3261"/>
      <c r="C30" s="883" t="s">
        <v>582</v>
      </c>
      <c r="D30" s="884"/>
      <c r="E30" s="882">
        <v>0.9</v>
      </c>
      <c r="F30" s="885" t="s">
        <v>583</v>
      </c>
      <c r="G30" s="886"/>
      <c r="H30" s="878"/>
      <c r="I30" s="878"/>
    </row>
    <row r="31" spans="1:9" s="887" customFormat="1" ht="19.5" customHeight="1">
      <c r="A31" s="3261"/>
      <c r="B31" s="3261"/>
      <c r="C31" s="883" t="s">
        <v>584</v>
      </c>
      <c r="D31" s="884"/>
      <c r="E31" s="882">
        <v>0.8</v>
      </c>
      <c r="F31" s="885" t="s">
        <v>585</v>
      </c>
      <c r="G31" s="886"/>
      <c r="H31" s="878"/>
      <c r="I31" s="878"/>
    </row>
    <row r="32" spans="1:9" s="887" customFormat="1" ht="19.5" customHeight="1">
      <c r="A32" s="3261"/>
      <c r="B32" s="3261"/>
      <c r="C32" s="883" t="s">
        <v>586</v>
      </c>
      <c r="D32" s="884"/>
      <c r="E32" s="882">
        <v>0.8</v>
      </c>
      <c r="F32" s="885" t="s">
        <v>587</v>
      </c>
      <c r="G32" s="886"/>
      <c r="H32" s="878"/>
      <c r="I32" s="878"/>
    </row>
    <row r="33" spans="1:9" s="887" customFormat="1" ht="19.5" customHeight="1">
      <c r="A33" s="3261" t="s">
        <v>185</v>
      </c>
      <c r="B33" s="882" t="s">
        <v>560</v>
      </c>
      <c r="C33" s="883" t="s">
        <v>588</v>
      </c>
      <c r="D33" s="884"/>
      <c r="E33" s="882">
        <v>1</v>
      </c>
      <c r="F33" s="885" t="s">
        <v>589</v>
      </c>
      <c r="G33" s="886"/>
      <c r="H33" s="878"/>
      <c r="I33" s="878"/>
    </row>
    <row r="34" spans="1:9" s="887" customFormat="1" ht="19.5" customHeight="1">
      <c r="A34" s="3261"/>
      <c r="B34" s="882" t="s">
        <v>563</v>
      </c>
      <c r="C34" s="883" t="s">
        <v>590</v>
      </c>
      <c r="D34" s="884"/>
      <c r="E34" s="882">
        <v>1.5</v>
      </c>
      <c r="F34" s="885" t="s">
        <v>591</v>
      </c>
      <c r="G34" s="886"/>
      <c r="H34" s="878"/>
      <c r="I34" s="878"/>
    </row>
    <row r="35" spans="1:9" s="887" customFormat="1" ht="19.5" customHeight="1">
      <c r="A35" s="3261" t="s">
        <v>186</v>
      </c>
      <c r="B35" s="882" t="s">
        <v>560</v>
      </c>
      <c r="C35" s="883" t="s">
        <v>592</v>
      </c>
      <c r="D35" s="884"/>
      <c r="E35" s="882">
        <v>1</v>
      </c>
      <c r="F35" s="885" t="s">
        <v>593</v>
      </c>
      <c r="G35" s="886"/>
      <c r="H35" s="878"/>
      <c r="I35" s="878"/>
    </row>
    <row r="36" spans="1:9" s="887" customFormat="1" ht="19.5" customHeight="1">
      <c r="A36" s="3261"/>
      <c r="B36" s="3261" t="s">
        <v>563</v>
      </c>
      <c r="C36" s="883" t="s">
        <v>594</v>
      </c>
      <c r="D36" s="884"/>
      <c r="E36" s="882">
        <v>1</v>
      </c>
      <c r="F36" s="885" t="s">
        <v>595</v>
      </c>
      <c r="G36" s="886"/>
      <c r="H36" s="878"/>
      <c r="I36" s="878"/>
    </row>
    <row r="37" spans="1:9" s="887" customFormat="1" ht="19.5" customHeight="1">
      <c r="A37" s="3261"/>
      <c r="B37" s="3261"/>
      <c r="C37" s="883" t="s">
        <v>596</v>
      </c>
      <c r="D37" s="884"/>
      <c r="E37" s="882">
        <v>1.5</v>
      </c>
      <c r="F37" s="885" t="s">
        <v>597</v>
      </c>
      <c r="G37" s="886"/>
      <c r="H37" s="878"/>
      <c r="I37" s="878"/>
    </row>
    <row r="38" spans="1:9" s="887" customFormat="1" ht="19.5" customHeight="1">
      <c r="A38" s="3261"/>
      <c r="B38" s="3261"/>
      <c r="C38" s="883" t="s">
        <v>598</v>
      </c>
      <c r="D38" s="884"/>
      <c r="E38" s="882">
        <v>1</v>
      </c>
      <c r="F38" s="885" t="s">
        <v>599</v>
      </c>
      <c r="G38" s="886"/>
      <c r="H38" s="878"/>
      <c r="I38" s="878"/>
    </row>
    <row r="39" spans="1:9" s="887" customFormat="1" ht="19.5" customHeight="1">
      <c r="A39" s="3261"/>
      <c r="B39" s="326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1" t="s">
        <v>614</v>
      </c>
      <c r="C61" s="818" t="s">
        <v>615</v>
      </c>
      <c r="D61" s="818" t="s">
        <v>616</v>
      </c>
      <c r="E61" s="895">
        <v>0.5</v>
      </c>
      <c r="F61" s="882">
        <v>80</v>
      </c>
    </row>
    <row r="62" spans="1:8" s="878" customFormat="1" ht="24">
      <c r="A62" s="882">
        <v>2</v>
      </c>
      <c r="B62" s="3261"/>
      <c r="C62" s="818" t="s">
        <v>617</v>
      </c>
      <c r="D62" s="818" t="s">
        <v>618</v>
      </c>
      <c r="E62" s="895">
        <v>0.5</v>
      </c>
      <c r="F62" s="882">
        <v>80</v>
      </c>
    </row>
    <row r="63" spans="1:8" s="878" customFormat="1" ht="36">
      <c r="A63" s="882">
        <v>3</v>
      </c>
      <c r="B63" s="3261"/>
      <c r="C63" s="818" t="s">
        <v>619</v>
      </c>
      <c r="D63" s="818" t="s">
        <v>620</v>
      </c>
      <c r="E63" s="895">
        <v>0.5</v>
      </c>
      <c r="F63" s="882">
        <v>80</v>
      </c>
    </row>
    <row r="64" spans="1:8" s="878" customFormat="1" ht="36">
      <c r="A64" s="882">
        <v>4</v>
      </c>
      <c r="B64" s="3261"/>
      <c r="C64" s="818" t="s">
        <v>621</v>
      </c>
      <c r="D64" s="818" t="s">
        <v>622</v>
      </c>
      <c r="E64" s="895">
        <v>0.4</v>
      </c>
      <c r="F64" s="882">
        <v>60</v>
      </c>
    </row>
    <row r="65" spans="1:6" s="878" customFormat="1" ht="36">
      <c r="A65" s="882">
        <v>5</v>
      </c>
      <c r="B65" s="3261"/>
      <c r="C65" s="818" t="s">
        <v>623</v>
      </c>
      <c r="D65" s="818" t="s">
        <v>624</v>
      </c>
      <c r="E65" s="895">
        <v>0.2</v>
      </c>
      <c r="F65" s="882">
        <v>30</v>
      </c>
    </row>
    <row r="66" spans="1:6" s="878" customFormat="1" ht="36">
      <c r="A66" s="882">
        <v>6</v>
      </c>
      <c r="B66" s="3261"/>
      <c r="C66" s="818" t="s">
        <v>625</v>
      </c>
      <c r="D66" s="818" t="s">
        <v>626</v>
      </c>
      <c r="E66" s="895">
        <v>0.3</v>
      </c>
      <c r="F66" s="882">
        <v>50</v>
      </c>
    </row>
    <row r="67" spans="1:6" s="878" customFormat="1" ht="36">
      <c r="A67" s="882">
        <v>7</v>
      </c>
      <c r="B67" s="3261"/>
      <c r="C67" s="818" t="s">
        <v>627</v>
      </c>
      <c r="D67" s="818" t="s">
        <v>628</v>
      </c>
      <c r="E67" s="895">
        <v>0.2</v>
      </c>
      <c r="F67" s="882">
        <v>30</v>
      </c>
    </row>
    <row r="68" spans="1:6" s="878" customFormat="1" ht="36">
      <c r="A68" s="882">
        <v>8</v>
      </c>
      <c r="B68" s="3261"/>
      <c r="C68" s="818" t="s">
        <v>629</v>
      </c>
      <c r="D68" s="818" t="s">
        <v>630</v>
      </c>
      <c r="E68" s="895">
        <v>0.2</v>
      </c>
      <c r="F68" s="882">
        <v>30</v>
      </c>
    </row>
    <row r="69" spans="1:6" s="878" customFormat="1" ht="36">
      <c r="A69" s="882">
        <v>9</v>
      </c>
      <c r="B69" s="3261"/>
      <c r="C69" s="818" t="s">
        <v>631</v>
      </c>
      <c r="D69" s="818" t="s">
        <v>632</v>
      </c>
      <c r="E69" s="895">
        <v>0.2</v>
      </c>
      <c r="F69" s="882">
        <v>30</v>
      </c>
    </row>
    <row r="70" spans="1:6" s="878" customFormat="1" ht="48">
      <c r="A70" s="882">
        <v>10</v>
      </c>
      <c r="B70" s="3261"/>
      <c r="C70" s="818" t="s">
        <v>633</v>
      </c>
      <c r="D70" s="818" t="s">
        <v>634</v>
      </c>
      <c r="E70" s="895">
        <v>0.2</v>
      </c>
      <c r="F70" s="882">
        <v>30</v>
      </c>
    </row>
    <row r="71" spans="1:6" s="878" customFormat="1" ht="48">
      <c r="A71" s="882">
        <v>11</v>
      </c>
      <c r="B71" s="3261"/>
      <c r="C71" s="818" t="s">
        <v>635</v>
      </c>
      <c r="D71" s="818" t="s">
        <v>636</v>
      </c>
      <c r="E71" s="895">
        <v>0.2</v>
      </c>
      <c r="F71" s="882">
        <v>30</v>
      </c>
    </row>
    <row r="72" spans="1:6" s="878" customFormat="1" ht="36">
      <c r="A72" s="882">
        <v>12</v>
      </c>
      <c r="B72" s="3261"/>
      <c r="C72" s="818" t="s">
        <v>637</v>
      </c>
      <c r="D72" s="818" t="s">
        <v>638</v>
      </c>
      <c r="E72" s="895">
        <v>0.5</v>
      </c>
      <c r="F72" s="882">
        <v>80</v>
      </c>
    </row>
    <row r="73" spans="1:6" s="878" customFormat="1" ht="24">
      <c r="A73" s="882">
        <v>13</v>
      </c>
      <c r="B73" s="3261"/>
      <c r="C73" s="818" t="s">
        <v>639</v>
      </c>
      <c r="D73" s="818" t="s">
        <v>640</v>
      </c>
      <c r="E73" s="895">
        <v>0.4</v>
      </c>
      <c r="F73" s="882">
        <v>60</v>
      </c>
    </row>
    <row r="74" spans="1:6" s="878" customFormat="1" ht="24">
      <c r="A74" s="882">
        <v>14</v>
      </c>
      <c r="B74" s="3261"/>
      <c r="C74" s="818" t="s">
        <v>641</v>
      </c>
      <c r="D74" s="818" t="s">
        <v>642</v>
      </c>
      <c r="E74" s="895">
        <v>0.2</v>
      </c>
      <c r="F74" s="882">
        <v>30</v>
      </c>
    </row>
    <row r="75" spans="1:6" s="878" customFormat="1" ht="24">
      <c r="A75" s="882">
        <v>15</v>
      </c>
      <c r="B75" s="3261"/>
      <c r="C75" s="818" t="s">
        <v>643</v>
      </c>
      <c r="D75" s="818" t="s">
        <v>644</v>
      </c>
      <c r="E75" s="895">
        <v>0.2</v>
      </c>
      <c r="F75" s="882">
        <v>30</v>
      </c>
    </row>
    <row r="76" spans="1:6" s="878" customFormat="1" ht="24">
      <c r="A76" s="882">
        <v>16</v>
      </c>
      <c r="B76" s="3261" t="s">
        <v>645</v>
      </c>
      <c r="C76" s="818" t="s">
        <v>646</v>
      </c>
      <c r="D76" s="818" t="s">
        <v>647</v>
      </c>
      <c r="E76" s="895">
        <v>0.5</v>
      </c>
      <c r="F76" s="882">
        <v>80</v>
      </c>
    </row>
    <row r="77" spans="1:6" s="878" customFormat="1" ht="24">
      <c r="A77" s="882">
        <v>17</v>
      </c>
      <c r="B77" s="3261"/>
      <c r="C77" s="818" t="s">
        <v>648</v>
      </c>
      <c r="D77" s="818" t="s">
        <v>649</v>
      </c>
      <c r="E77" s="895">
        <v>0.5</v>
      </c>
      <c r="F77" s="882">
        <v>80</v>
      </c>
    </row>
    <row r="78" spans="1:6" s="878" customFormat="1" ht="24">
      <c r="A78" s="882">
        <v>18</v>
      </c>
      <c r="B78" s="3261"/>
      <c r="C78" s="818" t="s">
        <v>650</v>
      </c>
      <c r="D78" s="818" t="s">
        <v>651</v>
      </c>
      <c r="E78" s="895">
        <v>0.2</v>
      </c>
      <c r="F78" s="882">
        <v>30</v>
      </c>
    </row>
    <row r="79" spans="1:6" s="878" customFormat="1" ht="24">
      <c r="A79" s="882">
        <v>19</v>
      </c>
      <c r="B79" s="3261"/>
      <c r="C79" s="818" t="s">
        <v>652</v>
      </c>
      <c r="D79" s="818" t="s">
        <v>653</v>
      </c>
      <c r="E79" s="895">
        <v>0.5</v>
      </c>
      <c r="F79" s="882">
        <v>80</v>
      </c>
    </row>
    <row r="80" spans="1:6" s="878" customFormat="1" ht="36">
      <c r="A80" s="882">
        <v>20</v>
      </c>
      <c r="B80" s="3261"/>
      <c r="C80" s="818" t="s">
        <v>654</v>
      </c>
      <c r="D80" s="818" t="s">
        <v>655</v>
      </c>
      <c r="E80" s="895">
        <v>0.2</v>
      </c>
      <c r="F80" s="882">
        <v>30</v>
      </c>
    </row>
    <row r="81" spans="1:6" s="878" customFormat="1" ht="36">
      <c r="A81" s="882">
        <v>21</v>
      </c>
      <c r="B81" s="3261"/>
      <c r="C81" s="818" t="s">
        <v>656</v>
      </c>
      <c r="D81" s="818" t="s">
        <v>657</v>
      </c>
      <c r="E81" s="895">
        <v>0.2</v>
      </c>
      <c r="F81" s="882">
        <v>30</v>
      </c>
    </row>
    <row r="82" spans="1:6" s="878" customFormat="1" ht="48">
      <c r="A82" s="882">
        <v>22</v>
      </c>
      <c r="B82" s="3261"/>
      <c r="C82" s="818" t="s">
        <v>658</v>
      </c>
      <c r="D82" s="818" t="s">
        <v>659</v>
      </c>
      <c r="E82" s="895">
        <v>0.2</v>
      </c>
      <c r="F82" s="882">
        <v>30</v>
      </c>
    </row>
    <row r="83" spans="1:6" s="878" customFormat="1" ht="48">
      <c r="A83" s="882">
        <v>23</v>
      </c>
      <c r="B83" s="3261"/>
      <c r="C83" s="818" t="s">
        <v>660</v>
      </c>
      <c r="D83" s="818" t="s">
        <v>661</v>
      </c>
      <c r="E83" s="895">
        <v>0.2</v>
      </c>
      <c r="F83" s="882">
        <v>30</v>
      </c>
    </row>
    <row r="84" spans="1:6" s="878" customFormat="1" ht="36">
      <c r="A84" s="882">
        <v>24</v>
      </c>
      <c r="B84" s="3261"/>
      <c r="C84" s="818" t="s">
        <v>662</v>
      </c>
      <c r="D84" s="818" t="s">
        <v>663</v>
      </c>
      <c r="E84" s="895">
        <v>0.2</v>
      </c>
      <c r="F84" s="882">
        <v>30</v>
      </c>
    </row>
    <row r="85" spans="1:6" s="878" customFormat="1" ht="36">
      <c r="A85" s="882">
        <v>25</v>
      </c>
      <c r="B85" s="3261"/>
      <c r="C85" s="818" t="s">
        <v>664</v>
      </c>
      <c r="D85" s="818" t="s">
        <v>665</v>
      </c>
      <c r="E85" s="895">
        <v>0.5</v>
      </c>
      <c r="F85" s="882">
        <v>80</v>
      </c>
    </row>
    <row r="86" spans="1:6" s="878" customFormat="1" ht="36">
      <c r="A86" s="882">
        <v>26</v>
      </c>
      <c r="B86" s="3261"/>
      <c r="C86" s="818" t="s">
        <v>666</v>
      </c>
      <c r="D86" s="818" t="s">
        <v>667</v>
      </c>
      <c r="E86" s="895">
        <v>0.2</v>
      </c>
      <c r="F86" s="882">
        <v>30</v>
      </c>
    </row>
    <row r="87" spans="1:6" s="878" customFormat="1" ht="36">
      <c r="A87" s="882">
        <v>27</v>
      </c>
      <c r="B87" s="3261"/>
      <c r="C87" s="818" t="s">
        <v>668</v>
      </c>
      <c r="D87" s="818" t="s">
        <v>669</v>
      </c>
      <c r="E87" s="895">
        <v>0.2</v>
      </c>
      <c r="F87" s="882">
        <v>30</v>
      </c>
    </row>
    <row r="88" spans="1:6" s="878" customFormat="1" ht="36">
      <c r="A88" s="882">
        <v>28</v>
      </c>
      <c r="B88" s="3261"/>
      <c r="C88" s="818" t="s">
        <v>670</v>
      </c>
      <c r="D88" s="818" t="s">
        <v>671</v>
      </c>
      <c r="E88" s="895">
        <v>0.2</v>
      </c>
      <c r="F88" s="882">
        <v>30</v>
      </c>
    </row>
    <row r="89" spans="1:6" s="878" customFormat="1" ht="24">
      <c r="A89" s="882">
        <v>29</v>
      </c>
      <c r="B89" s="3261"/>
      <c r="C89" s="818" t="s">
        <v>672</v>
      </c>
      <c r="D89" s="818" t="s">
        <v>673</v>
      </c>
      <c r="E89" s="895">
        <v>0.2</v>
      </c>
      <c r="F89" s="882">
        <v>30</v>
      </c>
    </row>
    <row r="90" spans="1:6" s="878" customFormat="1" ht="24">
      <c r="A90" s="882">
        <v>30</v>
      </c>
      <c r="B90" s="3261"/>
      <c r="C90" s="818" t="s">
        <v>674</v>
      </c>
      <c r="D90" s="818" t="s">
        <v>675</v>
      </c>
      <c r="E90" s="895">
        <v>0.2</v>
      </c>
      <c r="F90" s="882">
        <v>30</v>
      </c>
    </row>
    <row r="91" spans="1:6" s="878" customFormat="1" ht="36">
      <c r="A91" s="882">
        <v>31</v>
      </c>
      <c r="B91" s="3261"/>
      <c r="C91" s="818" t="s">
        <v>676</v>
      </c>
      <c r="D91" s="818" t="s">
        <v>677</v>
      </c>
      <c r="E91" s="895">
        <v>0.2</v>
      </c>
      <c r="F91" s="882">
        <v>30</v>
      </c>
    </row>
    <row r="92" spans="1:6" s="878" customFormat="1" ht="24">
      <c r="A92" s="882">
        <v>32</v>
      </c>
      <c r="B92" s="3261" t="s">
        <v>678</v>
      </c>
      <c r="C92" s="882" t="s">
        <v>679</v>
      </c>
      <c r="D92" s="818" t="s">
        <v>680</v>
      </c>
      <c r="E92" s="895">
        <v>0.2</v>
      </c>
      <c r="F92" s="882">
        <v>30</v>
      </c>
    </row>
    <row r="93" spans="1:6" s="878" customFormat="1" ht="36">
      <c r="A93" s="882">
        <v>33</v>
      </c>
      <c r="B93" s="3261"/>
      <c r="C93" s="882" t="s">
        <v>681</v>
      </c>
      <c r="D93" s="818" t="s">
        <v>682</v>
      </c>
      <c r="E93" s="895">
        <v>0.2</v>
      </c>
      <c r="F93" s="882">
        <v>30</v>
      </c>
    </row>
    <row r="94" spans="1:6" s="878" customFormat="1" ht="48">
      <c r="A94" s="882">
        <v>34</v>
      </c>
      <c r="B94" s="3261"/>
      <c r="C94" s="882" t="s">
        <v>683</v>
      </c>
      <c r="D94" s="818" t="s">
        <v>684</v>
      </c>
      <c r="E94" s="895">
        <v>0.2</v>
      </c>
      <c r="F94" s="882">
        <v>30</v>
      </c>
    </row>
    <row r="95" spans="1:6" s="878" customFormat="1" ht="36">
      <c r="A95" s="882">
        <v>35</v>
      </c>
      <c r="B95" s="3261"/>
      <c r="C95" s="882" t="s">
        <v>685</v>
      </c>
      <c r="D95" s="818" t="s">
        <v>686</v>
      </c>
      <c r="E95" s="895">
        <v>0.2</v>
      </c>
      <c r="F95" s="882">
        <v>30</v>
      </c>
    </row>
    <row r="96" spans="1:6" s="878" customFormat="1" ht="48">
      <c r="A96" s="882">
        <v>36</v>
      </c>
      <c r="B96" s="3261"/>
      <c r="C96" s="818" t="s">
        <v>687</v>
      </c>
      <c r="D96" s="818" t="s">
        <v>688</v>
      </c>
      <c r="E96" s="895">
        <v>0.2</v>
      </c>
      <c r="F96" s="882">
        <v>30</v>
      </c>
    </row>
    <row r="97" spans="1:6" s="878" customFormat="1" ht="36">
      <c r="A97" s="882">
        <v>37</v>
      </c>
      <c r="B97" s="3261"/>
      <c r="C97" s="882" t="s">
        <v>689</v>
      </c>
      <c r="D97" s="818" t="s">
        <v>690</v>
      </c>
      <c r="E97" s="895">
        <v>0.2</v>
      </c>
      <c r="F97" s="882">
        <v>30</v>
      </c>
    </row>
    <row r="98" spans="1:6" s="878" customFormat="1" ht="36">
      <c r="A98" s="882">
        <v>38</v>
      </c>
      <c r="B98" s="3261"/>
      <c r="C98" s="882" t="s">
        <v>691</v>
      </c>
      <c r="D98" s="818" t="s">
        <v>692</v>
      </c>
      <c r="E98" s="895">
        <v>0.2</v>
      </c>
      <c r="F98" s="882">
        <v>30</v>
      </c>
    </row>
    <row r="99" spans="1:6" s="878" customFormat="1" ht="36">
      <c r="A99" s="882">
        <v>39</v>
      </c>
      <c r="B99" s="3261" t="s">
        <v>693</v>
      </c>
      <c r="C99" s="882" t="s">
        <v>694</v>
      </c>
      <c r="D99" s="818" t="s">
        <v>695</v>
      </c>
      <c r="E99" s="895">
        <v>0.3</v>
      </c>
      <c r="F99" s="882">
        <v>50</v>
      </c>
    </row>
    <row r="100" spans="1:6" s="878" customFormat="1" ht="24">
      <c r="A100" s="882">
        <v>40</v>
      </c>
      <c r="B100" s="3261"/>
      <c r="C100" s="882" t="s">
        <v>696</v>
      </c>
      <c r="D100" s="818" t="s">
        <v>697</v>
      </c>
      <c r="E100" s="895">
        <v>0.2</v>
      </c>
      <c r="F100" s="882">
        <v>30</v>
      </c>
    </row>
    <row r="101" spans="1:6" s="878" customFormat="1" ht="36">
      <c r="A101" s="882">
        <v>41</v>
      </c>
      <c r="B101" s="326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1" t="s">
        <v>708</v>
      </c>
      <c r="C105" s="882" t="s">
        <v>709</v>
      </c>
      <c r="D105" s="818" t="s">
        <v>710</v>
      </c>
      <c r="E105" s="895">
        <v>0.2</v>
      </c>
      <c r="F105" s="882">
        <v>30</v>
      </c>
    </row>
    <row r="106" spans="1:6" s="878" customFormat="1" ht="36">
      <c r="A106" s="882">
        <v>46</v>
      </c>
      <c r="B106" s="3261"/>
      <c r="C106" s="882" t="s">
        <v>711</v>
      </c>
      <c r="D106" s="818" t="s">
        <v>712</v>
      </c>
      <c r="E106" s="895">
        <v>0.2</v>
      </c>
      <c r="F106" s="882">
        <v>30</v>
      </c>
    </row>
    <row r="107" spans="1:6" s="878" customFormat="1" ht="36">
      <c r="A107" s="882">
        <v>47</v>
      </c>
      <c r="B107" s="3261" t="s">
        <v>713</v>
      </c>
      <c r="C107" s="882" t="s">
        <v>714</v>
      </c>
      <c r="D107" s="818" t="s">
        <v>715</v>
      </c>
      <c r="E107" s="895">
        <v>0.3</v>
      </c>
      <c r="F107" s="882">
        <v>50</v>
      </c>
    </row>
    <row r="108" spans="1:6" s="878" customFormat="1" ht="36">
      <c r="A108" s="882">
        <v>48</v>
      </c>
      <c r="B108" s="326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1" t="s">
        <v>724</v>
      </c>
      <c r="C111" s="882" t="s">
        <v>725</v>
      </c>
      <c r="D111" s="818" t="s">
        <v>726</v>
      </c>
      <c r="E111" s="895">
        <v>0.2</v>
      </c>
      <c r="F111" s="882">
        <v>30</v>
      </c>
    </row>
    <row r="112" spans="1:6" s="878" customFormat="1" ht="24">
      <c r="A112" s="882">
        <v>52</v>
      </c>
      <c r="B112" s="3261"/>
      <c r="C112" s="882" t="s">
        <v>727</v>
      </c>
      <c r="D112" s="818" t="s">
        <v>728</v>
      </c>
      <c r="E112" s="895">
        <v>0.2</v>
      </c>
      <c r="F112" s="882">
        <v>30</v>
      </c>
    </row>
    <row r="113" spans="1:6" s="878" customFormat="1" ht="24">
      <c r="A113" s="882">
        <v>53</v>
      </c>
      <c r="B113" s="326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1" t="s">
        <v>737</v>
      </c>
      <c r="C116" s="882" t="s">
        <v>738</v>
      </c>
      <c r="D116" s="818" t="s">
        <v>739</v>
      </c>
      <c r="E116" s="895">
        <v>0.2</v>
      </c>
      <c r="F116" s="882">
        <v>30</v>
      </c>
    </row>
    <row r="117" spans="1:6" ht="36">
      <c r="A117" s="882">
        <v>57</v>
      </c>
      <c r="B117" s="326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3003</v>
      </c>
    </row>
    <row r="2" spans="1:5" ht="15.75">
      <c r="A2" s="2904" t="s">
        <v>2995</v>
      </c>
      <c r="B2" s="2905" t="e">
        <f ca="1">SUMIF(B6:B13,"&lt;&gt;#ref!",B6:B13)</f>
        <v>#DIV/0!</v>
      </c>
      <c r="C2" s="2904" t="s">
        <v>2996</v>
      </c>
      <c r="D2" s="2904" t="s">
        <v>2997</v>
      </c>
      <c r="E2" s="2905">
        <f ca="1">SUMIF(E6:E13,"&lt;&gt;#ref!",E6:E13)</f>
        <v>0</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79">
        <f ca="1">SUMIF(INDIRECT("'"&amp;A6&amp;"'"&amp;"!C:C"),"建筑面积",INDIRECT("'"&amp;A6&amp;"'"&amp;"!D:D"))</f>
        <v>0</v>
      </c>
    </row>
    <row r="7" spans="1:5" ht="15.75">
      <c r="A7" s="2909"/>
      <c r="B7" s="2905" t="e">
        <f ca="1">SUMIF(INDIRECT("'"&amp;A7&amp;"'"&amp;"!A:A"),"总价",INDIRECT("'"&amp;A7&amp;"'"&amp;"!B:B"))</f>
        <v>#REF!</v>
      </c>
      <c r="C7" s="2904" t="s">
        <v>2996</v>
      </c>
      <c r="D7" s="2906"/>
      <c r="E7" s="2579"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79" t="e">
        <f t="shared" ca="1" si="0"/>
        <v>#REF!</v>
      </c>
    </row>
    <row r="9" spans="1:5" ht="15.75">
      <c r="A9" s="2909"/>
      <c r="B9" s="2905" t="e">
        <f t="shared" ca="1" si="1"/>
        <v>#REF!</v>
      </c>
      <c r="C9" s="2904" t="s">
        <v>2996</v>
      </c>
      <c r="D9" s="2906"/>
      <c r="E9" s="2579" t="e">
        <f t="shared" ca="1" si="0"/>
        <v>#REF!</v>
      </c>
    </row>
    <row r="10" spans="1:5" ht="15.75">
      <c r="A10" s="2909"/>
      <c r="B10" s="2905" t="e">
        <f t="shared" ca="1" si="1"/>
        <v>#REF!</v>
      </c>
      <c r="C10" s="2904" t="s">
        <v>2996</v>
      </c>
      <c r="D10" s="2906"/>
      <c r="E10" s="2579" t="e">
        <f t="shared" ca="1" si="0"/>
        <v>#REF!</v>
      </c>
    </row>
    <row r="11" spans="1:5" ht="15.75">
      <c r="A11" s="2909"/>
      <c r="B11" s="2905" t="e">
        <f t="shared" ca="1" si="1"/>
        <v>#REF!</v>
      </c>
      <c r="C11" s="2904" t="s">
        <v>2996</v>
      </c>
      <c r="D11" s="2906"/>
      <c r="E11" s="2579" t="e">
        <f t="shared" ca="1" si="0"/>
        <v>#REF!</v>
      </c>
    </row>
    <row r="12" spans="1:5" ht="15.75">
      <c r="A12" s="2909"/>
      <c r="B12" s="2905" t="e">
        <f t="shared" ca="1" si="1"/>
        <v>#REF!</v>
      </c>
      <c r="C12" s="2904" t="s">
        <v>2996</v>
      </c>
      <c r="D12" s="2906"/>
      <c r="E12" s="2579" t="e">
        <f t="shared" ca="1" si="0"/>
        <v>#REF!</v>
      </c>
    </row>
    <row r="13" spans="1:5" ht="15.75">
      <c r="A13" s="2909"/>
      <c r="B13" s="2905" t="e">
        <f t="shared" ca="1" si="1"/>
        <v>#REF!</v>
      </c>
      <c r="C13" s="2904" t="s">
        <v>2996</v>
      </c>
      <c r="D13" s="290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67" t="s">
        <v>1146</v>
      </c>
      <c r="C1" s="3267"/>
      <c r="D1" s="3267"/>
      <c r="E1" s="3267"/>
      <c r="F1" s="3267"/>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0" customFormat="1" ht="14.25">
      <c r="A3" s="2929" t="s">
        <v>3038</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4">
        <v>2019</v>
      </c>
      <c r="H5" s="1730">
        <v>2</v>
      </c>
      <c r="I5" s="2916">
        <v>0</v>
      </c>
      <c r="J5" s="2916">
        <v>0</v>
      </c>
      <c r="K5" s="2916">
        <v>0</v>
      </c>
      <c r="L5" s="2916">
        <v>0</v>
      </c>
      <c r="N5" s="1467">
        <f>I5/100</f>
        <v>0</v>
      </c>
      <c r="O5" s="1467">
        <f t="shared" ref="O5" si="7">J5/100</f>
        <v>0</v>
      </c>
      <c r="P5" s="1467">
        <f t="shared" ref="P5" si="8">K5/100</f>
        <v>0</v>
      </c>
      <c r="Q5" s="1467">
        <f t="shared" ref="Q5" si="9">L5/100</f>
        <v>0</v>
      </c>
      <c r="R5" s="1732"/>
      <c r="S5" s="1733"/>
      <c r="T5" s="1732"/>
      <c r="U5" s="1732"/>
      <c r="V5" s="1732"/>
      <c r="W5" s="2919" t="s">
        <v>3039</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3">
        <v>2019</v>
      </c>
      <c r="H6" s="1464">
        <v>1</v>
      </c>
      <c r="I6" s="2935">
        <v>0.6</v>
      </c>
      <c r="J6" s="2935">
        <v>0.37</v>
      </c>
      <c r="K6" s="2935">
        <v>0.63</v>
      </c>
      <c r="L6" s="2936">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3">
        <v>2018</v>
      </c>
      <c r="H7" s="1464">
        <v>4</v>
      </c>
      <c r="I7" s="2935">
        <v>0.96</v>
      </c>
      <c r="J7" s="2935">
        <v>1.03</v>
      </c>
      <c r="K7" s="2935">
        <v>0.92</v>
      </c>
      <c r="L7" s="2936">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3"/>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3"/>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2"/>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268">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3"/>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3"/>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2"/>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68">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3"/>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3"/>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4"/>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2">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3"/>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3"/>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4"/>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2">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3"/>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3"/>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4"/>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69">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0"/>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0"/>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1"/>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2">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3"/>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3"/>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4"/>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2">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3">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3">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4">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2">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3">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3">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4">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2">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3">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3">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4">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2">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3">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3">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4">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2">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3">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3">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4">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2">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3">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3">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4">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2">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3">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3">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4">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2">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3">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3">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4">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2">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3">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3">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4">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2">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3">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3">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4">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7"/>
      <c r="C2" s="2957"/>
      <c r="D2" s="2957"/>
      <c r="E2" s="2957"/>
    </row>
    <row r="3" spans="1:5" ht="18">
      <c r="A3" s="2958" t="str">
        <f>IF(项目基本情况!B9="房地产市场价值","估价结果一览表（市场价值不需“结果表-1”）","估价结果一览表")</f>
        <v>估价结果一览表</v>
      </c>
      <c r="B3" s="2958"/>
      <c r="C3" s="2958"/>
      <c r="D3" s="2958"/>
      <c r="E3" s="2958"/>
    </row>
    <row r="4" spans="1:5" ht="19.5" thickBot="1">
      <c r="A4" s="1961"/>
      <c r="B4" s="2956" t="s">
        <v>1626</v>
      </c>
      <c r="C4" s="2956"/>
      <c r="D4" s="2956"/>
      <c r="E4" s="1961"/>
    </row>
    <row r="5" spans="1:5" ht="16.5" thickTop="1">
      <c r="A5" s="1959"/>
      <c r="B5" s="2954" t="s">
        <v>1618</v>
      </c>
      <c r="C5" s="1962" t="s">
        <v>1619</v>
      </c>
      <c r="D5" s="1040">
        <f ca="1">结果表!H101</f>
        <v>24182</v>
      </c>
      <c r="E5" s="1959"/>
    </row>
    <row r="6" spans="1:5" ht="15.75">
      <c r="A6" s="1959"/>
      <c r="B6" s="2954"/>
      <c r="C6" s="1962" t="s">
        <v>1620</v>
      </c>
      <c r="D6" s="1040" t="str">
        <f ca="1">NUMBERSTRING(INT(D5*10000),2)&amp;"元整"</f>
        <v>贰亿肆仟壹佰捌拾贰万元整</v>
      </c>
      <c r="E6" s="1959"/>
    </row>
    <row r="7" spans="1:5" ht="15.75">
      <c r="A7" s="1959"/>
      <c r="B7" s="2959"/>
      <c r="C7" s="1963" t="s">
        <v>1621</v>
      </c>
      <c r="D7" s="1041">
        <f ca="1">结果表!H102</f>
        <v>7303</v>
      </c>
      <c r="E7" s="1959"/>
    </row>
    <row r="8" spans="1:5" ht="15.75">
      <c r="A8" s="1959"/>
      <c r="B8" s="2960" t="str">
        <f>结果表!E103</f>
        <v>2.估价师知悉的法定优先受偿款</v>
      </c>
      <c r="C8" s="1964" t="s">
        <v>1622</v>
      </c>
      <c r="D8" s="1041">
        <f>结果表!H103</f>
        <v>0</v>
      </c>
      <c r="E8" s="1959"/>
    </row>
    <row r="9" spans="1:5" ht="15.75">
      <c r="A9" s="1959"/>
      <c r="B9" s="2962"/>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3" t="str">
        <f>结果表!E107</f>
        <v>3.房地产抵押价值</v>
      </c>
      <c r="C13" s="1967" t="s">
        <v>1619</v>
      </c>
      <c r="D13" s="1043">
        <f ca="1">结果表!H107</f>
        <v>24182</v>
      </c>
      <c r="E13" s="1959"/>
    </row>
    <row r="14" spans="1:5" ht="15.75">
      <c r="A14" s="1959"/>
      <c r="B14" s="2954"/>
      <c r="C14" s="1962" t="s">
        <v>1620</v>
      </c>
      <c r="D14" s="1040" t="str">
        <f ca="1">NUMBERSTRING(INT(D13*10000),2)&amp;"元整"</f>
        <v>贰亿肆仟壹佰捌拾贰万元整</v>
      </c>
      <c r="E14" s="1959"/>
    </row>
    <row r="15" spans="1:5" ht="15">
      <c r="A15" s="1959"/>
      <c r="B15" s="2959"/>
      <c r="C15" s="1963" t="s">
        <v>1630</v>
      </c>
      <c r="D15" s="1052">
        <f ca="1">结果表!H108</f>
        <v>7303</v>
      </c>
      <c r="E15" s="1959"/>
    </row>
    <row r="16" spans="1:5" ht="15">
      <c r="A16" s="1959"/>
      <c r="B16" s="2960" t="str">
        <f>结果表!E109</f>
        <v>——</v>
      </c>
      <c r="C16" s="1967" t="s">
        <v>1631</v>
      </c>
      <c r="D16" s="1968" t="str">
        <f>结果表!H109</f>
        <v>——</v>
      </c>
      <c r="E16" s="1959"/>
    </row>
    <row r="17" spans="1:5" ht="15.75">
      <c r="A17" s="1959"/>
      <c r="B17" s="2961"/>
      <c r="C17" s="1962" t="s">
        <v>1632</v>
      </c>
      <c r="D17" s="1040" t="e">
        <f>NUMBERSTRING(INT(D16*10000),2)&amp;"元整"</f>
        <v>#VALUE!</v>
      </c>
      <c r="E17" s="1959"/>
    </row>
    <row r="18" spans="1:5" ht="15">
      <c r="A18" s="1959"/>
      <c r="B18" s="2962"/>
      <c r="C18" s="1963" t="s">
        <v>1621</v>
      </c>
      <c r="D18" s="1052" t="str">
        <f>结果表!H110</f>
        <v>——</v>
      </c>
      <c r="E18" s="1959"/>
    </row>
    <row r="19" spans="1:5" ht="15.75">
      <c r="A19" s="1959"/>
      <c r="B19" s="2953" t="str">
        <f>结果表!E111</f>
        <v>——</v>
      </c>
      <c r="C19" s="1967" t="s">
        <v>1619</v>
      </c>
      <c r="D19" s="1041" t="str">
        <f>结果表!H111</f>
        <v>——</v>
      </c>
      <c r="E19" s="1959"/>
    </row>
    <row r="20" spans="1:5" ht="15.75">
      <c r="A20" s="1959"/>
      <c r="B20" s="2954"/>
      <c r="C20" s="1962" t="s">
        <v>1632</v>
      </c>
      <c r="D20" s="1040" t="e">
        <f>NUMBERSTRING(INT(D19*10000),2)&amp;"元整"</f>
        <v>#VALUE!</v>
      </c>
      <c r="E20" s="1959"/>
    </row>
    <row r="21" spans="1:5" ht="15.75" thickBot="1">
      <c r="A21" s="1959"/>
      <c r="B21" s="2955"/>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274" t="s">
        <v>3006</v>
      </c>
      <c r="D1" s="3275"/>
      <c r="E1" s="3275"/>
      <c r="F1" s="3275"/>
      <c r="G1" s="3275"/>
      <c r="H1" s="3275"/>
      <c r="I1" s="3275"/>
      <c r="J1" s="3275"/>
      <c r="K1" s="3275"/>
      <c r="L1" s="3275"/>
      <c r="M1" s="3275"/>
      <c r="N1" s="3275"/>
      <c r="O1" s="3275"/>
      <c r="P1" s="3275"/>
      <c r="Q1" s="3275"/>
      <c r="R1" s="3275"/>
      <c r="S1" s="3276"/>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3015</v>
      </c>
      <c r="B17" s="2911"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3" t="s">
        <v>3019</v>
      </c>
      <c r="E20" s="1793"/>
      <c r="F20" s="1204" t="e">
        <f ca="1">SUMIF(INDIRECT("'"&amp;H20&amp;"'"&amp;"!A:A"),"承租人权益价值",INDIRECT("'"&amp;H20&amp;"'"&amp;"!c:c"))</f>
        <v>#REF!</v>
      </c>
      <c r="G20" s="1204" t="s">
        <v>3020</v>
      </c>
      <c r="H20" s="2914"/>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33" t="s">
        <v>33</v>
      </c>
      <c r="D22" s="3134"/>
      <c r="E22" s="3134"/>
      <c r="F22" s="3134"/>
      <c r="G22" s="3134"/>
      <c r="H22" s="3134"/>
      <c r="I22" s="3134"/>
      <c r="J22" s="3134"/>
      <c r="K22" s="3134"/>
      <c r="L22" s="3134"/>
      <c r="M22" s="3134"/>
      <c r="N22" s="3134"/>
      <c r="O22" s="3134"/>
      <c r="P22" s="3134"/>
      <c r="Q22" s="3273"/>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41729</v>
      </c>
      <c r="C2" s="2" t="s">
        <v>133</v>
      </c>
      <c r="D2" s="243"/>
      <c r="E2" s="243"/>
      <c r="F2" s="243"/>
      <c r="G2" s="243"/>
    </row>
    <row r="3" spans="1:7" s="244" customFormat="1" ht="18" customHeight="1" thickBot="1">
      <c r="A3" s="247" t="s">
        <v>85</v>
      </c>
      <c r="B3" s="248">
        <f ca="1">ROUND(B2*10000/'数据-汇总表'!E3,0)</f>
        <v>12602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100</v>
      </c>
      <c r="F9" s="265"/>
      <c r="G9" s="270"/>
    </row>
    <row r="10" spans="1:7" s="258" customFormat="1" ht="13.5" customHeight="1">
      <c r="A10" s="950" t="s">
        <v>801</v>
      </c>
      <c r="B10" s="268" t="s">
        <v>94</v>
      </c>
      <c r="C10" s="269">
        <f>ROUND(D10*E10/10000,0)</f>
        <v>331</v>
      </c>
      <c r="D10" s="1032">
        <f>'数据-汇总表'!E6</f>
        <v>33112.840000000157</v>
      </c>
      <c r="E10" s="269">
        <f>'数据-取费表'!B28</f>
        <v>100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662</v>
      </c>
      <c r="D19" s="1036">
        <f>'数据-汇总表'!E3</f>
        <v>33112.840000000157</v>
      </c>
      <c r="E19" s="255">
        <f>'数据-取费表'!B31</f>
        <v>200</v>
      </c>
      <c r="F19" s="275"/>
      <c r="G19" s="1" t="s">
        <v>1071</v>
      </c>
    </row>
    <row r="20" spans="1:7" s="258" customFormat="1" ht="13.5" customHeight="1">
      <c r="A20" s="948" t="s">
        <v>1054</v>
      </c>
      <c r="B20" s="254" t="s">
        <v>104</v>
      </c>
      <c r="C20" s="276">
        <f>ROUND((C5+C19)*F20,0)</f>
        <v>429</v>
      </c>
      <c r="D20" s="276"/>
      <c r="E20" s="276"/>
      <c r="F20" s="277">
        <f>'数据-取费表'!B37</f>
        <v>0.02</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2555</v>
      </c>
      <c r="D22" s="279">
        <f ca="1">C26</f>
        <v>1.6999999999999999E-3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2452</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78</v>
      </c>
      <c r="D24" s="282"/>
      <c r="E24" s="282"/>
      <c r="F24" s="283"/>
      <c r="G24" s="284" t="s">
        <v>109</v>
      </c>
    </row>
    <row r="25" spans="1:7" s="258" customFormat="1" ht="24">
      <c r="A25" s="951" t="s">
        <v>793</v>
      </c>
      <c r="B25" s="259" t="s">
        <v>1055</v>
      </c>
      <c r="C25" s="1355">
        <f ca="1">ROUND(IF('数据-取费表'!B22&lt;=1,C20*F22*'数据-取费表'!B23/2,C20*(POWER((1+F22),'数据-取费表'!B23/2)-1)),0)</f>
        <v>25</v>
      </c>
      <c r="D25" s="282"/>
      <c r="E25" s="285"/>
      <c r="F25" s="283"/>
      <c r="G25" s="286" t="s">
        <v>110</v>
      </c>
    </row>
    <row r="26" spans="1:7" s="258" customFormat="1">
      <c r="A26" s="951" t="s">
        <v>795</v>
      </c>
      <c r="B26" s="259" t="s">
        <v>1057</v>
      </c>
      <c r="C26" s="282">
        <f ca="1">ROUND(IF('数据-取费表'!B22&lt;=1,F21*F22*'数据-取费表'!B23/2,F21*(POWER((1+F22),'数据-取费表'!B23/2)-1)),4)</f>
        <v>1.6999999999999999E-3</v>
      </c>
      <c r="D26" s="282"/>
      <c r="E26" s="285"/>
      <c r="F26" s="283"/>
      <c r="G26" s="287"/>
    </row>
    <row r="27" spans="1:7" s="258" customFormat="1" ht="24.75">
      <c r="A27" s="948" t="s">
        <v>787</v>
      </c>
      <c r="B27" s="288" t="s">
        <v>112</v>
      </c>
      <c r="C27" s="289">
        <f>C28</f>
        <v>3285</v>
      </c>
      <c r="D27" s="279">
        <f>C29</f>
        <v>4.4999999999999997E-3</v>
      </c>
      <c r="E27" s="280" t="s">
        <v>126</v>
      </c>
      <c r="F27" s="290">
        <f>'数据-取费表'!Q16</f>
        <v>0.25</v>
      </c>
      <c r="G27" s="291" t="s">
        <v>1066</v>
      </c>
    </row>
    <row r="28" spans="1:7" s="258" customFormat="1" ht="13.5" customHeight="1">
      <c r="A28" s="951" t="s">
        <v>794</v>
      </c>
      <c r="B28" s="292" t="s">
        <v>1059</v>
      </c>
      <c r="C28" s="293">
        <f>ROUND((C5+C19+C20)*F27*'数据-取费表'!B21/'数据-取费表'!B20,0)</f>
        <v>3285</v>
      </c>
      <c r="D28" s="279"/>
      <c r="E28" s="280"/>
      <c r="F28" s="290"/>
      <c r="G28" s="291"/>
    </row>
    <row r="29" spans="1:7" s="258" customFormat="1" ht="13.5" customHeight="1">
      <c r="A29" s="951" t="s">
        <v>792</v>
      </c>
      <c r="B29" s="292" t="s">
        <v>1060</v>
      </c>
      <c r="C29" s="282">
        <f>ROUND(C21*F27*'数据-取费表'!B21/'数据-取费表'!B20,4)</f>
        <v>4.4999999999999997E-3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30469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7663</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6953</v>
      </c>
      <c r="D34" s="261"/>
      <c r="E34" s="264"/>
      <c r="F34" s="301">
        <f>IF('数据-取费表'!B24=0,1,'数据-取费表'!N16)</f>
        <v>0.6</v>
      </c>
      <c r="G34" s="263" t="s">
        <v>116</v>
      </c>
    </row>
    <row r="35" spans="1:7" ht="13.5" customHeight="1">
      <c r="A35" s="951" t="s">
        <v>796</v>
      </c>
      <c r="B35" s="259" t="s">
        <v>60</v>
      </c>
      <c r="C35" s="264">
        <f>ROUND(C34*F35,0)</f>
        <v>209</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397</v>
      </c>
      <c r="D37" s="261">
        <f>'数据-汇总表'!E3</f>
        <v>33112.840000000157</v>
      </c>
      <c r="E37" s="293">
        <f>'数据-取费表'!B35</f>
        <v>200</v>
      </c>
      <c r="F37" s="303"/>
      <c r="G37" s="305" t="s">
        <v>119</v>
      </c>
    </row>
    <row r="38" spans="1:7" ht="13.5" customHeight="1">
      <c r="A38" s="951" t="s">
        <v>799</v>
      </c>
      <c r="B38" s="259" t="s">
        <v>63</v>
      </c>
      <c r="C38" s="264">
        <f>ROUND(C34*F38,0)</f>
        <v>104</v>
      </c>
      <c r="D38" s="264"/>
      <c r="E38" s="264"/>
      <c r="F38" s="303">
        <f>'数据-取费表'!B36</f>
        <v>1.4999999999999999E-2</v>
      </c>
      <c r="G38" s="263" t="s">
        <v>117</v>
      </c>
    </row>
    <row r="39" spans="1:7" s="258" customFormat="1" ht="13.5" customHeight="1">
      <c r="A39" s="948" t="s">
        <v>783</v>
      </c>
      <c r="B39" s="254" t="s">
        <v>104</v>
      </c>
      <c r="C39" s="276">
        <f>ROUND(C33*F20,0)</f>
        <v>153</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448</v>
      </c>
      <c r="D41" s="279">
        <f ca="1">C44</f>
        <v>1.6999999999999999E-3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439</v>
      </c>
      <c r="D42" s="282"/>
      <c r="E42" s="282"/>
      <c r="F42" s="283"/>
      <c r="G42" s="3138" t="s">
        <v>121</v>
      </c>
    </row>
    <row r="43" spans="1:7" ht="13.5" customHeight="1">
      <c r="A43" s="951" t="s">
        <v>792</v>
      </c>
      <c r="B43" s="259" t="s">
        <v>1061</v>
      </c>
      <c r="C43" s="282">
        <f ca="1">ROUND(IF('数据-取费表'!B22&lt;=1,C39*F22*'数据-取费表'!B21/2,C39*(POWER((1+F22),'数据-取费表'!B21/2)-1)),0)</f>
        <v>9</v>
      </c>
      <c r="D43" s="282"/>
      <c r="E43" s="282"/>
      <c r="F43" s="283"/>
      <c r="G43" s="3139"/>
    </row>
    <row r="44" spans="1:7" ht="13.5" customHeight="1">
      <c r="A44" s="951" t="s">
        <v>793</v>
      </c>
      <c r="B44" s="259" t="s">
        <v>1063</v>
      </c>
      <c r="C44" s="282">
        <f ca="1">ROUND(IF('数据-取费表'!B22&lt;=1,C40*F22*'数据-取费表'!B21/2,C40*(POWER((1+F22),'数据-取费表'!B21/2)-1)),4)</f>
        <v>1.6999999999999999E-3</v>
      </c>
      <c r="D44" s="282"/>
      <c r="E44" s="282"/>
      <c r="F44" s="283"/>
      <c r="G44" s="3140"/>
    </row>
    <row r="45" spans="1:7" s="258" customFormat="1" ht="13.5" customHeight="1">
      <c r="A45" s="948" t="s">
        <v>786</v>
      </c>
      <c r="B45" s="288" t="s">
        <v>112</v>
      </c>
      <c r="C45" s="289">
        <f>C46</f>
        <v>1954</v>
      </c>
      <c r="D45" s="279">
        <f>C47</f>
        <v>7.4999999999999997E-3</v>
      </c>
      <c r="E45" s="280" t="s">
        <v>129</v>
      </c>
      <c r="F45" s="290"/>
      <c r="G45" s="291" t="s">
        <v>1069</v>
      </c>
    </row>
    <row r="46" spans="1:7" s="258" customFormat="1" ht="13.5" customHeight="1">
      <c r="A46" s="951" t="s">
        <v>794</v>
      </c>
      <c r="B46" s="292" t="s">
        <v>1062</v>
      </c>
      <c r="C46" s="293">
        <f>ROUND((C33+C39)*F27,0)</f>
        <v>1954</v>
      </c>
      <c r="D46" s="307"/>
      <c r="E46" s="280"/>
      <c r="F46" s="290"/>
      <c r="G46" s="291"/>
    </row>
    <row r="47" spans="1:7" s="258" customFormat="1" ht="13.5" customHeight="1">
      <c r="A47" s="951" t="s">
        <v>792</v>
      </c>
      <c r="B47" s="292" t="s">
        <v>1064</v>
      </c>
      <c r="C47" s="282">
        <f>ROUND(C40*F27,4)</f>
        <v>7.4999999999999997E-3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11260</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11260</v>
      </c>
      <c r="D51" s="276"/>
      <c r="E51" s="276"/>
      <c r="F51" s="308"/>
      <c r="G51" s="278" t="s">
        <v>64</v>
      </c>
    </row>
    <row r="52" spans="1:7" s="252" customFormat="1" ht="16.5" thickBot="1">
      <c r="A52" s="309" t="s">
        <v>65</v>
      </c>
      <c r="B52" s="310"/>
      <c r="C52" s="311">
        <f ca="1">C31+C51</f>
        <v>41729</v>
      </c>
      <c r="D52" s="310"/>
      <c r="E52" s="310"/>
      <c r="F52" s="310"/>
      <c r="G52" s="312"/>
    </row>
    <row r="55" spans="1:7" ht="15">
      <c r="B55" s="314" t="s">
        <v>66</v>
      </c>
      <c r="C55" s="315"/>
    </row>
    <row r="56" spans="1:7">
      <c r="B56" s="317" t="s">
        <v>67</v>
      </c>
      <c r="C56" s="318">
        <f ca="1">ROUND(C51/C52,3)</f>
        <v>0.27</v>
      </c>
    </row>
    <row r="57" spans="1:7">
      <c r="B57" s="317" t="s">
        <v>68</v>
      </c>
      <c r="C57" s="319">
        <f ca="1">1-C56</f>
        <v>0.73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7" t="s">
        <v>156</v>
      </c>
      <c r="B1" s="3277"/>
      <c r="C1" s="3277"/>
      <c r="D1" s="3277"/>
      <c r="E1" s="3277"/>
      <c r="F1" s="327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8" t="s">
        <v>169</v>
      </c>
      <c r="B2" s="3278"/>
      <c r="C2" s="3278"/>
      <c r="D2" s="3278"/>
      <c r="E2" s="3278"/>
      <c r="F2" s="327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7" t="s">
        <v>868</v>
      </c>
      <c r="B1" s="3277"/>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43573</v>
      </c>
      <c r="D1" s="1700" t="s">
        <v>1297</v>
      </c>
      <c r="E1" s="1695">
        <f>'数据-取费表'!B22</f>
        <v>4</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6</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H1" workbookViewId="0">
      <selection activeCell="J10" sqref="A10:XFD10"/>
    </sheetView>
  </sheetViews>
  <sheetFormatPr defaultRowHeight="13.5"/>
  <cols>
    <col min="1" max="1" width="40.125" style="1635" customWidth="1"/>
    <col min="2" max="2" width="6.25" style="1635" customWidth="1"/>
    <col min="3" max="3" width="11.75" style="1635" customWidth="1"/>
    <col min="4" max="4" width="4.625" style="1635" customWidth="1"/>
    <col min="5" max="5" width="40.125" style="1635" customWidth="1"/>
    <col min="6" max="6" width="7.875" style="1635" customWidth="1"/>
    <col min="7" max="7" width="10.875" style="1635" customWidth="1"/>
    <col min="8" max="10" width="13.875" style="1635" customWidth="1"/>
    <col min="11" max="11" width="6.25" style="1635" customWidth="1"/>
    <col min="12" max="12" width="9" style="1635" customWidth="1"/>
    <col min="13" max="13" width="17.75" style="1635" customWidth="1"/>
    <col min="14" max="14" width="42.625" style="1635" customWidth="1"/>
    <col min="15" max="15" width="10.625" style="1635" customWidth="1"/>
    <col min="16" max="16" width="16" style="1635" customWidth="1"/>
    <col min="17" max="17" width="14.375" style="1635" customWidth="1"/>
    <col min="18" max="18" width="6.75" style="1635" customWidth="1"/>
    <col min="19" max="19" width="8" style="1635" customWidth="1"/>
    <col min="20" max="20" width="7.875" style="1635" customWidth="1"/>
    <col min="21" max="256" width="9" style="1635"/>
    <col min="257" max="257" width="40.125" style="1635" customWidth="1"/>
    <col min="258" max="258" width="6.25" style="1635" customWidth="1"/>
    <col min="259" max="259" width="11.75" style="1635" customWidth="1"/>
    <col min="260" max="260" width="4.625" style="1635" customWidth="1"/>
    <col min="261" max="261" width="40.125" style="1635" customWidth="1"/>
    <col min="262" max="262" width="7.875" style="1635" customWidth="1"/>
    <col min="263" max="263" width="10.875" style="1635" customWidth="1"/>
    <col min="264" max="266" width="13.875" style="1635" customWidth="1"/>
    <col min="267" max="267" width="6.25" style="1635" customWidth="1"/>
    <col min="268" max="268" width="9" style="1635" customWidth="1"/>
    <col min="269" max="269" width="17.75" style="1635" customWidth="1"/>
    <col min="270" max="270" width="42.625" style="1635" customWidth="1"/>
    <col min="271" max="271" width="10.625" style="1635" customWidth="1"/>
    <col min="272" max="272" width="16" style="1635" customWidth="1"/>
    <col min="273" max="273" width="14.375" style="1635" customWidth="1"/>
    <col min="274" max="274" width="6.75" style="1635" customWidth="1"/>
    <col min="275" max="275" width="8" style="1635" customWidth="1"/>
    <col min="276" max="276" width="7.875" style="1635" customWidth="1"/>
    <col min="277" max="512" width="9" style="1635"/>
    <col min="513" max="513" width="40.125" style="1635" customWidth="1"/>
    <col min="514" max="514" width="6.25" style="1635" customWidth="1"/>
    <col min="515" max="515" width="11.75" style="1635" customWidth="1"/>
    <col min="516" max="516" width="4.625" style="1635" customWidth="1"/>
    <col min="517" max="517" width="40.125" style="1635" customWidth="1"/>
    <col min="518" max="518" width="7.875" style="1635" customWidth="1"/>
    <col min="519" max="519" width="10.875" style="1635" customWidth="1"/>
    <col min="520" max="522" width="13.875" style="1635" customWidth="1"/>
    <col min="523" max="523" width="6.25" style="1635" customWidth="1"/>
    <col min="524" max="524" width="9" style="1635" customWidth="1"/>
    <col min="525" max="525" width="17.75" style="1635" customWidth="1"/>
    <col min="526" max="526" width="42.625" style="1635" customWidth="1"/>
    <col min="527" max="527" width="10.625" style="1635" customWidth="1"/>
    <col min="528" max="528" width="16" style="1635" customWidth="1"/>
    <col min="529" max="529" width="14.375" style="1635" customWidth="1"/>
    <col min="530" max="530" width="6.75" style="1635" customWidth="1"/>
    <col min="531" max="531" width="8" style="1635" customWidth="1"/>
    <col min="532" max="532" width="7.875" style="1635" customWidth="1"/>
    <col min="533" max="768" width="9" style="1635"/>
    <col min="769" max="769" width="40.125" style="1635" customWidth="1"/>
    <col min="770" max="770" width="6.25" style="1635" customWidth="1"/>
    <col min="771" max="771" width="11.75" style="1635" customWidth="1"/>
    <col min="772" max="772" width="4.625" style="1635" customWidth="1"/>
    <col min="773" max="773" width="40.125" style="1635" customWidth="1"/>
    <col min="774" max="774" width="7.875" style="1635" customWidth="1"/>
    <col min="775" max="775" width="10.875" style="1635" customWidth="1"/>
    <col min="776" max="778" width="13.875" style="1635" customWidth="1"/>
    <col min="779" max="779" width="6.25" style="1635" customWidth="1"/>
    <col min="780" max="780" width="9" style="1635" customWidth="1"/>
    <col min="781" max="781" width="17.75" style="1635" customWidth="1"/>
    <col min="782" max="782" width="42.625" style="1635" customWidth="1"/>
    <col min="783" max="783" width="10.625" style="1635" customWidth="1"/>
    <col min="784" max="784" width="16" style="1635" customWidth="1"/>
    <col min="785" max="785" width="14.375" style="1635" customWidth="1"/>
    <col min="786" max="786" width="6.75" style="1635" customWidth="1"/>
    <col min="787" max="787" width="8" style="1635" customWidth="1"/>
    <col min="788" max="788" width="7.875" style="1635" customWidth="1"/>
    <col min="789" max="1024" width="9" style="1635"/>
    <col min="1025" max="1025" width="40.125" style="1635" customWidth="1"/>
    <col min="1026" max="1026" width="6.25" style="1635" customWidth="1"/>
    <col min="1027" max="1027" width="11.75" style="1635" customWidth="1"/>
    <col min="1028" max="1028" width="4.625" style="1635" customWidth="1"/>
    <col min="1029" max="1029" width="40.125" style="1635" customWidth="1"/>
    <col min="1030" max="1030" width="7.875" style="1635" customWidth="1"/>
    <col min="1031" max="1031" width="10.875" style="1635" customWidth="1"/>
    <col min="1032" max="1034" width="13.875" style="1635" customWidth="1"/>
    <col min="1035" max="1035" width="6.25" style="1635" customWidth="1"/>
    <col min="1036" max="1036" width="9" style="1635" customWidth="1"/>
    <col min="1037" max="1037" width="17.75" style="1635" customWidth="1"/>
    <col min="1038" max="1038" width="42.625" style="1635" customWidth="1"/>
    <col min="1039" max="1039" width="10.625" style="1635" customWidth="1"/>
    <col min="1040" max="1040" width="16" style="1635" customWidth="1"/>
    <col min="1041" max="1041" width="14.375" style="1635" customWidth="1"/>
    <col min="1042" max="1042" width="6.75" style="1635" customWidth="1"/>
    <col min="1043" max="1043" width="8" style="1635" customWidth="1"/>
    <col min="1044" max="1044" width="7.875" style="1635" customWidth="1"/>
    <col min="1045" max="1280" width="9" style="1635"/>
    <col min="1281" max="1281" width="40.125" style="1635" customWidth="1"/>
    <col min="1282" max="1282" width="6.25" style="1635" customWidth="1"/>
    <col min="1283" max="1283" width="11.75" style="1635" customWidth="1"/>
    <col min="1284" max="1284" width="4.625" style="1635" customWidth="1"/>
    <col min="1285" max="1285" width="40.125" style="1635" customWidth="1"/>
    <col min="1286" max="1286" width="7.875" style="1635" customWidth="1"/>
    <col min="1287" max="1287" width="10.875" style="1635" customWidth="1"/>
    <col min="1288" max="1290" width="13.875" style="1635" customWidth="1"/>
    <col min="1291" max="1291" width="6.25" style="1635" customWidth="1"/>
    <col min="1292" max="1292" width="9" style="1635" customWidth="1"/>
    <col min="1293" max="1293" width="17.75" style="1635" customWidth="1"/>
    <col min="1294" max="1294" width="42.625" style="1635" customWidth="1"/>
    <col min="1295" max="1295" width="10.625" style="1635" customWidth="1"/>
    <col min="1296" max="1296" width="16" style="1635" customWidth="1"/>
    <col min="1297" max="1297" width="14.375" style="1635" customWidth="1"/>
    <col min="1298" max="1298" width="6.75" style="1635" customWidth="1"/>
    <col min="1299" max="1299" width="8" style="1635" customWidth="1"/>
    <col min="1300" max="1300" width="7.875" style="1635" customWidth="1"/>
    <col min="1301" max="1536" width="9" style="1635"/>
    <col min="1537" max="1537" width="40.125" style="1635" customWidth="1"/>
    <col min="1538" max="1538" width="6.25" style="1635" customWidth="1"/>
    <col min="1539" max="1539" width="11.75" style="1635" customWidth="1"/>
    <col min="1540" max="1540" width="4.625" style="1635" customWidth="1"/>
    <col min="1541" max="1541" width="40.125" style="1635" customWidth="1"/>
    <col min="1542" max="1542" width="7.875" style="1635" customWidth="1"/>
    <col min="1543" max="1543" width="10.875" style="1635" customWidth="1"/>
    <col min="1544" max="1546" width="13.875" style="1635" customWidth="1"/>
    <col min="1547" max="1547" width="6.25" style="1635" customWidth="1"/>
    <col min="1548" max="1548" width="9" style="1635" customWidth="1"/>
    <col min="1549" max="1549" width="17.75" style="1635" customWidth="1"/>
    <col min="1550" max="1550" width="42.625" style="1635" customWidth="1"/>
    <col min="1551" max="1551" width="10.625" style="1635" customWidth="1"/>
    <col min="1552" max="1552" width="16" style="1635" customWidth="1"/>
    <col min="1553" max="1553" width="14.375" style="1635" customWidth="1"/>
    <col min="1554" max="1554" width="6.75" style="1635" customWidth="1"/>
    <col min="1555" max="1555" width="8" style="1635" customWidth="1"/>
    <col min="1556" max="1556" width="7.875" style="1635" customWidth="1"/>
    <col min="1557" max="1792" width="9" style="1635"/>
    <col min="1793" max="1793" width="40.125" style="1635" customWidth="1"/>
    <col min="1794" max="1794" width="6.25" style="1635" customWidth="1"/>
    <col min="1795" max="1795" width="11.75" style="1635" customWidth="1"/>
    <col min="1796" max="1796" width="4.625" style="1635" customWidth="1"/>
    <col min="1797" max="1797" width="40.125" style="1635" customWidth="1"/>
    <col min="1798" max="1798" width="7.875" style="1635" customWidth="1"/>
    <col min="1799" max="1799" width="10.875" style="1635" customWidth="1"/>
    <col min="1800" max="1802" width="13.875" style="1635" customWidth="1"/>
    <col min="1803" max="1803" width="6.25" style="1635" customWidth="1"/>
    <col min="1804" max="1804" width="9" style="1635" customWidth="1"/>
    <col min="1805" max="1805" width="17.75" style="1635" customWidth="1"/>
    <col min="1806" max="1806" width="42.625" style="1635" customWidth="1"/>
    <col min="1807" max="1807" width="10.625" style="1635" customWidth="1"/>
    <col min="1808" max="1808" width="16" style="1635" customWidth="1"/>
    <col min="1809" max="1809" width="14.375" style="1635" customWidth="1"/>
    <col min="1810" max="1810" width="6.75" style="1635" customWidth="1"/>
    <col min="1811" max="1811" width="8" style="1635" customWidth="1"/>
    <col min="1812" max="1812" width="7.875" style="1635" customWidth="1"/>
    <col min="1813" max="2048" width="9" style="1635"/>
    <col min="2049" max="2049" width="40.125" style="1635" customWidth="1"/>
    <col min="2050" max="2050" width="6.25" style="1635" customWidth="1"/>
    <col min="2051" max="2051" width="11.75" style="1635" customWidth="1"/>
    <col min="2052" max="2052" width="4.625" style="1635" customWidth="1"/>
    <col min="2053" max="2053" width="40.125" style="1635" customWidth="1"/>
    <col min="2054" max="2054" width="7.875" style="1635" customWidth="1"/>
    <col min="2055" max="2055" width="10.875" style="1635" customWidth="1"/>
    <col min="2056" max="2058" width="13.875" style="1635" customWidth="1"/>
    <col min="2059" max="2059" width="6.25" style="1635" customWidth="1"/>
    <col min="2060" max="2060" width="9" style="1635" customWidth="1"/>
    <col min="2061" max="2061" width="17.75" style="1635" customWidth="1"/>
    <col min="2062" max="2062" width="42.625" style="1635" customWidth="1"/>
    <col min="2063" max="2063" width="10.625" style="1635" customWidth="1"/>
    <col min="2064" max="2064" width="16" style="1635" customWidth="1"/>
    <col min="2065" max="2065" width="14.375" style="1635" customWidth="1"/>
    <col min="2066" max="2066" width="6.75" style="1635" customWidth="1"/>
    <col min="2067" max="2067" width="8" style="1635" customWidth="1"/>
    <col min="2068" max="2068" width="7.875" style="1635" customWidth="1"/>
    <col min="2069" max="2304" width="9" style="1635"/>
    <col min="2305" max="2305" width="40.125" style="1635" customWidth="1"/>
    <col min="2306" max="2306" width="6.25" style="1635" customWidth="1"/>
    <col min="2307" max="2307" width="11.75" style="1635" customWidth="1"/>
    <col min="2308" max="2308" width="4.625" style="1635" customWidth="1"/>
    <col min="2309" max="2309" width="40.125" style="1635" customWidth="1"/>
    <col min="2310" max="2310" width="7.875" style="1635" customWidth="1"/>
    <col min="2311" max="2311" width="10.875" style="1635" customWidth="1"/>
    <col min="2312" max="2314" width="13.875" style="1635" customWidth="1"/>
    <col min="2315" max="2315" width="6.25" style="1635" customWidth="1"/>
    <col min="2316" max="2316" width="9" style="1635" customWidth="1"/>
    <col min="2317" max="2317" width="17.75" style="1635" customWidth="1"/>
    <col min="2318" max="2318" width="42.625" style="1635" customWidth="1"/>
    <col min="2319" max="2319" width="10.625" style="1635" customWidth="1"/>
    <col min="2320" max="2320" width="16" style="1635" customWidth="1"/>
    <col min="2321" max="2321" width="14.375" style="1635" customWidth="1"/>
    <col min="2322" max="2322" width="6.75" style="1635" customWidth="1"/>
    <col min="2323" max="2323" width="8" style="1635" customWidth="1"/>
    <col min="2324" max="2324" width="7.875" style="1635" customWidth="1"/>
    <col min="2325" max="2560" width="9" style="1635"/>
    <col min="2561" max="2561" width="40.125" style="1635" customWidth="1"/>
    <col min="2562" max="2562" width="6.25" style="1635" customWidth="1"/>
    <col min="2563" max="2563" width="11.75" style="1635" customWidth="1"/>
    <col min="2564" max="2564" width="4.625" style="1635" customWidth="1"/>
    <col min="2565" max="2565" width="40.125" style="1635" customWidth="1"/>
    <col min="2566" max="2566" width="7.875" style="1635" customWidth="1"/>
    <col min="2567" max="2567" width="10.875" style="1635" customWidth="1"/>
    <col min="2568" max="2570" width="13.875" style="1635" customWidth="1"/>
    <col min="2571" max="2571" width="6.25" style="1635" customWidth="1"/>
    <col min="2572" max="2572" width="9" style="1635" customWidth="1"/>
    <col min="2573" max="2573" width="17.75" style="1635" customWidth="1"/>
    <col min="2574" max="2574" width="42.625" style="1635" customWidth="1"/>
    <col min="2575" max="2575" width="10.625" style="1635" customWidth="1"/>
    <col min="2576" max="2576" width="16" style="1635" customWidth="1"/>
    <col min="2577" max="2577" width="14.375" style="1635" customWidth="1"/>
    <col min="2578" max="2578" width="6.75" style="1635" customWidth="1"/>
    <col min="2579" max="2579" width="8" style="1635" customWidth="1"/>
    <col min="2580" max="2580" width="7.875" style="1635" customWidth="1"/>
    <col min="2581" max="2816" width="9" style="1635"/>
    <col min="2817" max="2817" width="40.125" style="1635" customWidth="1"/>
    <col min="2818" max="2818" width="6.25" style="1635" customWidth="1"/>
    <col min="2819" max="2819" width="11.75" style="1635" customWidth="1"/>
    <col min="2820" max="2820" width="4.625" style="1635" customWidth="1"/>
    <col min="2821" max="2821" width="40.125" style="1635" customWidth="1"/>
    <col min="2822" max="2822" width="7.875" style="1635" customWidth="1"/>
    <col min="2823" max="2823" width="10.875" style="1635" customWidth="1"/>
    <col min="2824" max="2826" width="13.875" style="1635" customWidth="1"/>
    <col min="2827" max="2827" width="6.25" style="1635" customWidth="1"/>
    <col min="2828" max="2828" width="9" style="1635" customWidth="1"/>
    <col min="2829" max="2829" width="17.75" style="1635" customWidth="1"/>
    <col min="2830" max="2830" width="42.625" style="1635" customWidth="1"/>
    <col min="2831" max="2831" width="10.625" style="1635" customWidth="1"/>
    <col min="2832" max="2832" width="16" style="1635" customWidth="1"/>
    <col min="2833" max="2833" width="14.375" style="1635" customWidth="1"/>
    <col min="2834" max="2834" width="6.75" style="1635" customWidth="1"/>
    <col min="2835" max="2835" width="8" style="1635" customWidth="1"/>
    <col min="2836" max="2836" width="7.875" style="1635" customWidth="1"/>
    <col min="2837" max="3072" width="9" style="1635"/>
    <col min="3073" max="3073" width="40.125" style="1635" customWidth="1"/>
    <col min="3074" max="3074" width="6.25" style="1635" customWidth="1"/>
    <col min="3075" max="3075" width="11.75" style="1635" customWidth="1"/>
    <col min="3076" max="3076" width="4.625" style="1635" customWidth="1"/>
    <col min="3077" max="3077" width="40.125" style="1635" customWidth="1"/>
    <col min="3078" max="3078" width="7.875" style="1635" customWidth="1"/>
    <col min="3079" max="3079" width="10.875" style="1635" customWidth="1"/>
    <col min="3080" max="3082" width="13.875" style="1635" customWidth="1"/>
    <col min="3083" max="3083" width="6.25" style="1635" customWidth="1"/>
    <col min="3084" max="3084" width="9" style="1635" customWidth="1"/>
    <col min="3085" max="3085" width="17.75" style="1635" customWidth="1"/>
    <col min="3086" max="3086" width="42.625" style="1635" customWidth="1"/>
    <col min="3087" max="3087" width="10.625" style="1635" customWidth="1"/>
    <col min="3088" max="3088" width="16" style="1635" customWidth="1"/>
    <col min="3089" max="3089" width="14.375" style="1635" customWidth="1"/>
    <col min="3090" max="3090" width="6.75" style="1635" customWidth="1"/>
    <col min="3091" max="3091" width="8" style="1635" customWidth="1"/>
    <col min="3092" max="3092" width="7.875" style="1635" customWidth="1"/>
    <col min="3093" max="3328" width="9" style="1635"/>
    <col min="3329" max="3329" width="40.125" style="1635" customWidth="1"/>
    <col min="3330" max="3330" width="6.25" style="1635" customWidth="1"/>
    <col min="3331" max="3331" width="11.75" style="1635" customWidth="1"/>
    <col min="3332" max="3332" width="4.625" style="1635" customWidth="1"/>
    <col min="3333" max="3333" width="40.125" style="1635" customWidth="1"/>
    <col min="3334" max="3334" width="7.875" style="1635" customWidth="1"/>
    <col min="3335" max="3335" width="10.875" style="1635" customWidth="1"/>
    <col min="3336" max="3338" width="13.875" style="1635" customWidth="1"/>
    <col min="3339" max="3339" width="6.25" style="1635" customWidth="1"/>
    <col min="3340" max="3340" width="9" style="1635" customWidth="1"/>
    <col min="3341" max="3341" width="17.75" style="1635" customWidth="1"/>
    <col min="3342" max="3342" width="42.625" style="1635" customWidth="1"/>
    <col min="3343" max="3343" width="10.625" style="1635" customWidth="1"/>
    <col min="3344" max="3344" width="16" style="1635" customWidth="1"/>
    <col min="3345" max="3345" width="14.375" style="1635" customWidth="1"/>
    <col min="3346" max="3346" width="6.75" style="1635" customWidth="1"/>
    <col min="3347" max="3347" width="8" style="1635" customWidth="1"/>
    <col min="3348" max="3348" width="7.875" style="1635" customWidth="1"/>
    <col min="3349" max="3584" width="9" style="1635"/>
    <col min="3585" max="3585" width="40.125" style="1635" customWidth="1"/>
    <col min="3586" max="3586" width="6.25" style="1635" customWidth="1"/>
    <col min="3587" max="3587" width="11.75" style="1635" customWidth="1"/>
    <col min="3588" max="3588" width="4.625" style="1635" customWidth="1"/>
    <col min="3589" max="3589" width="40.125" style="1635" customWidth="1"/>
    <col min="3590" max="3590" width="7.875" style="1635" customWidth="1"/>
    <col min="3591" max="3591" width="10.875" style="1635" customWidth="1"/>
    <col min="3592" max="3594" width="13.875" style="1635" customWidth="1"/>
    <col min="3595" max="3595" width="6.25" style="1635" customWidth="1"/>
    <col min="3596" max="3596" width="9" style="1635" customWidth="1"/>
    <col min="3597" max="3597" width="17.75" style="1635" customWidth="1"/>
    <col min="3598" max="3598" width="42.625" style="1635" customWidth="1"/>
    <col min="3599" max="3599" width="10.625" style="1635" customWidth="1"/>
    <col min="3600" max="3600" width="16" style="1635" customWidth="1"/>
    <col min="3601" max="3601" width="14.375" style="1635" customWidth="1"/>
    <col min="3602" max="3602" width="6.75" style="1635" customWidth="1"/>
    <col min="3603" max="3603" width="8" style="1635" customWidth="1"/>
    <col min="3604" max="3604" width="7.875" style="1635" customWidth="1"/>
    <col min="3605" max="3840" width="9" style="1635"/>
    <col min="3841" max="3841" width="40.125" style="1635" customWidth="1"/>
    <col min="3842" max="3842" width="6.25" style="1635" customWidth="1"/>
    <col min="3843" max="3843" width="11.75" style="1635" customWidth="1"/>
    <col min="3844" max="3844" width="4.625" style="1635" customWidth="1"/>
    <col min="3845" max="3845" width="40.125" style="1635" customWidth="1"/>
    <col min="3846" max="3846" width="7.875" style="1635" customWidth="1"/>
    <col min="3847" max="3847" width="10.875" style="1635" customWidth="1"/>
    <col min="3848" max="3850" width="13.875" style="1635" customWidth="1"/>
    <col min="3851" max="3851" width="6.25" style="1635" customWidth="1"/>
    <col min="3852" max="3852" width="9" style="1635" customWidth="1"/>
    <col min="3853" max="3853" width="17.75" style="1635" customWidth="1"/>
    <col min="3854" max="3854" width="42.625" style="1635" customWidth="1"/>
    <col min="3855" max="3855" width="10.625" style="1635" customWidth="1"/>
    <col min="3856" max="3856" width="16" style="1635" customWidth="1"/>
    <col min="3857" max="3857" width="14.375" style="1635" customWidth="1"/>
    <col min="3858" max="3858" width="6.75" style="1635" customWidth="1"/>
    <col min="3859" max="3859" width="8" style="1635" customWidth="1"/>
    <col min="3860" max="3860" width="7.875" style="1635" customWidth="1"/>
    <col min="3861" max="4096" width="9" style="1635"/>
    <col min="4097" max="4097" width="40.125" style="1635" customWidth="1"/>
    <col min="4098" max="4098" width="6.25" style="1635" customWidth="1"/>
    <col min="4099" max="4099" width="11.75" style="1635" customWidth="1"/>
    <col min="4100" max="4100" width="4.625" style="1635" customWidth="1"/>
    <col min="4101" max="4101" width="40.125" style="1635" customWidth="1"/>
    <col min="4102" max="4102" width="7.875" style="1635" customWidth="1"/>
    <col min="4103" max="4103" width="10.875" style="1635" customWidth="1"/>
    <col min="4104" max="4106" width="13.875" style="1635" customWidth="1"/>
    <col min="4107" max="4107" width="6.25" style="1635" customWidth="1"/>
    <col min="4108" max="4108" width="9" style="1635" customWidth="1"/>
    <col min="4109" max="4109" width="17.75" style="1635" customWidth="1"/>
    <col min="4110" max="4110" width="42.625" style="1635" customWidth="1"/>
    <col min="4111" max="4111" width="10.625" style="1635" customWidth="1"/>
    <col min="4112" max="4112" width="16" style="1635" customWidth="1"/>
    <col min="4113" max="4113" width="14.375" style="1635" customWidth="1"/>
    <col min="4114" max="4114" width="6.75" style="1635" customWidth="1"/>
    <col min="4115" max="4115" width="8" style="1635" customWidth="1"/>
    <col min="4116" max="4116" width="7.875" style="1635" customWidth="1"/>
    <col min="4117" max="4352" width="9" style="1635"/>
    <col min="4353" max="4353" width="40.125" style="1635" customWidth="1"/>
    <col min="4354" max="4354" width="6.25" style="1635" customWidth="1"/>
    <col min="4355" max="4355" width="11.75" style="1635" customWidth="1"/>
    <col min="4356" max="4356" width="4.625" style="1635" customWidth="1"/>
    <col min="4357" max="4357" width="40.125" style="1635" customWidth="1"/>
    <col min="4358" max="4358" width="7.875" style="1635" customWidth="1"/>
    <col min="4359" max="4359" width="10.875" style="1635" customWidth="1"/>
    <col min="4360" max="4362" width="13.875" style="1635" customWidth="1"/>
    <col min="4363" max="4363" width="6.25" style="1635" customWidth="1"/>
    <col min="4364" max="4364" width="9" style="1635" customWidth="1"/>
    <col min="4365" max="4365" width="17.75" style="1635" customWidth="1"/>
    <col min="4366" max="4366" width="42.625" style="1635" customWidth="1"/>
    <col min="4367" max="4367" width="10.625" style="1635" customWidth="1"/>
    <col min="4368" max="4368" width="16" style="1635" customWidth="1"/>
    <col min="4369" max="4369" width="14.375" style="1635" customWidth="1"/>
    <col min="4370" max="4370" width="6.75" style="1635" customWidth="1"/>
    <col min="4371" max="4371" width="8" style="1635" customWidth="1"/>
    <col min="4372" max="4372" width="7.875" style="1635" customWidth="1"/>
    <col min="4373" max="4608" width="9" style="1635"/>
    <col min="4609" max="4609" width="40.125" style="1635" customWidth="1"/>
    <col min="4610" max="4610" width="6.25" style="1635" customWidth="1"/>
    <col min="4611" max="4611" width="11.75" style="1635" customWidth="1"/>
    <col min="4612" max="4612" width="4.625" style="1635" customWidth="1"/>
    <col min="4613" max="4613" width="40.125" style="1635" customWidth="1"/>
    <col min="4614" max="4614" width="7.875" style="1635" customWidth="1"/>
    <col min="4615" max="4615" width="10.875" style="1635" customWidth="1"/>
    <col min="4616" max="4618" width="13.875" style="1635" customWidth="1"/>
    <col min="4619" max="4619" width="6.25" style="1635" customWidth="1"/>
    <col min="4620" max="4620" width="9" style="1635" customWidth="1"/>
    <col min="4621" max="4621" width="17.75" style="1635" customWidth="1"/>
    <col min="4622" max="4622" width="42.625" style="1635" customWidth="1"/>
    <col min="4623" max="4623" width="10.625" style="1635" customWidth="1"/>
    <col min="4624" max="4624" width="16" style="1635" customWidth="1"/>
    <col min="4625" max="4625" width="14.375" style="1635" customWidth="1"/>
    <col min="4626" max="4626" width="6.75" style="1635" customWidth="1"/>
    <col min="4627" max="4627" width="8" style="1635" customWidth="1"/>
    <col min="4628" max="4628" width="7.875" style="1635" customWidth="1"/>
    <col min="4629" max="4864" width="9" style="1635"/>
    <col min="4865" max="4865" width="40.125" style="1635" customWidth="1"/>
    <col min="4866" max="4866" width="6.25" style="1635" customWidth="1"/>
    <col min="4867" max="4867" width="11.75" style="1635" customWidth="1"/>
    <col min="4868" max="4868" width="4.625" style="1635" customWidth="1"/>
    <col min="4869" max="4869" width="40.125" style="1635" customWidth="1"/>
    <col min="4870" max="4870" width="7.875" style="1635" customWidth="1"/>
    <col min="4871" max="4871" width="10.875" style="1635" customWidth="1"/>
    <col min="4872" max="4874" width="13.875" style="1635" customWidth="1"/>
    <col min="4875" max="4875" width="6.25" style="1635" customWidth="1"/>
    <col min="4876" max="4876" width="9" style="1635" customWidth="1"/>
    <col min="4877" max="4877" width="17.75" style="1635" customWidth="1"/>
    <col min="4878" max="4878" width="42.625" style="1635" customWidth="1"/>
    <col min="4879" max="4879" width="10.625" style="1635" customWidth="1"/>
    <col min="4880" max="4880" width="16" style="1635" customWidth="1"/>
    <col min="4881" max="4881" width="14.375" style="1635" customWidth="1"/>
    <col min="4882" max="4882" width="6.75" style="1635" customWidth="1"/>
    <col min="4883" max="4883" width="8" style="1635" customWidth="1"/>
    <col min="4884" max="4884" width="7.875" style="1635" customWidth="1"/>
    <col min="4885" max="5120" width="9" style="1635"/>
    <col min="5121" max="5121" width="40.125" style="1635" customWidth="1"/>
    <col min="5122" max="5122" width="6.25" style="1635" customWidth="1"/>
    <col min="5123" max="5123" width="11.75" style="1635" customWidth="1"/>
    <col min="5124" max="5124" width="4.625" style="1635" customWidth="1"/>
    <col min="5125" max="5125" width="40.125" style="1635" customWidth="1"/>
    <col min="5126" max="5126" width="7.875" style="1635" customWidth="1"/>
    <col min="5127" max="5127" width="10.875" style="1635" customWidth="1"/>
    <col min="5128" max="5130" width="13.875" style="1635" customWidth="1"/>
    <col min="5131" max="5131" width="6.25" style="1635" customWidth="1"/>
    <col min="5132" max="5132" width="9" style="1635" customWidth="1"/>
    <col min="5133" max="5133" width="17.75" style="1635" customWidth="1"/>
    <col min="5134" max="5134" width="42.625" style="1635" customWidth="1"/>
    <col min="5135" max="5135" width="10.625" style="1635" customWidth="1"/>
    <col min="5136" max="5136" width="16" style="1635" customWidth="1"/>
    <col min="5137" max="5137" width="14.375" style="1635" customWidth="1"/>
    <col min="5138" max="5138" width="6.75" style="1635" customWidth="1"/>
    <col min="5139" max="5139" width="8" style="1635" customWidth="1"/>
    <col min="5140" max="5140" width="7.875" style="1635" customWidth="1"/>
    <col min="5141" max="5376" width="9" style="1635"/>
    <col min="5377" max="5377" width="40.125" style="1635" customWidth="1"/>
    <col min="5378" max="5378" width="6.25" style="1635" customWidth="1"/>
    <col min="5379" max="5379" width="11.75" style="1635" customWidth="1"/>
    <col min="5380" max="5380" width="4.625" style="1635" customWidth="1"/>
    <col min="5381" max="5381" width="40.125" style="1635" customWidth="1"/>
    <col min="5382" max="5382" width="7.875" style="1635" customWidth="1"/>
    <col min="5383" max="5383" width="10.875" style="1635" customWidth="1"/>
    <col min="5384" max="5386" width="13.875" style="1635" customWidth="1"/>
    <col min="5387" max="5387" width="6.25" style="1635" customWidth="1"/>
    <col min="5388" max="5388" width="9" style="1635" customWidth="1"/>
    <col min="5389" max="5389" width="17.75" style="1635" customWidth="1"/>
    <col min="5390" max="5390" width="42.625" style="1635" customWidth="1"/>
    <col min="5391" max="5391" width="10.625" style="1635" customWidth="1"/>
    <col min="5392" max="5392" width="16" style="1635" customWidth="1"/>
    <col min="5393" max="5393" width="14.375" style="1635" customWidth="1"/>
    <col min="5394" max="5394" width="6.75" style="1635" customWidth="1"/>
    <col min="5395" max="5395" width="8" style="1635" customWidth="1"/>
    <col min="5396" max="5396" width="7.875" style="1635" customWidth="1"/>
    <col min="5397" max="5632" width="9" style="1635"/>
    <col min="5633" max="5633" width="40.125" style="1635" customWidth="1"/>
    <col min="5634" max="5634" width="6.25" style="1635" customWidth="1"/>
    <col min="5635" max="5635" width="11.75" style="1635" customWidth="1"/>
    <col min="5636" max="5636" width="4.625" style="1635" customWidth="1"/>
    <col min="5637" max="5637" width="40.125" style="1635" customWidth="1"/>
    <col min="5638" max="5638" width="7.875" style="1635" customWidth="1"/>
    <col min="5639" max="5639" width="10.875" style="1635" customWidth="1"/>
    <col min="5640" max="5642" width="13.875" style="1635" customWidth="1"/>
    <col min="5643" max="5643" width="6.25" style="1635" customWidth="1"/>
    <col min="5644" max="5644" width="9" style="1635" customWidth="1"/>
    <col min="5645" max="5645" width="17.75" style="1635" customWidth="1"/>
    <col min="5646" max="5646" width="42.625" style="1635" customWidth="1"/>
    <col min="5647" max="5647" width="10.625" style="1635" customWidth="1"/>
    <col min="5648" max="5648" width="16" style="1635" customWidth="1"/>
    <col min="5649" max="5649" width="14.375" style="1635" customWidth="1"/>
    <col min="5650" max="5650" width="6.75" style="1635" customWidth="1"/>
    <col min="5651" max="5651" width="8" style="1635" customWidth="1"/>
    <col min="5652" max="5652" width="7.875" style="1635" customWidth="1"/>
    <col min="5653" max="5888" width="9" style="1635"/>
    <col min="5889" max="5889" width="40.125" style="1635" customWidth="1"/>
    <col min="5890" max="5890" width="6.25" style="1635" customWidth="1"/>
    <col min="5891" max="5891" width="11.75" style="1635" customWidth="1"/>
    <col min="5892" max="5892" width="4.625" style="1635" customWidth="1"/>
    <col min="5893" max="5893" width="40.125" style="1635" customWidth="1"/>
    <col min="5894" max="5894" width="7.875" style="1635" customWidth="1"/>
    <col min="5895" max="5895" width="10.875" style="1635" customWidth="1"/>
    <col min="5896" max="5898" width="13.875" style="1635" customWidth="1"/>
    <col min="5899" max="5899" width="6.25" style="1635" customWidth="1"/>
    <col min="5900" max="5900" width="9" style="1635" customWidth="1"/>
    <col min="5901" max="5901" width="17.75" style="1635" customWidth="1"/>
    <col min="5902" max="5902" width="42.625" style="1635" customWidth="1"/>
    <col min="5903" max="5903" width="10.625" style="1635" customWidth="1"/>
    <col min="5904" max="5904" width="16" style="1635" customWidth="1"/>
    <col min="5905" max="5905" width="14.375" style="1635" customWidth="1"/>
    <col min="5906" max="5906" width="6.75" style="1635" customWidth="1"/>
    <col min="5907" max="5907" width="8" style="1635" customWidth="1"/>
    <col min="5908" max="5908" width="7.875" style="1635" customWidth="1"/>
    <col min="5909" max="6144" width="9" style="1635"/>
    <col min="6145" max="6145" width="40.125" style="1635" customWidth="1"/>
    <col min="6146" max="6146" width="6.25" style="1635" customWidth="1"/>
    <col min="6147" max="6147" width="11.75" style="1635" customWidth="1"/>
    <col min="6148" max="6148" width="4.625" style="1635" customWidth="1"/>
    <col min="6149" max="6149" width="40.125" style="1635" customWidth="1"/>
    <col min="6150" max="6150" width="7.875" style="1635" customWidth="1"/>
    <col min="6151" max="6151" width="10.875" style="1635" customWidth="1"/>
    <col min="6152" max="6154" width="13.875" style="1635" customWidth="1"/>
    <col min="6155" max="6155" width="6.25" style="1635" customWidth="1"/>
    <col min="6156" max="6156" width="9" style="1635" customWidth="1"/>
    <col min="6157" max="6157" width="17.75" style="1635" customWidth="1"/>
    <col min="6158" max="6158" width="42.625" style="1635" customWidth="1"/>
    <col min="6159" max="6159" width="10.625" style="1635" customWidth="1"/>
    <col min="6160" max="6160" width="16" style="1635" customWidth="1"/>
    <col min="6161" max="6161" width="14.375" style="1635" customWidth="1"/>
    <col min="6162" max="6162" width="6.75" style="1635" customWidth="1"/>
    <col min="6163" max="6163" width="8" style="1635" customWidth="1"/>
    <col min="6164" max="6164" width="7.875" style="1635" customWidth="1"/>
    <col min="6165" max="6400" width="9" style="1635"/>
    <col min="6401" max="6401" width="40.125" style="1635" customWidth="1"/>
    <col min="6402" max="6402" width="6.25" style="1635" customWidth="1"/>
    <col min="6403" max="6403" width="11.75" style="1635" customWidth="1"/>
    <col min="6404" max="6404" width="4.625" style="1635" customWidth="1"/>
    <col min="6405" max="6405" width="40.125" style="1635" customWidth="1"/>
    <col min="6406" max="6406" width="7.875" style="1635" customWidth="1"/>
    <col min="6407" max="6407" width="10.875" style="1635" customWidth="1"/>
    <col min="6408" max="6410" width="13.875" style="1635" customWidth="1"/>
    <col min="6411" max="6411" width="6.25" style="1635" customWidth="1"/>
    <col min="6412" max="6412" width="9" style="1635" customWidth="1"/>
    <col min="6413" max="6413" width="17.75" style="1635" customWidth="1"/>
    <col min="6414" max="6414" width="42.625" style="1635" customWidth="1"/>
    <col min="6415" max="6415" width="10.625" style="1635" customWidth="1"/>
    <col min="6416" max="6416" width="16" style="1635" customWidth="1"/>
    <col min="6417" max="6417" width="14.375" style="1635" customWidth="1"/>
    <col min="6418" max="6418" width="6.75" style="1635" customWidth="1"/>
    <col min="6419" max="6419" width="8" style="1635" customWidth="1"/>
    <col min="6420" max="6420" width="7.875" style="1635" customWidth="1"/>
    <col min="6421" max="6656" width="9" style="1635"/>
    <col min="6657" max="6657" width="40.125" style="1635" customWidth="1"/>
    <col min="6658" max="6658" width="6.25" style="1635" customWidth="1"/>
    <col min="6659" max="6659" width="11.75" style="1635" customWidth="1"/>
    <col min="6660" max="6660" width="4.625" style="1635" customWidth="1"/>
    <col min="6661" max="6661" width="40.125" style="1635" customWidth="1"/>
    <col min="6662" max="6662" width="7.875" style="1635" customWidth="1"/>
    <col min="6663" max="6663" width="10.875" style="1635" customWidth="1"/>
    <col min="6664" max="6666" width="13.875" style="1635" customWidth="1"/>
    <col min="6667" max="6667" width="6.25" style="1635" customWidth="1"/>
    <col min="6668" max="6668" width="9" style="1635" customWidth="1"/>
    <col min="6669" max="6669" width="17.75" style="1635" customWidth="1"/>
    <col min="6670" max="6670" width="42.625" style="1635" customWidth="1"/>
    <col min="6671" max="6671" width="10.625" style="1635" customWidth="1"/>
    <col min="6672" max="6672" width="16" style="1635" customWidth="1"/>
    <col min="6673" max="6673" width="14.375" style="1635" customWidth="1"/>
    <col min="6674" max="6674" width="6.75" style="1635" customWidth="1"/>
    <col min="6675" max="6675" width="8" style="1635" customWidth="1"/>
    <col min="6676" max="6676" width="7.875" style="1635" customWidth="1"/>
    <col min="6677" max="6912" width="9" style="1635"/>
    <col min="6913" max="6913" width="40.125" style="1635" customWidth="1"/>
    <col min="6914" max="6914" width="6.25" style="1635" customWidth="1"/>
    <col min="6915" max="6915" width="11.75" style="1635" customWidth="1"/>
    <col min="6916" max="6916" width="4.625" style="1635" customWidth="1"/>
    <col min="6917" max="6917" width="40.125" style="1635" customWidth="1"/>
    <col min="6918" max="6918" width="7.875" style="1635" customWidth="1"/>
    <col min="6919" max="6919" width="10.875" style="1635" customWidth="1"/>
    <col min="6920" max="6922" width="13.875" style="1635" customWidth="1"/>
    <col min="6923" max="6923" width="6.25" style="1635" customWidth="1"/>
    <col min="6924" max="6924" width="9" style="1635" customWidth="1"/>
    <col min="6925" max="6925" width="17.75" style="1635" customWidth="1"/>
    <col min="6926" max="6926" width="42.625" style="1635" customWidth="1"/>
    <col min="6927" max="6927" width="10.625" style="1635" customWidth="1"/>
    <col min="6928" max="6928" width="16" style="1635" customWidth="1"/>
    <col min="6929" max="6929" width="14.375" style="1635" customWidth="1"/>
    <col min="6930" max="6930" width="6.75" style="1635" customWidth="1"/>
    <col min="6931" max="6931" width="8" style="1635" customWidth="1"/>
    <col min="6932" max="6932" width="7.875" style="1635" customWidth="1"/>
    <col min="6933" max="7168" width="9" style="1635"/>
    <col min="7169" max="7169" width="40.125" style="1635" customWidth="1"/>
    <col min="7170" max="7170" width="6.25" style="1635" customWidth="1"/>
    <col min="7171" max="7171" width="11.75" style="1635" customWidth="1"/>
    <col min="7172" max="7172" width="4.625" style="1635" customWidth="1"/>
    <col min="7173" max="7173" width="40.125" style="1635" customWidth="1"/>
    <col min="7174" max="7174" width="7.875" style="1635" customWidth="1"/>
    <col min="7175" max="7175" width="10.875" style="1635" customWidth="1"/>
    <col min="7176" max="7178" width="13.875" style="1635" customWidth="1"/>
    <col min="7179" max="7179" width="6.25" style="1635" customWidth="1"/>
    <col min="7180" max="7180" width="9" style="1635" customWidth="1"/>
    <col min="7181" max="7181" width="17.75" style="1635" customWidth="1"/>
    <col min="7182" max="7182" width="42.625" style="1635" customWidth="1"/>
    <col min="7183" max="7183" width="10.625" style="1635" customWidth="1"/>
    <col min="7184" max="7184" width="16" style="1635" customWidth="1"/>
    <col min="7185" max="7185" width="14.375" style="1635" customWidth="1"/>
    <col min="7186" max="7186" width="6.75" style="1635" customWidth="1"/>
    <col min="7187" max="7187" width="8" style="1635" customWidth="1"/>
    <col min="7188" max="7188" width="7.875" style="1635" customWidth="1"/>
    <col min="7189" max="7424" width="9" style="1635"/>
    <col min="7425" max="7425" width="40.125" style="1635" customWidth="1"/>
    <col min="7426" max="7426" width="6.25" style="1635" customWidth="1"/>
    <col min="7427" max="7427" width="11.75" style="1635" customWidth="1"/>
    <col min="7428" max="7428" width="4.625" style="1635" customWidth="1"/>
    <col min="7429" max="7429" width="40.125" style="1635" customWidth="1"/>
    <col min="7430" max="7430" width="7.875" style="1635" customWidth="1"/>
    <col min="7431" max="7431" width="10.875" style="1635" customWidth="1"/>
    <col min="7432" max="7434" width="13.875" style="1635" customWidth="1"/>
    <col min="7435" max="7435" width="6.25" style="1635" customWidth="1"/>
    <col min="7436" max="7436" width="9" style="1635" customWidth="1"/>
    <col min="7437" max="7437" width="17.75" style="1635" customWidth="1"/>
    <col min="7438" max="7438" width="42.625" style="1635" customWidth="1"/>
    <col min="7439" max="7439" width="10.625" style="1635" customWidth="1"/>
    <col min="7440" max="7440" width="16" style="1635" customWidth="1"/>
    <col min="7441" max="7441" width="14.375" style="1635" customWidth="1"/>
    <col min="7442" max="7442" width="6.75" style="1635" customWidth="1"/>
    <col min="7443" max="7443" width="8" style="1635" customWidth="1"/>
    <col min="7444" max="7444" width="7.875" style="1635" customWidth="1"/>
    <col min="7445" max="7680" width="9" style="1635"/>
    <col min="7681" max="7681" width="40.125" style="1635" customWidth="1"/>
    <col min="7682" max="7682" width="6.25" style="1635" customWidth="1"/>
    <col min="7683" max="7683" width="11.75" style="1635" customWidth="1"/>
    <col min="7684" max="7684" width="4.625" style="1635" customWidth="1"/>
    <col min="7685" max="7685" width="40.125" style="1635" customWidth="1"/>
    <col min="7686" max="7686" width="7.875" style="1635" customWidth="1"/>
    <col min="7687" max="7687" width="10.875" style="1635" customWidth="1"/>
    <col min="7688" max="7690" width="13.875" style="1635" customWidth="1"/>
    <col min="7691" max="7691" width="6.25" style="1635" customWidth="1"/>
    <col min="7692" max="7692" width="9" style="1635" customWidth="1"/>
    <col min="7693" max="7693" width="17.75" style="1635" customWidth="1"/>
    <col min="7694" max="7694" width="42.625" style="1635" customWidth="1"/>
    <col min="7695" max="7695" width="10.625" style="1635" customWidth="1"/>
    <col min="7696" max="7696" width="16" style="1635" customWidth="1"/>
    <col min="7697" max="7697" width="14.375" style="1635" customWidth="1"/>
    <col min="7698" max="7698" width="6.75" style="1635" customWidth="1"/>
    <col min="7699" max="7699" width="8" style="1635" customWidth="1"/>
    <col min="7700" max="7700" width="7.875" style="1635" customWidth="1"/>
    <col min="7701" max="7936" width="9" style="1635"/>
    <col min="7937" max="7937" width="40.125" style="1635" customWidth="1"/>
    <col min="7938" max="7938" width="6.25" style="1635" customWidth="1"/>
    <col min="7939" max="7939" width="11.75" style="1635" customWidth="1"/>
    <col min="7940" max="7940" width="4.625" style="1635" customWidth="1"/>
    <col min="7941" max="7941" width="40.125" style="1635" customWidth="1"/>
    <col min="7942" max="7942" width="7.875" style="1635" customWidth="1"/>
    <col min="7943" max="7943" width="10.875" style="1635" customWidth="1"/>
    <col min="7944" max="7946" width="13.875" style="1635" customWidth="1"/>
    <col min="7947" max="7947" width="6.25" style="1635" customWidth="1"/>
    <col min="7948" max="7948" width="9" style="1635" customWidth="1"/>
    <col min="7949" max="7949" width="17.75" style="1635" customWidth="1"/>
    <col min="7950" max="7950" width="42.625" style="1635" customWidth="1"/>
    <col min="7951" max="7951" width="10.625" style="1635" customWidth="1"/>
    <col min="7952" max="7952" width="16" style="1635" customWidth="1"/>
    <col min="7953" max="7953" width="14.375" style="1635" customWidth="1"/>
    <col min="7954" max="7954" width="6.75" style="1635" customWidth="1"/>
    <col min="7955" max="7955" width="8" style="1635" customWidth="1"/>
    <col min="7956" max="7956" width="7.875" style="1635" customWidth="1"/>
    <col min="7957" max="8192" width="9" style="1635"/>
    <col min="8193" max="8193" width="40.125" style="1635" customWidth="1"/>
    <col min="8194" max="8194" width="6.25" style="1635" customWidth="1"/>
    <col min="8195" max="8195" width="11.75" style="1635" customWidth="1"/>
    <col min="8196" max="8196" width="4.625" style="1635" customWidth="1"/>
    <col min="8197" max="8197" width="40.125" style="1635" customWidth="1"/>
    <col min="8198" max="8198" width="7.875" style="1635" customWidth="1"/>
    <col min="8199" max="8199" width="10.875" style="1635" customWidth="1"/>
    <col min="8200" max="8202" width="13.875" style="1635" customWidth="1"/>
    <col min="8203" max="8203" width="6.25" style="1635" customWidth="1"/>
    <col min="8204" max="8204" width="9" style="1635" customWidth="1"/>
    <col min="8205" max="8205" width="17.75" style="1635" customWidth="1"/>
    <col min="8206" max="8206" width="42.625" style="1635" customWidth="1"/>
    <col min="8207" max="8207" width="10.625" style="1635" customWidth="1"/>
    <col min="8208" max="8208" width="16" style="1635" customWidth="1"/>
    <col min="8209" max="8209" width="14.375" style="1635" customWidth="1"/>
    <col min="8210" max="8210" width="6.75" style="1635" customWidth="1"/>
    <col min="8211" max="8211" width="8" style="1635" customWidth="1"/>
    <col min="8212" max="8212" width="7.875" style="1635" customWidth="1"/>
    <col min="8213" max="8448" width="9" style="1635"/>
    <col min="8449" max="8449" width="40.125" style="1635" customWidth="1"/>
    <col min="8450" max="8450" width="6.25" style="1635" customWidth="1"/>
    <col min="8451" max="8451" width="11.75" style="1635" customWidth="1"/>
    <col min="8452" max="8452" width="4.625" style="1635" customWidth="1"/>
    <col min="8453" max="8453" width="40.125" style="1635" customWidth="1"/>
    <col min="8454" max="8454" width="7.875" style="1635" customWidth="1"/>
    <col min="8455" max="8455" width="10.875" style="1635" customWidth="1"/>
    <col min="8456" max="8458" width="13.875" style="1635" customWidth="1"/>
    <col min="8459" max="8459" width="6.25" style="1635" customWidth="1"/>
    <col min="8460" max="8460" width="9" style="1635" customWidth="1"/>
    <col min="8461" max="8461" width="17.75" style="1635" customWidth="1"/>
    <col min="8462" max="8462" width="42.625" style="1635" customWidth="1"/>
    <col min="8463" max="8463" width="10.625" style="1635" customWidth="1"/>
    <col min="8464" max="8464" width="16" style="1635" customWidth="1"/>
    <col min="8465" max="8465" width="14.375" style="1635" customWidth="1"/>
    <col min="8466" max="8466" width="6.75" style="1635" customWidth="1"/>
    <col min="8467" max="8467" width="8" style="1635" customWidth="1"/>
    <col min="8468" max="8468" width="7.875" style="1635" customWidth="1"/>
    <col min="8469" max="8704" width="9" style="1635"/>
    <col min="8705" max="8705" width="40.125" style="1635" customWidth="1"/>
    <col min="8706" max="8706" width="6.25" style="1635" customWidth="1"/>
    <col min="8707" max="8707" width="11.75" style="1635" customWidth="1"/>
    <col min="8708" max="8708" width="4.625" style="1635" customWidth="1"/>
    <col min="8709" max="8709" width="40.125" style="1635" customWidth="1"/>
    <col min="8710" max="8710" width="7.875" style="1635" customWidth="1"/>
    <col min="8711" max="8711" width="10.875" style="1635" customWidth="1"/>
    <col min="8712" max="8714" width="13.875" style="1635" customWidth="1"/>
    <col min="8715" max="8715" width="6.25" style="1635" customWidth="1"/>
    <col min="8716" max="8716" width="9" style="1635" customWidth="1"/>
    <col min="8717" max="8717" width="17.75" style="1635" customWidth="1"/>
    <col min="8718" max="8718" width="42.625" style="1635" customWidth="1"/>
    <col min="8719" max="8719" width="10.625" style="1635" customWidth="1"/>
    <col min="8720" max="8720" width="16" style="1635" customWidth="1"/>
    <col min="8721" max="8721" width="14.375" style="1635" customWidth="1"/>
    <col min="8722" max="8722" width="6.75" style="1635" customWidth="1"/>
    <col min="8723" max="8723" width="8" style="1635" customWidth="1"/>
    <col min="8724" max="8724" width="7.875" style="1635" customWidth="1"/>
    <col min="8725" max="8960" width="9" style="1635"/>
    <col min="8961" max="8961" width="40.125" style="1635" customWidth="1"/>
    <col min="8962" max="8962" width="6.25" style="1635" customWidth="1"/>
    <col min="8963" max="8963" width="11.75" style="1635" customWidth="1"/>
    <col min="8964" max="8964" width="4.625" style="1635" customWidth="1"/>
    <col min="8965" max="8965" width="40.125" style="1635" customWidth="1"/>
    <col min="8966" max="8966" width="7.875" style="1635" customWidth="1"/>
    <col min="8967" max="8967" width="10.875" style="1635" customWidth="1"/>
    <col min="8968" max="8970" width="13.875" style="1635" customWidth="1"/>
    <col min="8971" max="8971" width="6.25" style="1635" customWidth="1"/>
    <col min="8972" max="8972" width="9" style="1635" customWidth="1"/>
    <col min="8973" max="8973" width="17.75" style="1635" customWidth="1"/>
    <col min="8974" max="8974" width="42.625" style="1635" customWidth="1"/>
    <col min="8975" max="8975" width="10.625" style="1635" customWidth="1"/>
    <col min="8976" max="8976" width="16" style="1635" customWidth="1"/>
    <col min="8977" max="8977" width="14.375" style="1635" customWidth="1"/>
    <col min="8978" max="8978" width="6.75" style="1635" customWidth="1"/>
    <col min="8979" max="8979" width="8" style="1635" customWidth="1"/>
    <col min="8980" max="8980" width="7.875" style="1635" customWidth="1"/>
    <col min="8981" max="9216" width="9" style="1635"/>
    <col min="9217" max="9217" width="40.125" style="1635" customWidth="1"/>
    <col min="9218" max="9218" width="6.25" style="1635" customWidth="1"/>
    <col min="9219" max="9219" width="11.75" style="1635" customWidth="1"/>
    <col min="9220" max="9220" width="4.625" style="1635" customWidth="1"/>
    <col min="9221" max="9221" width="40.125" style="1635" customWidth="1"/>
    <col min="9222" max="9222" width="7.875" style="1635" customWidth="1"/>
    <col min="9223" max="9223" width="10.875" style="1635" customWidth="1"/>
    <col min="9224" max="9226" width="13.875" style="1635" customWidth="1"/>
    <col min="9227" max="9227" width="6.25" style="1635" customWidth="1"/>
    <col min="9228" max="9228" width="9" style="1635" customWidth="1"/>
    <col min="9229" max="9229" width="17.75" style="1635" customWidth="1"/>
    <col min="9230" max="9230" width="42.625" style="1635" customWidth="1"/>
    <col min="9231" max="9231" width="10.625" style="1635" customWidth="1"/>
    <col min="9232" max="9232" width="16" style="1635" customWidth="1"/>
    <col min="9233" max="9233" width="14.375" style="1635" customWidth="1"/>
    <col min="9234" max="9234" width="6.75" style="1635" customWidth="1"/>
    <col min="9235" max="9235" width="8" style="1635" customWidth="1"/>
    <col min="9236" max="9236" width="7.875" style="1635" customWidth="1"/>
    <col min="9237" max="9472" width="9" style="1635"/>
    <col min="9473" max="9473" width="40.125" style="1635" customWidth="1"/>
    <col min="9474" max="9474" width="6.25" style="1635" customWidth="1"/>
    <col min="9475" max="9475" width="11.75" style="1635" customWidth="1"/>
    <col min="9476" max="9476" width="4.625" style="1635" customWidth="1"/>
    <col min="9477" max="9477" width="40.125" style="1635" customWidth="1"/>
    <col min="9478" max="9478" width="7.875" style="1635" customWidth="1"/>
    <col min="9479" max="9479" width="10.875" style="1635" customWidth="1"/>
    <col min="9480" max="9482" width="13.875" style="1635" customWidth="1"/>
    <col min="9483" max="9483" width="6.25" style="1635" customWidth="1"/>
    <col min="9484" max="9484" width="9" style="1635" customWidth="1"/>
    <col min="9485" max="9485" width="17.75" style="1635" customWidth="1"/>
    <col min="9486" max="9486" width="42.625" style="1635" customWidth="1"/>
    <col min="9487" max="9487" width="10.625" style="1635" customWidth="1"/>
    <col min="9488" max="9488" width="16" style="1635" customWidth="1"/>
    <col min="9489" max="9489" width="14.375" style="1635" customWidth="1"/>
    <col min="9490" max="9490" width="6.75" style="1635" customWidth="1"/>
    <col min="9491" max="9491" width="8" style="1635" customWidth="1"/>
    <col min="9492" max="9492" width="7.875" style="1635" customWidth="1"/>
    <col min="9493" max="9728" width="9" style="1635"/>
    <col min="9729" max="9729" width="40.125" style="1635" customWidth="1"/>
    <col min="9730" max="9730" width="6.25" style="1635" customWidth="1"/>
    <col min="9731" max="9731" width="11.75" style="1635" customWidth="1"/>
    <col min="9732" max="9732" width="4.625" style="1635" customWidth="1"/>
    <col min="9733" max="9733" width="40.125" style="1635" customWidth="1"/>
    <col min="9734" max="9734" width="7.875" style="1635" customWidth="1"/>
    <col min="9735" max="9735" width="10.875" style="1635" customWidth="1"/>
    <col min="9736" max="9738" width="13.875" style="1635" customWidth="1"/>
    <col min="9739" max="9739" width="6.25" style="1635" customWidth="1"/>
    <col min="9740" max="9740" width="9" style="1635" customWidth="1"/>
    <col min="9741" max="9741" width="17.75" style="1635" customWidth="1"/>
    <col min="9742" max="9742" width="42.625" style="1635" customWidth="1"/>
    <col min="9743" max="9743" width="10.625" style="1635" customWidth="1"/>
    <col min="9744" max="9744" width="16" style="1635" customWidth="1"/>
    <col min="9745" max="9745" width="14.375" style="1635" customWidth="1"/>
    <col min="9746" max="9746" width="6.75" style="1635" customWidth="1"/>
    <col min="9747" max="9747" width="8" style="1635" customWidth="1"/>
    <col min="9748" max="9748" width="7.875" style="1635" customWidth="1"/>
    <col min="9749" max="9984" width="9" style="1635"/>
    <col min="9985" max="9985" width="40.125" style="1635" customWidth="1"/>
    <col min="9986" max="9986" width="6.25" style="1635" customWidth="1"/>
    <col min="9987" max="9987" width="11.75" style="1635" customWidth="1"/>
    <col min="9988" max="9988" width="4.625" style="1635" customWidth="1"/>
    <col min="9989" max="9989" width="40.125" style="1635" customWidth="1"/>
    <col min="9990" max="9990" width="7.875" style="1635" customWidth="1"/>
    <col min="9991" max="9991" width="10.875" style="1635" customWidth="1"/>
    <col min="9992" max="9994" width="13.875" style="1635" customWidth="1"/>
    <col min="9995" max="9995" width="6.25" style="1635" customWidth="1"/>
    <col min="9996" max="9996" width="9" style="1635" customWidth="1"/>
    <col min="9997" max="9997" width="17.75" style="1635" customWidth="1"/>
    <col min="9998" max="9998" width="42.625" style="1635" customWidth="1"/>
    <col min="9999" max="9999" width="10.625" style="1635" customWidth="1"/>
    <col min="10000" max="10000" width="16" style="1635" customWidth="1"/>
    <col min="10001" max="10001" width="14.375" style="1635" customWidth="1"/>
    <col min="10002" max="10002" width="6.75" style="1635" customWidth="1"/>
    <col min="10003" max="10003" width="8" style="1635" customWidth="1"/>
    <col min="10004" max="10004" width="7.875" style="1635" customWidth="1"/>
    <col min="10005" max="10240" width="9" style="1635"/>
    <col min="10241" max="10241" width="40.125" style="1635" customWidth="1"/>
    <col min="10242" max="10242" width="6.25" style="1635" customWidth="1"/>
    <col min="10243" max="10243" width="11.75" style="1635" customWidth="1"/>
    <col min="10244" max="10244" width="4.625" style="1635" customWidth="1"/>
    <col min="10245" max="10245" width="40.125" style="1635" customWidth="1"/>
    <col min="10246" max="10246" width="7.875" style="1635" customWidth="1"/>
    <col min="10247" max="10247" width="10.875" style="1635" customWidth="1"/>
    <col min="10248" max="10250" width="13.875" style="1635" customWidth="1"/>
    <col min="10251" max="10251" width="6.25" style="1635" customWidth="1"/>
    <col min="10252" max="10252" width="9" style="1635" customWidth="1"/>
    <col min="10253" max="10253" width="17.75" style="1635" customWidth="1"/>
    <col min="10254" max="10254" width="42.625" style="1635" customWidth="1"/>
    <col min="10255" max="10255" width="10.625" style="1635" customWidth="1"/>
    <col min="10256" max="10256" width="16" style="1635" customWidth="1"/>
    <col min="10257" max="10257" width="14.375" style="1635" customWidth="1"/>
    <col min="10258" max="10258" width="6.75" style="1635" customWidth="1"/>
    <col min="10259" max="10259" width="8" style="1635" customWidth="1"/>
    <col min="10260" max="10260" width="7.875" style="1635" customWidth="1"/>
    <col min="10261" max="10496" width="9" style="1635"/>
    <col min="10497" max="10497" width="40.125" style="1635" customWidth="1"/>
    <col min="10498" max="10498" width="6.25" style="1635" customWidth="1"/>
    <col min="10499" max="10499" width="11.75" style="1635" customWidth="1"/>
    <col min="10500" max="10500" width="4.625" style="1635" customWidth="1"/>
    <col min="10501" max="10501" width="40.125" style="1635" customWidth="1"/>
    <col min="10502" max="10502" width="7.875" style="1635" customWidth="1"/>
    <col min="10503" max="10503" width="10.875" style="1635" customWidth="1"/>
    <col min="10504" max="10506" width="13.875" style="1635" customWidth="1"/>
    <col min="10507" max="10507" width="6.25" style="1635" customWidth="1"/>
    <col min="10508" max="10508" width="9" style="1635" customWidth="1"/>
    <col min="10509" max="10509" width="17.75" style="1635" customWidth="1"/>
    <col min="10510" max="10510" width="42.625" style="1635" customWidth="1"/>
    <col min="10511" max="10511" width="10.625" style="1635" customWidth="1"/>
    <col min="10512" max="10512" width="16" style="1635" customWidth="1"/>
    <col min="10513" max="10513" width="14.375" style="1635" customWidth="1"/>
    <col min="10514" max="10514" width="6.75" style="1635" customWidth="1"/>
    <col min="10515" max="10515" width="8" style="1635" customWidth="1"/>
    <col min="10516" max="10516" width="7.875" style="1635" customWidth="1"/>
    <col min="10517" max="10752" width="9" style="1635"/>
    <col min="10753" max="10753" width="40.125" style="1635" customWidth="1"/>
    <col min="10754" max="10754" width="6.25" style="1635" customWidth="1"/>
    <col min="10755" max="10755" width="11.75" style="1635" customWidth="1"/>
    <col min="10756" max="10756" width="4.625" style="1635" customWidth="1"/>
    <col min="10757" max="10757" width="40.125" style="1635" customWidth="1"/>
    <col min="10758" max="10758" width="7.875" style="1635" customWidth="1"/>
    <col min="10759" max="10759" width="10.875" style="1635" customWidth="1"/>
    <col min="10760" max="10762" width="13.875" style="1635" customWidth="1"/>
    <col min="10763" max="10763" width="6.25" style="1635" customWidth="1"/>
    <col min="10764" max="10764" width="9" style="1635" customWidth="1"/>
    <col min="10765" max="10765" width="17.75" style="1635" customWidth="1"/>
    <col min="10766" max="10766" width="42.625" style="1635" customWidth="1"/>
    <col min="10767" max="10767" width="10.625" style="1635" customWidth="1"/>
    <col min="10768" max="10768" width="16" style="1635" customWidth="1"/>
    <col min="10769" max="10769" width="14.375" style="1635" customWidth="1"/>
    <col min="10770" max="10770" width="6.75" style="1635" customWidth="1"/>
    <col min="10771" max="10771" width="8" style="1635" customWidth="1"/>
    <col min="10772" max="10772" width="7.875" style="1635" customWidth="1"/>
    <col min="10773" max="11008" width="9" style="1635"/>
    <col min="11009" max="11009" width="40.125" style="1635" customWidth="1"/>
    <col min="11010" max="11010" width="6.25" style="1635" customWidth="1"/>
    <col min="11011" max="11011" width="11.75" style="1635" customWidth="1"/>
    <col min="11012" max="11012" width="4.625" style="1635" customWidth="1"/>
    <col min="11013" max="11013" width="40.125" style="1635" customWidth="1"/>
    <col min="11014" max="11014" width="7.875" style="1635" customWidth="1"/>
    <col min="11015" max="11015" width="10.875" style="1635" customWidth="1"/>
    <col min="11016" max="11018" width="13.875" style="1635" customWidth="1"/>
    <col min="11019" max="11019" width="6.25" style="1635" customWidth="1"/>
    <col min="11020" max="11020" width="9" style="1635" customWidth="1"/>
    <col min="11021" max="11021" width="17.75" style="1635" customWidth="1"/>
    <col min="11022" max="11022" width="42.625" style="1635" customWidth="1"/>
    <col min="11023" max="11023" width="10.625" style="1635" customWidth="1"/>
    <col min="11024" max="11024" width="16" style="1635" customWidth="1"/>
    <col min="11025" max="11025" width="14.375" style="1635" customWidth="1"/>
    <col min="11026" max="11026" width="6.75" style="1635" customWidth="1"/>
    <col min="11027" max="11027" width="8" style="1635" customWidth="1"/>
    <col min="11028" max="11028" width="7.875" style="1635" customWidth="1"/>
    <col min="11029" max="11264" width="9" style="1635"/>
    <col min="11265" max="11265" width="40.125" style="1635" customWidth="1"/>
    <col min="11266" max="11266" width="6.25" style="1635" customWidth="1"/>
    <col min="11267" max="11267" width="11.75" style="1635" customWidth="1"/>
    <col min="11268" max="11268" width="4.625" style="1635" customWidth="1"/>
    <col min="11269" max="11269" width="40.125" style="1635" customWidth="1"/>
    <col min="11270" max="11270" width="7.875" style="1635" customWidth="1"/>
    <col min="11271" max="11271" width="10.875" style="1635" customWidth="1"/>
    <col min="11272" max="11274" width="13.875" style="1635" customWidth="1"/>
    <col min="11275" max="11275" width="6.25" style="1635" customWidth="1"/>
    <col min="11276" max="11276" width="9" style="1635" customWidth="1"/>
    <col min="11277" max="11277" width="17.75" style="1635" customWidth="1"/>
    <col min="11278" max="11278" width="42.625" style="1635" customWidth="1"/>
    <col min="11279" max="11279" width="10.625" style="1635" customWidth="1"/>
    <col min="11280" max="11280" width="16" style="1635" customWidth="1"/>
    <col min="11281" max="11281" width="14.375" style="1635" customWidth="1"/>
    <col min="11282" max="11282" width="6.75" style="1635" customWidth="1"/>
    <col min="11283" max="11283" width="8" style="1635" customWidth="1"/>
    <col min="11284" max="11284" width="7.875" style="1635" customWidth="1"/>
    <col min="11285" max="11520" width="9" style="1635"/>
    <col min="11521" max="11521" width="40.125" style="1635" customWidth="1"/>
    <col min="11522" max="11522" width="6.25" style="1635" customWidth="1"/>
    <col min="11523" max="11523" width="11.75" style="1635" customWidth="1"/>
    <col min="11524" max="11524" width="4.625" style="1635" customWidth="1"/>
    <col min="11525" max="11525" width="40.125" style="1635" customWidth="1"/>
    <col min="11526" max="11526" width="7.875" style="1635" customWidth="1"/>
    <col min="11527" max="11527" width="10.875" style="1635" customWidth="1"/>
    <col min="11528" max="11530" width="13.875" style="1635" customWidth="1"/>
    <col min="11531" max="11531" width="6.25" style="1635" customWidth="1"/>
    <col min="11532" max="11532" width="9" style="1635" customWidth="1"/>
    <col min="11533" max="11533" width="17.75" style="1635" customWidth="1"/>
    <col min="11534" max="11534" width="42.625" style="1635" customWidth="1"/>
    <col min="11535" max="11535" width="10.625" style="1635" customWidth="1"/>
    <col min="11536" max="11536" width="16" style="1635" customWidth="1"/>
    <col min="11537" max="11537" width="14.375" style="1635" customWidth="1"/>
    <col min="11538" max="11538" width="6.75" style="1635" customWidth="1"/>
    <col min="11539" max="11539" width="8" style="1635" customWidth="1"/>
    <col min="11540" max="11540" width="7.875" style="1635" customWidth="1"/>
    <col min="11541" max="11776" width="9" style="1635"/>
    <col min="11777" max="11777" width="40.125" style="1635" customWidth="1"/>
    <col min="11778" max="11778" width="6.25" style="1635" customWidth="1"/>
    <col min="11779" max="11779" width="11.75" style="1635" customWidth="1"/>
    <col min="11780" max="11780" width="4.625" style="1635" customWidth="1"/>
    <col min="11781" max="11781" width="40.125" style="1635" customWidth="1"/>
    <col min="11782" max="11782" width="7.875" style="1635" customWidth="1"/>
    <col min="11783" max="11783" width="10.875" style="1635" customWidth="1"/>
    <col min="11784" max="11786" width="13.875" style="1635" customWidth="1"/>
    <col min="11787" max="11787" width="6.25" style="1635" customWidth="1"/>
    <col min="11788" max="11788" width="9" style="1635" customWidth="1"/>
    <col min="11789" max="11789" width="17.75" style="1635" customWidth="1"/>
    <col min="11790" max="11790" width="42.625" style="1635" customWidth="1"/>
    <col min="11791" max="11791" width="10.625" style="1635" customWidth="1"/>
    <col min="11792" max="11792" width="16" style="1635" customWidth="1"/>
    <col min="11793" max="11793" width="14.375" style="1635" customWidth="1"/>
    <col min="11794" max="11794" width="6.75" style="1635" customWidth="1"/>
    <col min="11795" max="11795" width="8" style="1635" customWidth="1"/>
    <col min="11796" max="11796" width="7.875" style="1635" customWidth="1"/>
    <col min="11797" max="12032" width="9" style="1635"/>
    <col min="12033" max="12033" width="40.125" style="1635" customWidth="1"/>
    <col min="12034" max="12034" width="6.25" style="1635" customWidth="1"/>
    <col min="12035" max="12035" width="11.75" style="1635" customWidth="1"/>
    <col min="12036" max="12036" width="4.625" style="1635" customWidth="1"/>
    <col min="12037" max="12037" width="40.125" style="1635" customWidth="1"/>
    <col min="12038" max="12038" width="7.875" style="1635" customWidth="1"/>
    <col min="12039" max="12039" width="10.875" style="1635" customWidth="1"/>
    <col min="12040" max="12042" width="13.875" style="1635" customWidth="1"/>
    <col min="12043" max="12043" width="6.25" style="1635" customWidth="1"/>
    <col min="12044" max="12044" width="9" style="1635" customWidth="1"/>
    <col min="12045" max="12045" width="17.75" style="1635" customWidth="1"/>
    <col min="12046" max="12046" width="42.625" style="1635" customWidth="1"/>
    <col min="12047" max="12047" width="10.625" style="1635" customWidth="1"/>
    <col min="12048" max="12048" width="16" style="1635" customWidth="1"/>
    <col min="12049" max="12049" width="14.375" style="1635" customWidth="1"/>
    <col min="12050" max="12050" width="6.75" style="1635" customWidth="1"/>
    <col min="12051" max="12051" width="8" style="1635" customWidth="1"/>
    <col min="12052" max="12052" width="7.875" style="1635" customWidth="1"/>
    <col min="12053" max="12288" width="9" style="1635"/>
    <col min="12289" max="12289" width="40.125" style="1635" customWidth="1"/>
    <col min="12290" max="12290" width="6.25" style="1635" customWidth="1"/>
    <col min="12291" max="12291" width="11.75" style="1635" customWidth="1"/>
    <col min="12292" max="12292" width="4.625" style="1635" customWidth="1"/>
    <col min="12293" max="12293" width="40.125" style="1635" customWidth="1"/>
    <col min="12294" max="12294" width="7.875" style="1635" customWidth="1"/>
    <col min="12295" max="12295" width="10.875" style="1635" customWidth="1"/>
    <col min="12296" max="12298" width="13.875" style="1635" customWidth="1"/>
    <col min="12299" max="12299" width="6.25" style="1635" customWidth="1"/>
    <col min="12300" max="12300" width="9" style="1635" customWidth="1"/>
    <col min="12301" max="12301" width="17.75" style="1635" customWidth="1"/>
    <col min="12302" max="12302" width="42.625" style="1635" customWidth="1"/>
    <col min="12303" max="12303" width="10.625" style="1635" customWidth="1"/>
    <col min="12304" max="12304" width="16" style="1635" customWidth="1"/>
    <col min="12305" max="12305" width="14.375" style="1635" customWidth="1"/>
    <col min="12306" max="12306" width="6.75" style="1635" customWidth="1"/>
    <col min="12307" max="12307" width="8" style="1635" customWidth="1"/>
    <col min="12308" max="12308" width="7.875" style="1635" customWidth="1"/>
    <col min="12309" max="12544" width="9" style="1635"/>
    <col min="12545" max="12545" width="40.125" style="1635" customWidth="1"/>
    <col min="12546" max="12546" width="6.25" style="1635" customWidth="1"/>
    <col min="12547" max="12547" width="11.75" style="1635" customWidth="1"/>
    <col min="12548" max="12548" width="4.625" style="1635" customWidth="1"/>
    <col min="12549" max="12549" width="40.125" style="1635" customWidth="1"/>
    <col min="12550" max="12550" width="7.875" style="1635" customWidth="1"/>
    <col min="12551" max="12551" width="10.875" style="1635" customWidth="1"/>
    <col min="12552" max="12554" width="13.875" style="1635" customWidth="1"/>
    <col min="12555" max="12555" width="6.25" style="1635" customWidth="1"/>
    <col min="12556" max="12556" width="9" style="1635" customWidth="1"/>
    <col min="12557" max="12557" width="17.75" style="1635" customWidth="1"/>
    <col min="12558" max="12558" width="42.625" style="1635" customWidth="1"/>
    <col min="12559" max="12559" width="10.625" style="1635" customWidth="1"/>
    <col min="12560" max="12560" width="16" style="1635" customWidth="1"/>
    <col min="12561" max="12561" width="14.375" style="1635" customWidth="1"/>
    <col min="12562" max="12562" width="6.75" style="1635" customWidth="1"/>
    <col min="12563" max="12563" width="8" style="1635" customWidth="1"/>
    <col min="12564" max="12564" width="7.875" style="1635" customWidth="1"/>
    <col min="12565" max="12800" width="9" style="1635"/>
    <col min="12801" max="12801" width="40.125" style="1635" customWidth="1"/>
    <col min="12802" max="12802" width="6.25" style="1635" customWidth="1"/>
    <col min="12803" max="12803" width="11.75" style="1635" customWidth="1"/>
    <col min="12804" max="12804" width="4.625" style="1635" customWidth="1"/>
    <col min="12805" max="12805" width="40.125" style="1635" customWidth="1"/>
    <col min="12806" max="12806" width="7.875" style="1635" customWidth="1"/>
    <col min="12807" max="12807" width="10.875" style="1635" customWidth="1"/>
    <col min="12808" max="12810" width="13.875" style="1635" customWidth="1"/>
    <col min="12811" max="12811" width="6.25" style="1635" customWidth="1"/>
    <col min="12812" max="12812" width="9" style="1635" customWidth="1"/>
    <col min="12813" max="12813" width="17.75" style="1635" customWidth="1"/>
    <col min="12814" max="12814" width="42.625" style="1635" customWidth="1"/>
    <col min="12815" max="12815" width="10.625" style="1635" customWidth="1"/>
    <col min="12816" max="12816" width="16" style="1635" customWidth="1"/>
    <col min="12817" max="12817" width="14.375" style="1635" customWidth="1"/>
    <col min="12818" max="12818" width="6.75" style="1635" customWidth="1"/>
    <col min="12819" max="12819" width="8" style="1635" customWidth="1"/>
    <col min="12820" max="12820" width="7.875" style="1635" customWidth="1"/>
    <col min="12821" max="13056" width="9" style="1635"/>
    <col min="13057" max="13057" width="40.125" style="1635" customWidth="1"/>
    <col min="13058" max="13058" width="6.25" style="1635" customWidth="1"/>
    <col min="13059" max="13059" width="11.75" style="1635" customWidth="1"/>
    <col min="13060" max="13060" width="4.625" style="1635" customWidth="1"/>
    <col min="13061" max="13061" width="40.125" style="1635" customWidth="1"/>
    <col min="13062" max="13062" width="7.875" style="1635" customWidth="1"/>
    <col min="13063" max="13063" width="10.875" style="1635" customWidth="1"/>
    <col min="13064" max="13066" width="13.875" style="1635" customWidth="1"/>
    <col min="13067" max="13067" width="6.25" style="1635" customWidth="1"/>
    <col min="13068" max="13068" width="9" style="1635" customWidth="1"/>
    <col min="13069" max="13069" width="17.75" style="1635" customWidth="1"/>
    <col min="13070" max="13070" width="42.625" style="1635" customWidth="1"/>
    <col min="13071" max="13071" width="10.625" style="1635" customWidth="1"/>
    <col min="13072" max="13072" width="16" style="1635" customWidth="1"/>
    <col min="13073" max="13073" width="14.375" style="1635" customWidth="1"/>
    <col min="13074" max="13074" width="6.75" style="1635" customWidth="1"/>
    <col min="13075" max="13075" width="8" style="1635" customWidth="1"/>
    <col min="13076" max="13076" width="7.875" style="1635" customWidth="1"/>
    <col min="13077" max="13312" width="9" style="1635"/>
    <col min="13313" max="13313" width="40.125" style="1635" customWidth="1"/>
    <col min="13314" max="13314" width="6.25" style="1635" customWidth="1"/>
    <col min="13315" max="13315" width="11.75" style="1635" customWidth="1"/>
    <col min="13316" max="13316" width="4.625" style="1635" customWidth="1"/>
    <col min="13317" max="13317" width="40.125" style="1635" customWidth="1"/>
    <col min="13318" max="13318" width="7.875" style="1635" customWidth="1"/>
    <col min="13319" max="13319" width="10.875" style="1635" customWidth="1"/>
    <col min="13320" max="13322" width="13.875" style="1635" customWidth="1"/>
    <col min="13323" max="13323" width="6.25" style="1635" customWidth="1"/>
    <col min="13324" max="13324" width="9" style="1635" customWidth="1"/>
    <col min="13325" max="13325" width="17.75" style="1635" customWidth="1"/>
    <col min="13326" max="13326" width="42.625" style="1635" customWidth="1"/>
    <col min="13327" max="13327" width="10.625" style="1635" customWidth="1"/>
    <col min="13328" max="13328" width="16" style="1635" customWidth="1"/>
    <col min="13329" max="13329" width="14.375" style="1635" customWidth="1"/>
    <col min="13330" max="13330" width="6.75" style="1635" customWidth="1"/>
    <col min="13331" max="13331" width="8" style="1635" customWidth="1"/>
    <col min="13332" max="13332" width="7.875" style="1635" customWidth="1"/>
    <col min="13333" max="13568" width="9" style="1635"/>
    <col min="13569" max="13569" width="40.125" style="1635" customWidth="1"/>
    <col min="13570" max="13570" width="6.25" style="1635" customWidth="1"/>
    <col min="13571" max="13571" width="11.75" style="1635" customWidth="1"/>
    <col min="13572" max="13572" width="4.625" style="1635" customWidth="1"/>
    <col min="13573" max="13573" width="40.125" style="1635" customWidth="1"/>
    <col min="13574" max="13574" width="7.875" style="1635" customWidth="1"/>
    <col min="13575" max="13575" width="10.875" style="1635" customWidth="1"/>
    <col min="13576" max="13578" width="13.875" style="1635" customWidth="1"/>
    <col min="13579" max="13579" width="6.25" style="1635" customWidth="1"/>
    <col min="13580" max="13580" width="9" style="1635" customWidth="1"/>
    <col min="13581" max="13581" width="17.75" style="1635" customWidth="1"/>
    <col min="13582" max="13582" width="42.625" style="1635" customWidth="1"/>
    <col min="13583" max="13583" width="10.625" style="1635" customWidth="1"/>
    <col min="13584" max="13584" width="16" style="1635" customWidth="1"/>
    <col min="13585" max="13585" width="14.375" style="1635" customWidth="1"/>
    <col min="13586" max="13586" width="6.75" style="1635" customWidth="1"/>
    <col min="13587" max="13587" width="8" style="1635" customWidth="1"/>
    <col min="13588" max="13588" width="7.875" style="1635" customWidth="1"/>
    <col min="13589" max="13824" width="9" style="1635"/>
    <col min="13825" max="13825" width="40.125" style="1635" customWidth="1"/>
    <col min="13826" max="13826" width="6.25" style="1635" customWidth="1"/>
    <col min="13827" max="13827" width="11.75" style="1635" customWidth="1"/>
    <col min="13828" max="13828" width="4.625" style="1635" customWidth="1"/>
    <col min="13829" max="13829" width="40.125" style="1635" customWidth="1"/>
    <col min="13830" max="13830" width="7.875" style="1635" customWidth="1"/>
    <col min="13831" max="13831" width="10.875" style="1635" customWidth="1"/>
    <col min="13832" max="13834" width="13.875" style="1635" customWidth="1"/>
    <col min="13835" max="13835" width="6.25" style="1635" customWidth="1"/>
    <col min="13836" max="13836" width="9" style="1635" customWidth="1"/>
    <col min="13837" max="13837" width="17.75" style="1635" customWidth="1"/>
    <col min="13838" max="13838" width="42.625" style="1635" customWidth="1"/>
    <col min="13839" max="13839" width="10.625" style="1635" customWidth="1"/>
    <col min="13840" max="13840" width="16" style="1635" customWidth="1"/>
    <col min="13841" max="13841" width="14.375" style="1635" customWidth="1"/>
    <col min="13842" max="13842" width="6.75" style="1635" customWidth="1"/>
    <col min="13843" max="13843" width="8" style="1635" customWidth="1"/>
    <col min="13844" max="13844" width="7.875" style="1635" customWidth="1"/>
    <col min="13845" max="14080" width="9" style="1635"/>
    <col min="14081" max="14081" width="40.125" style="1635" customWidth="1"/>
    <col min="14082" max="14082" width="6.25" style="1635" customWidth="1"/>
    <col min="14083" max="14083" width="11.75" style="1635" customWidth="1"/>
    <col min="14084" max="14084" width="4.625" style="1635" customWidth="1"/>
    <col min="14085" max="14085" width="40.125" style="1635" customWidth="1"/>
    <col min="14086" max="14086" width="7.875" style="1635" customWidth="1"/>
    <col min="14087" max="14087" width="10.875" style="1635" customWidth="1"/>
    <col min="14088" max="14090" width="13.875" style="1635" customWidth="1"/>
    <col min="14091" max="14091" width="6.25" style="1635" customWidth="1"/>
    <col min="14092" max="14092" width="9" style="1635" customWidth="1"/>
    <col min="14093" max="14093" width="17.75" style="1635" customWidth="1"/>
    <col min="14094" max="14094" width="42.625" style="1635" customWidth="1"/>
    <col min="14095" max="14095" width="10.625" style="1635" customWidth="1"/>
    <col min="14096" max="14096" width="16" style="1635" customWidth="1"/>
    <col min="14097" max="14097" width="14.375" style="1635" customWidth="1"/>
    <col min="14098" max="14098" width="6.75" style="1635" customWidth="1"/>
    <col min="14099" max="14099" width="8" style="1635" customWidth="1"/>
    <col min="14100" max="14100" width="7.875" style="1635" customWidth="1"/>
    <col min="14101" max="14336" width="9" style="1635"/>
    <col min="14337" max="14337" width="40.125" style="1635" customWidth="1"/>
    <col min="14338" max="14338" width="6.25" style="1635" customWidth="1"/>
    <col min="14339" max="14339" width="11.75" style="1635" customWidth="1"/>
    <col min="14340" max="14340" width="4.625" style="1635" customWidth="1"/>
    <col min="14341" max="14341" width="40.125" style="1635" customWidth="1"/>
    <col min="14342" max="14342" width="7.875" style="1635" customWidth="1"/>
    <col min="14343" max="14343" width="10.875" style="1635" customWidth="1"/>
    <col min="14344" max="14346" width="13.875" style="1635" customWidth="1"/>
    <col min="14347" max="14347" width="6.25" style="1635" customWidth="1"/>
    <col min="14348" max="14348" width="9" style="1635" customWidth="1"/>
    <col min="14349" max="14349" width="17.75" style="1635" customWidth="1"/>
    <col min="14350" max="14350" width="42.625" style="1635" customWidth="1"/>
    <col min="14351" max="14351" width="10.625" style="1635" customWidth="1"/>
    <col min="14352" max="14352" width="16" style="1635" customWidth="1"/>
    <col min="14353" max="14353" width="14.375" style="1635" customWidth="1"/>
    <col min="14354" max="14354" width="6.75" style="1635" customWidth="1"/>
    <col min="14355" max="14355" width="8" style="1635" customWidth="1"/>
    <col min="14356" max="14356" width="7.875" style="1635" customWidth="1"/>
    <col min="14357" max="14592" width="9" style="1635"/>
    <col min="14593" max="14593" width="40.125" style="1635" customWidth="1"/>
    <col min="14594" max="14594" width="6.25" style="1635" customWidth="1"/>
    <col min="14595" max="14595" width="11.75" style="1635" customWidth="1"/>
    <col min="14596" max="14596" width="4.625" style="1635" customWidth="1"/>
    <col min="14597" max="14597" width="40.125" style="1635" customWidth="1"/>
    <col min="14598" max="14598" width="7.875" style="1635" customWidth="1"/>
    <col min="14599" max="14599" width="10.875" style="1635" customWidth="1"/>
    <col min="14600" max="14602" width="13.875" style="1635" customWidth="1"/>
    <col min="14603" max="14603" width="6.25" style="1635" customWidth="1"/>
    <col min="14604" max="14604" width="9" style="1635" customWidth="1"/>
    <col min="14605" max="14605" width="17.75" style="1635" customWidth="1"/>
    <col min="14606" max="14606" width="42.625" style="1635" customWidth="1"/>
    <col min="14607" max="14607" width="10.625" style="1635" customWidth="1"/>
    <col min="14608" max="14608" width="16" style="1635" customWidth="1"/>
    <col min="14609" max="14609" width="14.375" style="1635" customWidth="1"/>
    <col min="14610" max="14610" width="6.75" style="1635" customWidth="1"/>
    <col min="14611" max="14611" width="8" style="1635" customWidth="1"/>
    <col min="14612" max="14612" width="7.875" style="1635" customWidth="1"/>
    <col min="14613" max="14848" width="9" style="1635"/>
    <col min="14849" max="14849" width="40.125" style="1635" customWidth="1"/>
    <col min="14850" max="14850" width="6.25" style="1635" customWidth="1"/>
    <col min="14851" max="14851" width="11.75" style="1635" customWidth="1"/>
    <col min="14852" max="14852" width="4.625" style="1635" customWidth="1"/>
    <col min="14853" max="14853" width="40.125" style="1635" customWidth="1"/>
    <col min="14854" max="14854" width="7.875" style="1635" customWidth="1"/>
    <col min="14855" max="14855" width="10.875" style="1635" customWidth="1"/>
    <col min="14856" max="14858" width="13.875" style="1635" customWidth="1"/>
    <col min="14859" max="14859" width="6.25" style="1635" customWidth="1"/>
    <col min="14860" max="14860" width="9" style="1635" customWidth="1"/>
    <col min="14861" max="14861" width="17.75" style="1635" customWidth="1"/>
    <col min="14862" max="14862" width="42.625" style="1635" customWidth="1"/>
    <col min="14863" max="14863" width="10.625" style="1635" customWidth="1"/>
    <col min="14864" max="14864" width="16" style="1635" customWidth="1"/>
    <col min="14865" max="14865" width="14.375" style="1635" customWidth="1"/>
    <col min="14866" max="14866" width="6.75" style="1635" customWidth="1"/>
    <col min="14867" max="14867" width="8" style="1635" customWidth="1"/>
    <col min="14868" max="14868" width="7.875" style="1635" customWidth="1"/>
    <col min="14869" max="15104" width="9" style="1635"/>
    <col min="15105" max="15105" width="40.125" style="1635" customWidth="1"/>
    <col min="15106" max="15106" width="6.25" style="1635" customWidth="1"/>
    <col min="15107" max="15107" width="11.75" style="1635" customWidth="1"/>
    <col min="15108" max="15108" width="4.625" style="1635" customWidth="1"/>
    <col min="15109" max="15109" width="40.125" style="1635" customWidth="1"/>
    <col min="15110" max="15110" width="7.875" style="1635" customWidth="1"/>
    <col min="15111" max="15111" width="10.875" style="1635" customWidth="1"/>
    <col min="15112" max="15114" width="13.875" style="1635" customWidth="1"/>
    <col min="15115" max="15115" width="6.25" style="1635" customWidth="1"/>
    <col min="15116" max="15116" width="9" style="1635" customWidth="1"/>
    <col min="15117" max="15117" width="17.75" style="1635" customWidth="1"/>
    <col min="15118" max="15118" width="42.625" style="1635" customWidth="1"/>
    <col min="15119" max="15119" width="10.625" style="1635" customWidth="1"/>
    <col min="15120" max="15120" width="16" style="1635" customWidth="1"/>
    <col min="15121" max="15121" width="14.375" style="1635" customWidth="1"/>
    <col min="15122" max="15122" width="6.75" style="1635" customWidth="1"/>
    <col min="15123" max="15123" width="8" style="1635" customWidth="1"/>
    <col min="15124" max="15124" width="7.875" style="1635" customWidth="1"/>
    <col min="15125" max="15360" width="9" style="1635"/>
    <col min="15361" max="15361" width="40.125" style="1635" customWidth="1"/>
    <col min="15362" max="15362" width="6.25" style="1635" customWidth="1"/>
    <col min="15363" max="15363" width="11.75" style="1635" customWidth="1"/>
    <col min="15364" max="15364" width="4.625" style="1635" customWidth="1"/>
    <col min="15365" max="15365" width="40.125" style="1635" customWidth="1"/>
    <col min="15366" max="15366" width="7.875" style="1635" customWidth="1"/>
    <col min="15367" max="15367" width="10.875" style="1635" customWidth="1"/>
    <col min="15368" max="15370" width="13.875" style="1635" customWidth="1"/>
    <col min="15371" max="15371" width="6.25" style="1635" customWidth="1"/>
    <col min="15372" max="15372" width="9" style="1635" customWidth="1"/>
    <col min="15373" max="15373" width="17.75" style="1635" customWidth="1"/>
    <col min="15374" max="15374" width="42.625" style="1635" customWidth="1"/>
    <col min="15375" max="15375" width="10.625" style="1635" customWidth="1"/>
    <col min="15376" max="15376" width="16" style="1635" customWidth="1"/>
    <col min="15377" max="15377" width="14.375" style="1635" customWidth="1"/>
    <col min="15378" max="15378" width="6.75" style="1635" customWidth="1"/>
    <col min="15379" max="15379" width="8" style="1635" customWidth="1"/>
    <col min="15380" max="15380" width="7.875" style="1635" customWidth="1"/>
    <col min="15381" max="15616" width="9" style="1635"/>
    <col min="15617" max="15617" width="40.125" style="1635" customWidth="1"/>
    <col min="15618" max="15618" width="6.25" style="1635" customWidth="1"/>
    <col min="15619" max="15619" width="11.75" style="1635" customWidth="1"/>
    <col min="15620" max="15620" width="4.625" style="1635" customWidth="1"/>
    <col min="15621" max="15621" width="40.125" style="1635" customWidth="1"/>
    <col min="15622" max="15622" width="7.875" style="1635" customWidth="1"/>
    <col min="15623" max="15623" width="10.875" style="1635" customWidth="1"/>
    <col min="15624" max="15626" width="13.875" style="1635" customWidth="1"/>
    <col min="15627" max="15627" width="6.25" style="1635" customWidth="1"/>
    <col min="15628" max="15628" width="9" style="1635" customWidth="1"/>
    <col min="15629" max="15629" width="17.75" style="1635" customWidth="1"/>
    <col min="15630" max="15630" width="42.625" style="1635" customWidth="1"/>
    <col min="15631" max="15631" width="10.625" style="1635" customWidth="1"/>
    <col min="15632" max="15632" width="16" style="1635" customWidth="1"/>
    <col min="15633" max="15633" width="14.375" style="1635" customWidth="1"/>
    <col min="15634" max="15634" width="6.75" style="1635" customWidth="1"/>
    <col min="15635" max="15635" width="8" style="1635" customWidth="1"/>
    <col min="15636" max="15636" width="7.875" style="1635" customWidth="1"/>
    <col min="15637" max="15872" width="9" style="1635"/>
    <col min="15873" max="15873" width="40.125" style="1635" customWidth="1"/>
    <col min="15874" max="15874" width="6.25" style="1635" customWidth="1"/>
    <col min="15875" max="15875" width="11.75" style="1635" customWidth="1"/>
    <col min="15876" max="15876" width="4.625" style="1635" customWidth="1"/>
    <col min="15877" max="15877" width="40.125" style="1635" customWidth="1"/>
    <col min="15878" max="15878" width="7.875" style="1635" customWidth="1"/>
    <col min="15879" max="15879" width="10.875" style="1635" customWidth="1"/>
    <col min="15880" max="15882" width="13.875" style="1635" customWidth="1"/>
    <col min="15883" max="15883" width="6.25" style="1635" customWidth="1"/>
    <col min="15884" max="15884" width="9" style="1635" customWidth="1"/>
    <col min="15885" max="15885" width="17.75" style="1635" customWidth="1"/>
    <col min="15886" max="15886" width="42.625" style="1635" customWidth="1"/>
    <col min="15887" max="15887" width="10.625" style="1635" customWidth="1"/>
    <col min="15888" max="15888" width="16" style="1635" customWidth="1"/>
    <col min="15889" max="15889" width="14.375" style="1635" customWidth="1"/>
    <col min="15890" max="15890" width="6.75" style="1635" customWidth="1"/>
    <col min="15891" max="15891" width="8" style="1635" customWidth="1"/>
    <col min="15892" max="15892" width="7.875" style="1635" customWidth="1"/>
    <col min="15893" max="16128" width="9" style="1635"/>
    <col min="16129" max="16129" width="40.125" style="1635" customWidth="1"/>
    <col min="16130" max="16130" width="6.25" style="1635" customWidth="1"/>
    <col min="16131" max="16131" width="11.75" style="1635" customWidth="1"/>
    <col min="16132" max="16132" width="4.625" style="1635" customWidth="1"/>
    <col min="16133" max="16133" width="40.125" style="1635" customWidth="1"/>
    <col min="16134" max="16134" width="7.875" style="1635" customWidth="1"/>
    <col min="16135" max="16135" width="10.875" style="1635" customWidth="1"/>
    <col min="16136" max="16138" width="13.875" style="1635" customWidth="1"/>
    <col min="16139" max="16139" width="6.25" style="1635" customWidth="1"/>
    <col min="16140" max="16140" width="9" style="1635" customWidth="1"/>
    <col min="16141" max="16141" width="17.75" style="1635" customWidth="1"/>
    <col min="16142" max="16142" width="42.625" style="1635" customWidth="1"/>
    <col min="16143" max="16143" width="10.625" style="1635" customWidth="1"/>
    <col min="16144" max="16144" width="16" style="1635" customWidth="1"/>
    <col min="16145" max="16145" width="14.375" style="1635" customWidth="1"/>
    <col min="16146" max="16146" width="6.75" style="1635" customWidth="1"/>
    <col min="16147" max="16147" width="8" style="1635" customWidth="1"/>
    <col min="16148" max="16148" width="7.875" style="1635" customWidth="1"/>
    <col min="16149" max="16384" width="9" style="1635"/>
  </cols>
  <sheetData>
    <row r="1" spans="1:20">
      <c r="A1" s="1635" t="s">
        <v>3659</v>
      </c>
      <c r="B1" s="1635" t="s">
        <v>3660</v>
      </c>
      <c r="C1" s="1635" t="s">
        <v>3661</v>
      </c>
      <c r="D1" s="1635" t="s">
        <v>3662</v>
      </c>
      <c r="E1" s="1635" t="s">
        <v>3663</v>
      </c>
      <c r="F1" s="1635" t="s">
        <v>3664</v>
      </c>
      <c r="G1" s="1635" t="s">
        <v>3665</v>
      </c>
      <c r="H1" s="1635" t="s">
        <v>3666</v>
      </c>
      <c r="I1" s="1635" t="s">
        <v>3667</v>
      </c>
      <c r="J1" s="1635" t="s">
        <v>3668</v>
      </c>
      <c r="K1" s="1635" t="s">
        <v>3669</v>
      </c>
      <c r="L1" s="1635" t="s">
        <v>3670</v>
      </c>
      <c r="M1" s="1635" t="s">
        <v>3671</v>
      </c>
      <c r="N1" s="1635" t="s">
        <v>3672</v>
      </c>
      <c r="O1" s="1635" t="s">
        <v>3673</v>
      </c>
      <c r="P1" s="1635" t="s">
        <v>3674</v>
      </c>
      <c r="Q1" s="1635" t="s">
        <v>3675</v>
      </c>
      <c r="R1" s="1635" t="s">
        <v>3676</v>
      </c>
      <c r="S1" s="1635" t="s">
        <v>3677</v>
      </c>
      <c r="T1" s="1635" t="s">
        <v>3678</v>
      </c>
    </row>
    <row r="2" spans="1:20">
      <c r="A2" s="1635" t="s">
        <v>3679</v>
      </c>
      <c r="B2" s="1635" t="s">
        <v>3680</v>
      </c>
      <c r="C2" s="1635" t="s">
        <v>3681</v>
      </c>
      <c r="D2" s="1635" t="s">
        <v>1327</v>
      </c>
      <c r="E2" s="1635" t="s">
        <v>3679</v>
      </c>
      <c r="F2" s="1635" t="s">
        <v>3682</v>
      </c>
      <c r="G2" s="1635" t="s">
        <v>3683</v>
      </c>
      <c r="H2" s="1635" t="s">
        <v>3684</v>
      </c>
      <c r="I2" s="1635">
        <v>39762.15</v>
      </c>
      <c r="J2" s="1635">
        <v>127238</v>
      </c>
      <c r="K2" s="1635" t="s">
        <v>3685</v>
      </c>
      <c r="L2" s="1635" t="s">
        <v>3686</v>
      </c>
      <c r="M2" s="1635" t="s">
        <v>3687</v>
      </c>
      <c r="N2" s="1635" t="s">
        <v>3688</v>
      </c>
      <c r="O2" s="1635">
        <v>10420</v>
      </c>
      <c r="P2" s="1635">
        <v>174.71</v>
      </c>
      <c r="Q2" s="1635">
        <v>818.94</v>
      </c>
      <c r="R2" s="1635">
        <v>0</v>
      </c>
      <c r="S2" s="1635" t="s">
        <v>3689</v>
      </c>
      <c r="T2" s="1635" t="s">
        <v>3690</v>
      </c>
    </row>
    <row r="3" spans="1:20" s="3285" customFormat="1">
      <c r="A3" s="3285" t="s">
        <v>3642</v>
      </c>
      <c r="B3" s="3285" t="s">
        <v>3680</v>
      </c>
      <c r="C3" s="3285" t="s">
        <v>3681</v>
      </c>
      <c r="D3" s="3285" t="s">
        <v>1327</v>
      </c>
      <c r="E3" s="3285" t="s">
        <v>3642</v>
      </c>
      <c r="F3" s="3285" t="s">
        <v>3682</v>
      </c>
      <c r="G3" s="3285" t="s">
        <v>3691</v>
      </c>
      <c r="H3" s="3285" t="s">
        <v>3684</v>
      </c>
      <c r="I3" s="3285">
        <v>15182.58</v>
      </c>
      <c r="J3" s="3285">
        <v>68321.61</v>
      </c>
      <c r="K3" s="3285" t="s">
        <v>3692</v>
      </c>
      <c r="L3" s="3285" t="s">
        <v>3645</v>
      </c>
      <c r="M3" s="3285" t="s">
        <v>3693</v>
      </c>
      <c r="N3" s="3285" t="s">
        <v>3694</v>
      </c>
      <c r="O3" s="3285">
        <v>20110</v>
      </c>
      <c r="P3" s="3285">
        <v>883.03</v>
      </c>
      <c r="Q3" s="3285">
        <v>2943.42</v>
      </c>
      <c r="R3" s="3285">
        <v>0</v>
      </c>
      <c r="S3" s="3285" t="s">
        <v>3689</v>
      </c>
      <c r="T3" s="3285" t="s">
        <v>3690</v>
      </c>
    </row>
    <row r="4" spans="1:20">
      <c r="A4" s="1635" t="s">
        <v>3695</v>
      </c>
      <c r="B4" s="1635" t="s">
        <v>3680</v>
      </c>
      <c r="C4" s="1635" t="s">
        <v>3681</v>
      </c>
      <c r="D4" s="1635" t="s">
        <v>1327</v>
      </c>
      <c r="E4" s="1635" t="s">
        <v>3695</v>
      </c>
      <c r="F4" s="1635" t="s">
        <v>3682</v>
      </c>
      <c r="G4" s="1635" t="s">
        <v>3696</v>
      </c>
      <c r="H4" s="1635" t="s">
        <v>3684</v>
      </c>
      <c r="I4" s="1635">
        <v>66500.61</v>
      </c>
      <c r="J4" s="1635">
        <v>199501.8</v>
      </c>
      <c r="K4" s="1635" t="s">
        <v>3697</v>
      </c>
      <c r="L4" s="1635" t="s">
        <v>3698</v>
      </c>
      <c r="M4" s="1635" t="s">
        <v>3699</v>
      </c>
      <c r="N4" s="1635" t="s">
        <v>3700</v>
      </c>
      <c r="O4" s="1635">
        <v>14860</v>
      </c>
      <c r="P4" s="1635">
        <v>148.97</v>
      </c>
      <c r="Q4" s="1635">
        <v>744.86</v>
      </c>
      <c r="R4" s="1635">
        <v>0</v>
      </c>
      <c r="S4" s="1635" t="s">
        <v>3689</v>
      </c>
      <c r="T4" s="1635" t="s">
        <v>3701</v>
      </c>
    </row>
    <row r="5" spans="1:20">
      <c r="A5" s="1635" t="s">
        <v>3702</v>
      </c>
      <c r="B5" s="1635" t="s">
        <v>3680</v>
      </c>
      <c r="C5" s="1635" t="s">
        <v>3681</v>
      </c>
      <c r="D5" s="1635" t="s">
        <v>1327</v>
      </c>
      <c r="E5" s="1635" t="s">
        <v>3702</v>
      </c>
      <c r="F5" s="1635" t="s">
        <v>3682</v>
      </c>
      <c r="G5" s="1635" t="s">
        <v>3703</v>
      </c>
      <c r="H5" s="1635" t="s">
        <v>3684</v>
      </c>
      <c r="I5" s="1635">
        <v>26677.759999999998</v>
      </c>
      <c r="J5" s="1635">
        <v>85102.05</v>
      </c>
      <c r="K5" s="1635" t="s">
        <v>3685</v>
      </c>
      <c r="L5" s="1635" t="s">
        <v>3704</v>
      </c>
      <c r="M5" s="1635" t="s">
        <v>3705</v>
      </c>
      <c r="N5" s="1635" t="s">
        <v>3706</v>
      </c>
      <c r="O5" s="1635">
        <v>10750</v>
      </c>
      <c r="P5" s="1635">
        <v>268.64</v>
      </c>
      <c r="Q5" s="1635">
        <v>1263.19</v>
      </c>
      <c r="R5" s="1635">
        <v>0</v>
      </c>
      <c r="S5" s="1635" t="s">
        <v>3689</v>
      </c>
      <c r="T5" s="1635" t="s">
        <v>3690</v>
      </c>
    </row>
    <row r="6" spans="1:20">
      <c r="A6" s="1635" t="s">
        <v>3707</v>
      </c>
      <c r="B6" s="1635" t="s">
        <v>3680</v>
      </c>
      <c r="C6" s="1635" t="s">
        <v>3681</v>
      </c>
      <c r="D6" s="1635" t="s">
        <v>1327</v>
      </c>
      <c r="E6" s="1635" t="s">
        <v>3707</v>
      </c>
      <c r="F6" s="1635" t="s">
        <v>3682</v>
      </c>
      <c r="G6" s="1635" t="s">
        <v>3708</v>
      </c>
      <c r="H6" s="1635" t="s">
        <v>3709</v>
      </c>
      <c r="I6" s="1635">
        <v>5552.3</v>
      </c>
      <c r="J6" s="1635">
        <v>11104.6</v>
      </c>
      <c r="K6" s="1635">
        <v>2</v>
      </c>
      <c r="L6" s="1635" t="s">
        <v>3710</v>
      </c>
      <c r="M6" s="1635" t="s">
        <v>3711</v>
      </c>
      <c r="N6" s="1635" t="s">
        <v>3712</v>
      </c>
      <c r="O6" s="1635">
        <v>440</v>
      </c>
      <c r="P6" s="1635">
        <v>52.83</v>
      </c>
      <c r="Q6" s="1635">
        <v>396.23</v>
      </c>
      <c r="R6" s="1635">
        <v>0</v>
      </c>
      <c r="S6" s="1635" t="s">
        <v>3689</v>
      </c>
      <c r="T6" s="1635" t="s">
        <v>3690</v>
      </c>
    </row>
    <row r="7" spans="1:20">
      <c r="A7" s="1635" t="s">
        <v>3713</v>
      </c>
      <c r="B7" s="1635" t="s">
        <v>3680</v>
      </c>
      <c r="C7" s="1635" t="s">
        <v>3681</v>
      </c>
      <c r="D7" s="1635" t="s">
        <v>1327</v>
      </c>
      <c r="E7" s="1635" t="s">
        <v>3713</v>
      </c>
      <c r="F7" s="1635" t="s">
        <v>3682</v>
      </c>
      <c r="G7" s="1635" t="s">
        <v>3714</v>
      </c>
      <c r="H7" s="1635" t="s">
        <v>3684</v>
      </c>
      <c r="I7" s="1635">
        <v>98683.7</v>
      </c>
      <c r="J7" s="1635">
        <v>296051.09999999998</v>
      </c>
      <c r="K7" s="1635">
        <v>3</v>
      </c>
      <c r="L7" s="1635" t="s">
        <v>3710</v>
      </c>
      <c r="M7" s="1635" t="s">
        <v>3715</v>
      </c>
      <c r="N7" s="1635" t="s">
        <v>3716</v>
      </c>
      <c r="O7" s="1635">
        <v>16650</v>
      </c>
      <c r="P7" s="1635">
        <v>112.48</v>
      </c>
      <c r="Q7" s="1635">
        <v>562.39</v>
      </c>
      <c r="R7" s="1635">
        <v>0</v>
      </c>
      <c r="S7" s="1635" t="s">
        <v>3689</v>
      </c>
      <c r="T7" s="1635" t="s">
        <v>3701</v>
      </c>
    </row>
    <row r="8" spans="1:20" s="3285" customFormat="1">
      <c r="A8" s="3285" t="s">
        <v>3717</v>
      </c>
      <c r="B8" s="3285" t="s">
        <v>3680</v>
      </c>
      <c r="C8" s="3285" t="s">
        <v>3681</v>
      </c>
      <c r="D8" s="3285" t="s">
        <v>1327</v>
      </c>
      <c r="E8" s="3285" t="s">
        <v>3717</v>
      </c>
      <c r="F8" s="3285" t="s">
        <v>3682</v>
      </c>
      <c r="G8" s="3285" t="s">
        <v>3718</v>
      </c>
      <c r="H8" s="3285" t="s">
        <v>3684</v>
      </c>
      <c r="I8" s="3285">
        <v>53401</v>
      </c>
      <c r="J8" s="3285">
        <v>117482.2</v>
      </c>
      <c r="K8" s="3285">
        <v>2.2000000000000002</v>
      </c>
      <c r="L8" s="3285" t="s">
        <v>3719</v>
      </c>
      <c r="M8" s="3285" t="s">
        <v>3720</v>
      </c>
      <c r="N8" s="3285" t="s">
        <v>3721</v>
      </c>
      <c r="O8" s="3285">
        <v>31500</v>
      </c>
      <c r="P8" s="3285">
        <v>393.25</v>
      </c>
      <c r="Q8" s="3285">
        <v>2681.26</v>
      </c>
      <c r="R8" s="3285">
        <v>0</v>
      </c>
      <c r="S8" s="3285" t="s">
        <v>3689</v>
      </c>
      <c r="T8" s="3285" t="s">
        <v>3722</v>
      </c>
    </row>
    <row r="9" spans="1:20">
      <c r="A9" s="1635" t="s">
        <v>3723</v>
      </c>
      <c r="B9" s="1635" t="s">
        <v>3680</v>
      </c>
      <c r="C9" s="1635" t="s">
        <v>3681</v>
      </c>
      <c r="D9" s="1635" t="s">
        <v>1327</v>
      </c>
      <c r="E9" s="1635" t="s">
        <v>3723</v>
      </c>
      <c r="F9" s="1635" t="s">
        <v>3682</v>
      </c>
      <c r="G9" s="1635" t="s">
        <v>3724</v>
      </c>
      <c r="H9" s="1635" t="s">
        <v>3684</v>
      </c>
      <c r="I9" s="1635">
        <v>10220.959999999999</v>
      </c>
      <c r="J9" s="1635">
        <v>25552</v>
      </c>
      <c r="K9" s="1635">
        <v>2.5</v>
      </c>
      <c r="L9" s="1635" t="s">
        <v>3655</v>
      </c>
      <c r="M9" s="1635" t="s">
        <v>3725</v>
      </c>
      <c r="N9" s="1635" t="s">
        <v>3726</v>
      </c>
      <c r="O9" s="1635">
        <v>1330</v>
      </c>
      <c r="P9" s="1635">
        <v>86.75</v>
      </c>
      <c r="Q9" s="1635">
        <v>520.5</v>
      </c>
      <c r="R9" s="1635">
        <v>0</v>
      </c>
      <c r="S9" s="1635" t="s">
        <v>3689</v>
      </c>
      <c r="T9" s="1635" t="s">
        <v>3727</v>
      </c>
    </row>
    <row r="10" spans="1:20" s="3286" customFormat="1">
      <c r="A10" s="3286" t="s">
        <v>3643</v>
      </c>
      <c r="B10" s="3286" t="s">
        <v>3680</v>
      </c>
      <c r="C10" s="3286" t="s">
        <v>3681</v>
      </c>
      <c r="D10" s="3286" t="s">
        <v>1327</v>
      </c>
      <c r="E10" s="3286" t="s">
        <v>3643</v>
      </c>
      <c r="F10" s="3286" t="s">
        <v>3682</v>
      </c>
      <c r="G10" s="3286" t="s">
        <v>3728</v>
      </c>
      <c r="H10" s="3286" t="s">
        <v>3684</v>
      </c>
      <c r="I10" s="3286">
        <v>3402.15</v>
      </c>
      <c r="J10" s="3286">
        <v>25828</v>
      </c>
      <c r="K10" s="3286">
        <v>7.6</v>
      </c>
      <c r="L10" s="3286" t="s">
        <v>3655</v>
      </c>
      <c r="M10" s="3286" t="s">
        <v>3729</v>
      </c>
      <c r="N10" s="3286" t="s">
        <v>3730</v>
      </c>
      <c r="O10" s="3286">
        <v>5580</v>
      </c>
      <c r="P10" s="3286">
        <v>1093.43</v>
      </c>
      <c r="Q10" s="3286">
        <v>2160.44</v>
      </c>
      <c r="R10" s="3286">
        <v>73.02</v>
      </c>
      <c r="S10" s="3286" t="s">
        <v>3689</v>
      </c>
      <c r="T10" s="3286" t="s">
        <v>3690</v>
      </c>
    </row>
    <row r="11" spans="1:20">
      <c r="A11" s="1635" t="s">
        <v>3731</v>
      </c>
      <c r="B11" s="1635" t="s">
        <v>3680</v>
      </c>
      <c r="C11" s="1635" t="s">
        <v>3681</v>
      </c>
      <c r="D11" s="1635" t="s">
        <v>1327</v>
      </c>
      <c r="E11" s="1635" t="s">
        <v>3731</v>
      </c>
      <c r="F11" s="1635" t="s">
        <v>3682</v>
      </c>
      <c r="G11" s="1635" t="s">
        <v>3732</v>
      </c>
      <c r="H11" s="1635" t="s">
        <v>3684</v>
      </c>
      <c r="I11" s="1635">
        <v>71736.67</v>
      </c>
      <c r="J11" s="1635">
        <v>143473</v>
      </c>
      <c r="K11" s="1635">
        <v>2</v>
      </c>
      <c r="L11" s="1635" t="s">
        <v>3733</v>
      </c>
      <c r="M11" s="1635" t="s">
        <v>3734</v>
      </c>
      <c r="N11" s="1635" t="s">
        <v>3735</v>
      </c>
      <c r="O11" s="1635">
        <v>13080</v>
      </c>
      <c r="P11" s="1635">
        <v>121.56</v>
      </c>
      <c r="Q11" s="1635">
        <v>911.66</v>
      </c>
      <c r="R11" s="1635">
        <v>0</v>
      </c>
      <c r="S11" s="1635" t="s">
        <v>3689</v>
      </c>
      <c r="T11" s="1635" t="s">
        <v>3701</v>
      </c>
    </row>
    <row r="12" spans="1:20">
      <c r="A12" s="1635" t="s">
        <v>3731</v>
      </c>
      <c r="B12" s="1635" t="s">
        <v>3680</v>
      </c>
      <c r="C12" s="1635" t="s">
        <v>3681</v>
      </c>
      <c r="D12" s="1635" t="s">
        <v>1327</v>
      </c>
      <c r="E12" s="1635" t="s">
        <v>3731</v>
      </c>
      <c r="F12" s="1635" t="s">
        <v>3682</v>
      </c>
      <c r="G12" s="1635" t="s">
        <v>3736</v>
      </c>
      <c r="H12" s="1635" t="s">
        <v>3684</v>
      </c>
      <c r="I12" s="1635">
        <v>8565.83</v>
      </c>
      <c r="J12" s="1635">
        <v>17131</v>
      </c>
      <c r="K12" s="1635">
        <v>2</v>
      </c>
      <c r="L12" s="1635" t="s">
        <v>3733</v>
      </c>
      <c r="M12" s="1635" t="s">
        <v>3737</v>
      </c>
      <c r="N12" s="1635" t="s">
        <v>3735</v>
      </c>
      <c r="O12" s="1635">
        <v>1505</v>
      </c>
      <c r="P12" s="1635">
        <v>117.13</v>
      </c>
      <c r="Q12" s="1635">
        <v>878.51</v>
      </c>
      <c r="R12" s="1635">
        <v>0</v>
      </c>
      <c r="S12" s="1635" t="s">
        <v>3689</v>
      </c>
      <c r="T12" s="1635" t="s">
        <v>3701</v>
      </c>
    </row>
    <row r="13" spans="1:20">
      <c r="A13" s="1635" t="s">
        <v>3738</v>
      </c>
      <c r="B13" s="1635" t="s">
        <v>3680</v>
      </c>
      <c r="C13" s="1635" t="s">
        <v>3681</v>
      </c>
      <c r="D13" s="1635" t="s">
        <v>1327</v>
      </c>
      <c r="E13" s="1635" t="s">
        <v>3738</v>
      </c>
      <c r="F13" s="1635" t="s">
        <v>3682</v>
      </c>
      <c r="G13" s="1635" t="s">
        <v>3739</v>
      </c>
      <c r="H13" s="1635" t="s">
        <v>3740</v>
      </c>
      <c r="I13" s="1635">
        <v>24759.56</v>
      </c>
      <c r="J13" s="1635">
        <v>27235.52</v>
      </c>
      <c r="K13" s="1635">
        <v>1.1000000000000001</v>
      </c>
      <c r="L13" s="1635" t="s">
        <v>3741</v>
      </c>
      <c r="M13" s="1635" t="s">
        <v>3742</v>
      </c>
      <c r="N13" s="1635" t="s">
        <v>3743</v>
      </c>
      <c r="O13" s="1635">
        <v>11125</v>
      </c>
      <c r="P13" s="1635">
        <v>299.55</v>
      </c>
      <c r="Q13" s="1635">
        <v>4084.73</v>
      </c>
      <c r="R13" s="1635">
        <v>0</v>
      </c>
      <c r="S13" s="1635" t="s">
        <v>3744</v>
      </c>
      <c r="T13" s="1635" t="s">
        <v>3690</v>
      </c>
    </row>
    <row r="14" spans="1:20" s="3285" customFormat="1">
      <c r="A14" s="3285" t="s">
        <v>3644</v>
      </c>
      <c r="B14" s="3285" t="s">
        <v>3680</v>
      </c>
      <c r="C14" s="3285" t="s">
        <v>3681</v>
      </c>
      <c r="D14" s="3285" t="s">
        <v>1327</v>
      </c>
      <c r="E14" s="3285" t="s">
        <v>3644</v>
      </c>
      <c r="F14" s="3285" t="s">
        <v>3682</v>
      </c>
      <c r="G14" s="3285" t="s">
        <v>3745</v>
      </c>
      <c r="H14" s="3285" t="s">
        <v>3740</v>
      </c>
      <c r="I14" s="3285">
        <v>39593.699999999997</v>
      </c>
      <c r="J14" s="3285">
        <v>217765.3</v>
      </c>
      <c r="K14" s="3285">
        <v>5.5</v>
      </c>
      <c r="L14" s="3285" t="s">
        <v>3657</v>
      </c>
      <c r="M14" s="3285" t="s">
        <v>3746</v>
      </c>
      <c r="N14" s="3285" t="s">
        <v>3747</v>
      </c>
      <c r="O14" s="3285">
        <v>47890</v>
      </c>
      <c r="P14" s="3285">
        <v>806.36</v>
      </c>
      <c r="Q14" s="3285">
        <v>2199.15</v>
      </c>
      <c r="R14" s="3285">
        <v>0</v>
      </c>
      <c r="S14" s="3285" t="s">
        <v>3744</v>
      </c>
      <c r="T14" s="3285" t="s">
        <v>3690</v>
      </c>
    </row>
    <row r="15" spans="1:20">
      <c r="A15" s="1635" t="s">
        <v>3748</v>
      </c>
      <c r="B15" s="1635" t="s">
        <v>3680</v>
      </c>
      <c r="C15" s="1635" t="s">
        <v>3681</v>
      </c>
      <c r="D15" s="1635" t="s">
        <v>1327</v>
      </c>
      <c r="E15" s="1635" t="s">
        <v>3748</v>
      </c>
      <c r="F15" s="1635" t="s">
        <v>3682</v>
      </c>
      <c r="G15" s="1635" t="s">
        <v>3749</v>
      </c>
      <c r="H15" s="1635" t="s">
        <v>3740</v>
      </c>
      <c r="I15" s="1635">
        <v>19057.57</v>
      </c>
      <c r="J15" s="1635">
        <v>53361</v>
      </c>
      <c r="K15" s="1635">
        <v>2.8</v>
      </c>
      <c r="L15" s="1635" t="s">
        <v>3750</v>
      </c>
      <c r="M15" s="1635" t="s">
        <v>3751</v>
      </c>
      <c r="N15" s="1635" t="s">
        <v>3752</v>
      </c>
      <c r="O15" s="1635">
        <v>3625</v>
      </c>
      <c r="P15" s="1635">
        <v>126.81</v>
      </c>
      <c r="Q15" s="1635">
        <v>679.34</v>
      </c>
      <c r="R15" s="1635">
        <v>1.1200000000000001</v>
      </c>
      <c r="S15" s="1635" t="s">
        <v>3744</v>
      </c>
      <c r="T15" s="1635" t="s">
        <v>3690</v>
      </c>
    </row>
    <row r="16" spans="1:20">
      <c r="A16" s="1635" t="s">
        <v>3753</v>
      </c>
      <c r="B16" s="1635" t="s">
        <v>3680</v>
      </c>
      <c r="C16" s="1635" t="s">
        <v>3681</v>
      </c>
      <c r="D16" s="1635" t="s">
        <v>1327</v>
      </c>
      <c r="E16" s="1635" t="s">
        <v>3753</v>
      </c>
      <c r="F16" s="1635" t="s">
        <v>3682</v>
      </c>
      <c r="G16" s="1635" t="s">
        <v>3754</v>
      </c>
      <c r="H16" s="1635" t="s">
        <v>3740</v>
      </c>
      <c r="I16" s="1635">
        <v>8621.86</v>
      </c>
      <c r="J16" s="1635">
        <v>25865</v>
      </c>
      <c r="K16" s="1635">
        <v>3</v>
      </c>
      <c r="L16" s="1635" t="s">
        <v>3750</v>
      </c>
      <c r="M16" s="1635" t="s">
        <v>3755</v>
      </c>
      <c r="N16" s="1635" t="s">
        <v>3756</v>
      </c>
      <c r="O16" s="1635">
        <v>2310</v>
      </c>
      <c r="P16" s="1635">
        <v>178.62</v>
      </c>
      <c r="Q16" s="1635">
        <v>893.1</v>
      </c>
      <c r="R16" s="1635">
        <v>0</v>
      </c>
      <c r="S16" s="1635" t="s">
        <v>3744</v>
      </c>
      <c r="T16" s="1635" t="s">
        <v>3701</v>
      </c>
    </row>
    <row r="17" spans="1:20">
      <c r="A17" s="1635" t="s">
        <v>3757</v>
      </c>
      <c r="B17" s="1635" t="s">
        <v>3680</v>
      </c>
      <c r="C17" s="1635" t="s">
        <v>3681</v>
      </c>
      <c r="D17" s="1635" t="s">
        <v>1327</v>
      </c>
      <c r="E17" s="1635" t="s">
        <v>3757</v>
      </c>
      <c r="F17" s="1635" t="s">
        <v>3682</v>
      </c>
      <c r="G17" s="1635" t="s">
        <v>3758</v>
      </c>
      <c r="H17" s="1635" t="s">
        <v>3740</v>
      </c>
      <c r="I17" s="1635">
        <v>39296.11</v>
      </c>
      <c r="J17" s="1635">
        <v>157184.4</v>
      </c>
      <c r="K17" s="1635">
        <v>4</v>
      </c>
      <c r="L17" s="1635" t="s">
        <v>3759</v>
      </c>
      <c r="M17" s="1635" t="s">
        <v>3760</v>
      </c>
      <c r="N17" s="1635" t="s">
        <v>3761</v>
      </c>
      <c r="O17" s="1635">
        <v>10660</v>
      </c>
      <c r="P17" s="1635">
        <v>180.85</v>
      </c>
      <c r="Q17" s="1635">
        <v>678.17</v>
      </c>
      <c r="R17" s="1635">
        <v>0</v>
      </c>
      <c r="S17" s="1635" t="s">
        <v>3744</v>
      </c>
      <c r="T17" s="1635" t="s">
        <v>3690</v>
      </c>
    </row>
    <row r="18" spans="1:20">
      <c r="A18" s="1635" t="s">
        <v>3762</v>
      </c>
      <c r="B18" s="1635" t="s">
        <v>3680</v>
      </c>
      <c r="C18" s="1635" t="s">
        <v>3681</v>
      </c>
      <c r="D18" s="1635" t="s">
        <v>1327</v>
      </c>
      <c r="E18" s="1635" t="s">
        <v>3762</v>
      </c>
      <c r="F18" s="1635" t="s">
        <v>3682</v>
      </c>
      <c r="G18" s="1635" t="s">
        <v>3763</v>
      </c>
      <c r="H18" s="1635" t="s">
        <v>3740</v>
      </c>
      <c r="I18" s="1635">
        <v>9620.43</v>
      </c>
      <c r="J18" s="1635">
        <v>14430.65</v>
      </c>
      <c r="K18" s="1635">
        <v>1.5</v>
      </c>
      <c r="L18" s="1635" t="s">
        <v>3764</v>
      </c>
      <c r="M18" s="1635" t="s">
        <v>3765</v>
      </c>
      <c r="N18" s="1635" t="s">
        <v>3766</v>
      </c>
      <c r="O18" s="1635">
        <v>2010</v>
      </c>
      <c r="P18" s="1635">
        <v>139.29</v>
      </c>
      <c r="Q18" s="1635">
        <v>1392.86</v>
      </c>
      <c r="R18" s="1635">
        <v>0</v>
      </c>
      <c r="S18" s="1635" t="s">
        <v>3744</v>
      </c>
      <c r="T18" s="1635" t="s">
        <v>3701</v>
      </c>
    </row>
    <row r="19" spans="1:20">
      <c r="A19" s="1635" t="s">
        <v>3767</v>
      </c>
      <c r="B19" s="1635" t="s">
        <v>3680</v>
      </c>
      <c r="C19" s="1635" t="s">
        <v>3681</v>
      </c>
      <c r="D19" s="1635" t="s">
        <v>1327</v>
      </c>
      <c r="E19" s="1635" t="s">
        <v>3767</v>
      </c>
      <c r="F19" s="1635" t="s">
        <v>3682</v>
      </c>
      <c r="G19" s="1635" t="s">
        <v>3768</v>
      </c>
      <c r="H19" s="1635" t="s">
        <v>3769</v>
      </c>
      <c r="I19" s="1635">
        <v>1125.01</v>
      </c>
      <c r="J19" s="1635">
        <v>450</v>
      </c>
      <c r="K19" s="1635">
        <v>0.4</v>
      </c>
      <c r="L19" s="1635" t="s">
        <v>3770</v>
      </c>
      <c r="M19" s="1635" t="s">
        <v>3771</v>
      </c>
      <c r="N19" s="1635" t="s">
        <v>3772</v>
      </c>
      <c r="O19" s="1635">
        <v>230</v>
      </c>
      <c r="P19" s="1635">
        <v>136.30000000000001</v>
      </c>
      <c r="Q19" s="1635">
        <v>5111.1000000000004</v>
      </c>
      <c r="R19" s="1635">
        <v>0</v>
      </c>
      <c r="S19" s="1635" t="s">
        <v>3744</v>
      </c>
      <c r="T19" s="1635" t="s">
        <v>3727</v>
      </c>
    </row>
    <row r="20" spans="1:20">
      <c r="A20" s="1635" t="s">
        <v>3773</v>
      </c>
      <c r="B20" s="1635" t="s">
        <v>3680</v>
      </c>
      <c r="C20" s="1635" t="s">
        <v>3681</v>
      </c>
      <c r="D20" s="1635" t="s">
        <v>1327</v>
      </c>
      <c r="E20" s="1635" t="s">
        <v>3773</v>
      </c>
      <c r="F20" s="1635" t="s">
        <v>3682</v>
      </c>
      <c r="G20" s="1635" t="s">
        <v>3774</v>
      </c>
      <c r="H20" s="1635" t="s">
        <v>3775</v>
      </c>
      <c r="I20" s="1635">
        <v>26187.22</v>
      </c>
      <c r="J20" s="1635">
        <v>91655.27</v>
      </c>
      <c r="K20" s="1635">
        <v>3.5</v>
      </c>
      <c r="L20" s="1635" t="s">
        <v>3776</v>
      </c>
      <c r="M20" s="1635" t="s">
        <v>3777</v>
      </c>
      <c r="N20" s="1635" t="s">
        <v>3778</v>
      </c>
      <c r="O20" s="1635">
        <v>12580</v>
      </c>
      <c r="P20" s="1635">
        <v>320.26</v>
      </c>
      <c r="Q20" s="1635">
        <v>1372.52</v>
      </c>
      <c r="R20" s="1635">
        <v>0</v>
      </c>
      <c r="S20" s="1635" t="s">
        <v>3744</v>
      </c>
      <c r="T20" s="1635" t="s">
        <v>3690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1637</v>
      </c>
      <c r="B2" s="2973" t="s">
        <v>1638</v>
      </c>
      <c r="C2" s="2973" t="s">
        <v>1639</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67"/>
      <c r="B3" s="2967"/>
      <c r="C3" s="2967"/>
      <c r="D3" s="1044" t="s">
        <v>1634</v>
      </c>
      <c r="E3" s="1044" t="s">
        <v>1640</v>
      </c>
      <c r="F3" s="1044" t="s">
        <v>1634</v>
      </c>
      <c r="G3" s="1044" t="s">
        <v>1635</v>
      </c>
      <c r="H3" s="1044" t="s">
        <v>1634</v>
      </c>
      <c r="I3" s="1044" t="s">
        <v>1635</v>
      </c>
    </row>
    <row r="4" spans="1:9" ht="30">
      <c r="A4" s="1973" t="str">
        <f>项目基本情况!S2</f>
        <v>出让国有建设用地使用权及在建建筑物房地产</v>
      </c>
      <c r="B4" s="1044">
        <f>项目基本情况!C17</f>
        <v>33112.840000000157</v>
      </c>
      <c r="C4" s="1044">
        <f>项目基本情况!C18</f>
        <v>9460.81</v>
      </c>
      <c r="D4" s="1044" t="e">
        <f ca="1">结果表!D118</f>
        <v>#REF!</v>
      </c>
      <c r="E4" s="1044" t="e">
        <f ca="1">结果表!E118</f>
        <v>#REF!</v>
      </c>
      <c r="F4" s="1044" t="e">
        <f ca="1">结果表!F118</f>
        <v>#REF!</v>
      </c>
      <c r="G4" s="1044" t="e">
        <f ca="1">结果表!G118</f>
        <v>#REF!</v>
      </c>
      <c r="H4" s="1044">
        <f ca="1">结果表!H118</f>
        <v>24182</v>
      </c>
      <c r="I4" s="1044">
        <f ca="1">结果表!I118</f>
        <v>7303</v>
      </c>
    </row>
    <row r="5" spans="1:9" ht="30" customHeight="1">
      <c r="A5" s="2967" t="s">
        <v>1636</v>
      </c>
      <c r="B5" s="2967"/>
      <c r="C5" s="2967"/>
      <c r="D5" s="2968" t="e">
        <f ca="1">结果表!D119</f>
        <v>#REF!</v>
      </c>
      <c r="E5" s="2968"/>
      <c r="F5" s="2968" t="e">
        <f ca="1">结果表!F119</f>
        <v>#REF!</v>
      </c>
      <c r="G5" s="2968"/>
      <c r="H5" s="2968" t="str">
        <f ca="1">结果表!H119</f>
        <v>贰亿肆仟壹佰捌拾贰万元整</v>
      </c>
      <c r="I5" s="2968"/>
    </row>
    <row r="6" spans="1:9" ht="15.75">
      <c r="A6" s="2966" t="str">
        <f>结果表!A120</f>
        <v>估价师知悉的法定优先受偿款</v>
      </c>
      <c r="B6" s="2966"/>
      <c r="C6" s="2966"/>
      <c r="D6" s="2966">
        <f>结果表!D120</f>
        <v>0</v>
      </c>
      <c r="E6" s="2966"/>
      <c r="F6" s="2966"/>
      <c r="G6" s="2966"/>
      <c r="H6" s="2966"/>
      <c r="I6" s="2966"/>
    </row>
    <row r="7" spans="1:9" ht="15">
      <c r="A7" s="2967" t="s">
        <v>1636</v>
      </c>
      <c r="B7" s="2967"/>
      <c r="C7" s="2967"/>
      <c r="D7" s="2969" t="str">
        <f>结果表!D121</f>
        <v>零元整</v>
      </c>
      <c r="E7" s="2970"/>
      <c r="F7" s="2970"/>
      <c r="G7" s="2970"/>
      <c r="H7" s="2970"/>
      <c r="I7" s="2971"/>
    </row>
    <row r="8" spans="1:9" ht="15.75">
      <c r="A8" s="2966" t="str">
        <f>结果表!A122</f>
        <v>房地产抵押价值</v>
      </c>
      <c r="B8" s="2966"/>
      <c r="C8" s="2966"/>
      <c r="D8" s="2966">
        <f ca="1">结果表!D122</f>
        <v>24182</v>
      </c>
      <c r="E8" s="2966"/>
      <c r="F8" s="2966"/>
      <c r="G8" s="2966"/>
      <c r="H8" s="2966"/>
      <c r="I8" s="2966"/>
    </row>
    <row r="9" spans="1:9" ht="15">
      <c r="A9" s="2967" t="s">
        <v>1636</v>
      </c>
      <c r="B9" s="2967"/>
      <c r="C9" s="2967"/>
      <c r="D9" s="2968" t="str">
        <f ca="1">结果表!D123</f>
        <v>贰亿肆仟壹佰捌拾贰万元整</v>
      </c>
      <c r="E9" s="2968"/>
      <c r="F9" s="2968"/>
      <c r="G9" s="2968"/>
      <c r="H9" s="2968"/>
      <c r="I9" s="2968"/>
    </row>
    <row r="10" spans="1:9" ht="15.75">
      <c r="A10" s="2966" t="str">
        <f>结果表!A124</f>
        <v/>
      </c>
      <c r="B10" s="2966"/>
      <c r="C10" s="2966"/>
      <c r="D10" s="2966" t="str">
        <f>结果表!D124</f>
        <v>——</v>
      </c>
      <c r="E10" s="2966"/>
      <c r="F10" s="2966"/>
      <c r="G10" s="2966"/>
      <c r="H10" s="2966"/>
      <c r="I10" s="2966"/>
    </row>
    <row r="11" spans="1:9" ht="15">
      <c r="A11" s="2967" t="s">
        <v>1636</v>
      </c>
      <c r="B11" s="2967"/>
      <c r="C11" s="2967"/>
      <c r="D11" s="2968" t="e">
        <f>结果表!D125</f>
        <v>#VALUE!</v>
      </c>
      <c r="E11" s="2968"/>
      <c r="F11" s="2968"/>
      <c r="G11" s="2968"/>
      <c r="H11" s="2968"/>
      <c r="I11" s="2968"/>
    </row>
    <row r="12" spans="1:9" ht="15.75">
      <c r="A12" s="2966" t="str">
        <f>结果表!A126</f>
        <v/>
      </c>
      <c r="B12" s="2966"/>
      <c r="C12" s="2966"/>
      <c r="D12" s="2966" t="str">
        <f>结果表!D126</f>
        <v>——</v>
      </c>
      <c r="E12" s="2966"/>
      <c r="F12" s="2966"/>
      <c r="G12" s="2966"/>
      <c r="H12" s="2966"/>
      <c r="I12" s="2966"/>
    </row>
    <row r="13" spans="1:9" ht="15.75" thickBot="1">
      <c r="A13" s="2963" t="s">
        <v>1636</v>
      </c>
      <c r="B13" s="2963"/>
      <c r="C13" s="2963"/>
      <c r="D13" s="2964" t="e">
        <f>结果表!D127</f>
        <v>#VALUE!</v>
      </c>
      <c r="E13" s="2964"/>
      <c r="F13" s="2964"/>
      <c r="G13" s="2964"/>
      <c r="H13" s="2964"/>
      <c r="I13" s="2964"/>
    </row>
    <row r="14" spans="1:9" ht="15" thickTop="1">
      <c r="A14" s="2965" t="s">
        <v>1641</v>
      </c>
      <c r="B14" s="2965"/>
      <c r="C14" s="2965"/>
      <c r="D14" s="2965"/>
      <c r="E14" s="2965"/>
      <c r="F14" s="2965"/>
      <c r="G14" s="2965"/>
      <c r="H14" s="2965"/>
      <c r="I14" s="296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0" t="s">
        <v>1658</v>
      </c>
      <c r="B1" s="2980"/>
      <c r="C1" s="2980"/>
      <c r="D1" s="2980"/>
    </row>
    <row r="2" spans="1:4" ht="18">
      <c r="A2" s="2981" t="s">
        <v>1642</v>
      </c>
      <c r="B2" s="2981"/>
      <c r="C2" s="2981"/>
      <c r="D2" s="2981"/>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2981" t="s">
        <v>1648</v>
      </c>
      <c r="B6" s="2981"/>
      <c r="C6" s="2981"/>
      <c r="D6" s="298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2" t="s">
        <v>1651</v>
      </c>
      <c r="B11" s="2974"/>
      <c r="C11" s="2974"/>
      <c r="D11" s="2974"/>
    </row>
    <row r="12" spans="1:4" ht="15.75">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9"/>
      <c r="C12" s="2979"/>
      <c r="D12" s="2979"/>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9"/>
      <c r="C13" s="2979"/>
      <c r="D13" s="2979"/>
    </row>
    <row r="14" spans="1:4" ht="15.75" customHeight="1">
      <c r="A14" s="2974" t="str">
        <f>IF(项目基本情况!B8="抵押","4.本次评估估价师所知悉的法定优先受偿款情况说明如下：","——")</f>
        <v>4.本次评估估价师所知悉的法定优先受偿款情况说明如下：</v>
      </c>
      <c r="B14" s="2979"/>
      <c r="C14" s="2979"/>
      <c r="D14" s="2979"/>
    </row>
    <row r="15" spans="1:4" ht="42" customHeight="1">
      <c r="A15" s="29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6" t="s">
        <v>1652</v>
      </c>
      <c r="B16" s="2976"/>
      <c r="C16" s="2976"/>
      <c r="D16" s="2976"/>
    </row>
    <row r="17" spans="1:4" ht="144" customHeight="1">
      <c r="A17" s="2976" t="s">
        <v>1653</v>
      </c>
      <c r="B17" s="2976"/>
      <c r="C17" s="2976"/>
      <c r="D17" s="2976"/>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4"/>
      <c r="C20" s="2974"/>
      <c r="D20" s="2974"/>
    </row>
    <row r="21" spans="1:4" ht="57.75" customHeight="1">
      <c r="A21" s="29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77"/>
      <c r="C21" s="2977"/>
      <c r="D21" s="2977"/>
    </row>
    <row r="22" spans="1:4" ht="18.75" customHeight="1">
      <c r="A22" s="2978" t="s">
        <v>1654</v>
      </c>
      <c r="B22" s="2978"/>
      <c r="C22" s="2978"/>
      <c r="D22" s="297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5">
        <v>42551</v>
      </c>
      <c r="D31" s="29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88" t="s">
        <v>1665</v>
      </c>
      <c r="B15" s="2983" t="s">
        <v>136</v>
      </c>
      <c r="C15" s="2984"/>
    </row>
    <row r="16" spans="1:7" ht="13.5">
      <c r="A16" s="2989"/>
      <c r="B16" s="2983" t="s">
        <v>69</v>
      </c>
      <c r="C16" s="2984"/>
    </row>
    <row r="17" spans="1:3" ht="13.5">
      <c r="A17" s="2989"/>
      <c r="B17" s="2986" t="s">
        <v>1666</v>
      </c>
      <c r="C17" s="2000" t="s">
        <v>1665</v>
      </c>
    </row>
    <row r="18" spans="1:3" ht="13.5">
      <c r="A18" s="2989"/>
      <c r="B18" s="2986"/>
      <c r="C18" s="2000" t="s">
        <v>1667</v>
      </c>
    </row>
    <row r="19" spans="1:3" ht="13.5">
      <c r="A19" s="2989"/>
      <c r="B19" s="2986"/>
      <c r="C19" s="2000" t="s">
        <v>1668</v>
      </c>
    </row>
    <row r="20" spans="1:3" ht="13.5">
      <c r="A20" s="2990"/>
      <c r="B20" s="2985" t="s">
        <v>1669</v>
      </c>
      <c r="C20" s="2984"/>
    </row>
    <row r="21" spans="1:3" ht="13.5">
      <c r="A21" s="2001" t="s">
        <v>1670</v>
      </c>
      <c r="B21" s="2002"/>
      <c r="C21" s="2003"/>
    </row>
    <row r="22" spans="1:3" ht="13.5">
      <c r="A22" s="2987" t="s">
        <v>1671</v>
      </c>
      <c r="B22" s="2985" t="s">
        <v>1672</v>
      </c>
      <c r="C22" s="2984"/>
    </row>
    <row r="23" spans="1:3" ht="13.5">
      <c r="A23" s="2987"/>
      <c r="B23" s="2985" t="s">
        <v>1673</v>
      </c>
      <c r="C23" s="2984"/>
    </row>
    <row r="24" spans="1:3" ht="13.5">
      <c r="A24" s="2987"/>
      <c r="B24" s="2985" t="s">
        <v>1674</v>
      </c>
      <c r="C24" s="2984"/>
    </row>
    <row r="25" spans="1:3" ht="13.5">
      <c r="A25" s="2987"/>
      <c r="B25" s="2986" t="s">
        <v>1675</v>
      </c>
      <c r="C25" s="2000" t="s">
        <v>1676</v>
      </c>
    </row>
    <row r="26" spans="1:3" ht="13.5">
      <c r="A26" s="2987"/>
      <c r="B26" s="2986"/>
      <c r="C26" s="2000" t="s">
        <v>1677</v>
      </c>
    </row>
    <row r="27" spans="1:3" ht="13.5">
      <c r="A27" s="2987"/>
      <c r="B27" s="2986"/>
      <c r="C27" s="2000" t="s">
        <v>1678</v>
      </c>
    </row>
    <row r="28" spans="1:3" ht="13.5">
      <c r="A28" s="2987"/>
      <c r="B28" s="2986"/>
      <c r="C28" s="2000" t="s">
        <v>1679</v>
      </c>
    </row>
    <row r="29" spans="1:3" ht="13.5">
      <c r="A29" s="2987"/>
      <c r="B29" s="2986"/>
      <c r="C29" s="2000" t="s">
        <v>1680</v>
      </c>
    </row>
    <row r="30" spans="1:3" ht="13.5">
      <c r="A30" s="2987"/>
      <c r="B30" s="2986"/>
      <c r="C30" s="2000" t="s">
        <v>1681</v>
      </c>
    </row>
    <row r="31" spans="1:3" ht="13.5">
      <c r="A31" s="2987"/>
      <c r="B31" s="2986"/>
      <c r="C31" s="2000" t="s">
        <v>1682</v>
      </c>
    </row>
    <row r="32" spans="1:3" ht="13.5">
      <c r="A32" s="2987"/>
      <c r="B32" s="2986"/>
      <c r="C32" s="2000" t="s">
        <v>1683</v>
      </c>
    </row>
    <row r="33" spans="1:3" ht="13.5">
      <c r="A33" s="2987"/>
      <c r="B33" s="2986"/>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43578</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0"/>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3046</v>
      </c>
      <c r="B14" s="1022">
        <f ca="1">IF(C14&lt;B2,"已过期",1120040230)</f>
        <v>1120040230</v>
      </c>
      <c r="C14" s="2349">
        <v>43835</v>
      </c>
      <c r="D14" s="2352" t="s">
        <v>3046</v>
      </c>
      <c r="E14" s="1022">
        <f ca="1">IF(F14&lt;B2,"已过期",98030020)</f>
        <v>98030020</v>
      </c>
      <c r="F14" s="1030">
        <v>47118</v>
      </c>
    </row>
    <row r="15" spans="1:6" ht="24" customHeight="1">
      <c r="A15" s="1703" t="s">
        <v>3047</v>
      </c>
      <c r="B15" s="1022">
        <f ca="1">IF(C15&lt;B2,"已过期",1120070085)</f>
        <v>1120070085</v>
      </c>
      <c r="C15" s="2349">
        <v>43814</v>
      </c>
      <c r="D15" s="2353" t="s">
        <v>3047</v>
      </c>
      <c r="E15" s="1022">
        <f ca="1">IF(F15&lt;B2,"已过期",2004110128)</f>
        <v>2004110128</v>
      </c>
      <c r="F15" s="1023">
        <v>47118</v>
      </c>
    </row>
    <row r="16" spans="1:6" ht="24" customHeight="1">
      <c r="A16" s="1702" t="s">
        <v>3048</v>
      </c>
      <c r="B16" s="1022">
        <f ca="1">IF(C16&lt;B2,"已过期",1120140022)</f>
        <v>1120140022</v>
      </c>
      <c r="C16" s="2930">
        <v>44029</v>
      </c>
      <c r="D16" s="2352" t="s">
        <v>3048</v>
      </c>
      <c r="E16" s="1022">
        <f ca="1">IF(F16&lt;B2,"已过期",2008110059)</f>
        <v>2008110059</v>
      </c>
      <c r="F16" s="1030">
        <v>47177</v>
      </c>
    </row>
    <row r="17" spans="1:7" ht="24" customHeight="1">
      <c r="A17" s="1702"/>
      <c r="B17" s="1022"/>
      <c r="C17" s="2349"/>
      <c r="D17" s="2352" t="s">
        <v>3049</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0">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1" t="s">
        <v>843</v>
      </c>
      <c r="B25" s="2991"/>
      <c r="C25" s="2991"/>
      <c r="D25" s="2991"/>
      <c r="E25" s="2991"/>
      <c r="F25" s="2991"/>
      <c r="G25" s="2991"/>
    </row>
    <row r="26" spans="1:7" s="1025" customFormat="1" ht="24" customHeight="1">
      <c r="A26" s="2992" t="s">
        <v>844</v>
      </c>
      <c r="B26" s="2992"/>
      <c r="C26" s="2993"/>
      <c r="D26" s="2994" t="s">
        <v>845</v>
      </c>
      <c r="E26" s="2992"/>
      <c r="F26" s="2992"/>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327" priority="88">
      <formula>AND($C28-TODAY()&lt;30,TODAY()&lt;$C28)</formula>
    </cfRule>
  </conditionalFormatting>
  <conditionalFormatting sqref="C28 F4">
    <cfRule type="cellIs" dxfId="326" priority="90" stopIfTrue="1" operator="lessThan">
      <formula>$B$2</formula>
    </cfRule>
  </conditionalFormatting>
  <conditionalFormatting sqref="C5">
    <cfRule type="expression" dxfId="325" priority="85">
      <formula>AND($C5-TODAY()&lt;30,TODAY()&lt;$C5)</formula>
    </cfRule>
  </conditionalFormatting>
  <conditionalFormatting sqref="C5 F5">
    <cfRule type="cellIs" dxfId="324" priority="86" stopIfTrue="1" operator="lessThan">
      <formula>$B$2</formula>
    </cfRule>
  </conditionalFormatting>
  <conditionalFormatting sqref="F6 F8 F10">
    <cfRule type="cellIs" dxfId="323" priority="84" stopIfTrue="1" operator="lessThan">
      <formula>$B$2</formula>
    </cfRule>
  </conditionalFormatting>
  <conditionalFormatting sqref="C4:C11 C13 C23 C17:C21">
    <cfRule type="expression" dxfId="322" priority="82">
      <formula>AND($C4-TODAY()&lt;30,TODAY()&lt;$C4)</formula>
    </cfRule>
  </conditionalFormatting>
  <conditionalFormatting sqref="F7 F9 F11 C4:C11 C13 C23 C17:C21">
    <cfRule type="cellIs" dxfId="321" priority="83" stopIfTrue="1" operator="lessThan">
      <formula>$B$2</formula>
    </cfRule>
  </conditionalFormatting>
  <conditionalFormatting sqref="C18">
    <cfRule type="expression" dxfId="320" priority="72">
      <formula>AND($C18-TODAY()&lt;30,TODAY()&lt;$C18)</formula>
    </cfRule>
  </conditionalFormatting>
  <conditionalFormatting sqref="C18">
    <cfRule type="cellIs" dxfId="319" priority="73" stopIfTrue="1" operator="lessThan">
      <formula>$B$2</formula>
    </cfRule>
  </conditionalFormatting>
  <conditionalFormatting sqref="C20">
    <cfRule type="expression" dxfId="318" priority="70">
      <formula>AND($C20-TODAY()&lt;30,TODAY()&lt;$C20)</formula>
    </cfRule>
  </conditionalFormatting>
  <conditionalFormatting sqref="C20">
    <cfRule type="cellIs" dxfId="317" priority="71" stopIfTrue="1" operator="lessThan">
      <formula>$B$2</formula>
    </cfRule>
  </conditionalFormatting>
  <conditionalFormatting sqref="C17">
    <cfRule type="expression" dxfId="316" priority="64">
      <formula>AND($C17-TODAY()&lt;30,TODAY()&lt;$C17)</formula>
    </cfRule>
  </conditionalFormatting>
  <conditionalFormatting sqref="C17">
    <cfRule type="cellIs" dxfId="315" priority="65" stopIfTrue="1" operator="lessThan">
      <formula>$B$2</formula>
    </cfRule>
  </conditionalFormatting>
  <conditionalFormatting sqref="C19">
    <cfRule type="expression" dxfId="314" priority="62">
      <formula>AND($C19-TODAY()&lt;30,TODAY()&lt;$C19)</formula>
    </cfRule>
  </conditionalFormatting>
  <conditionalFormatting sqref="C19">
    <cfRule type="cellIs" dxfId="313" priority="63" stopIfTrue="1" operator="lessThan">
      <formula>$B$2</formula>
    </cfRule>
  </conditionalFormatting>
  <conditionalFormatting sqref="C21">
    <cfRule type="expression" dxfId="312" priority="60">
      <formula>AND($C21-TODAY()&lt;30,TODAY()&lt;$C21)</formula>
    </cfRule>
  </conditionalFormatting>
  <conditionalFormatting sqref="C21">
    <cfRule type="cellIs" dxfId="311" priority="61" stopIfTrue="1" operator="lessThan">
      <formula>$B$2</formula>
    </cfRule>
  </conditionalFormatting>
  <conditionalFormatting sqref="C23">
    <cfRule type="expression" dxfId="310" priority="58">
      <formula>AND($C23-TODAY()&lt;30,TODAY()&lt;$C23)</formula>
    </cfRule>
  </conditionalFormatting>
  <conditionalFormatting sqref="C23">
    <cfRule type="cellIs" dxfId="309" priority="59" stopIfTrue="1" operator="lessThan">
      <formula>$B$2</formula>
    </cfRule>
  </conditionalFormatting>
  <conditionalFormatting sqref="F18">
    <cfRule type="cellIs" dxfId="308" priority="55" stopIfTrue="1" operator="lessThan">
      <formula>$B$2</formula>
    </cfRule>
  </conditionalFormatting>
  <conditionalFormatting sqref="F22">
    <cfRule type="cellIs" dxfId="307" priority="54" stopIfTrue="1" operator="lessThan">
      <formula>$B$2</formula>
    </cfRule>
  </conditionalFormatting>
  <conditionalFormatting sqref="F21">
    <cfRule type="cellIs" dxfId="306" priority="53" stopIfTrue="1" operator="lessThan">
      <formula>$B$2</formula>
    </cfRule>
  </conditionalFormatting>
  <conditionalFormatting sqref="B4:B11 E4:E11 B17:B23 E18:E23 B13 E13">
    <cfRule type="cellIs" dxfId="305" priority="51" stopIfTrue="1" operator="equal">
      <formula>"已过期"</formula>
    </cfRule>
  </conditionalFormatting>
  <conditionalFormatting sqref="A24:F24">
    <cfRule type="cellIs" dxfId="304" priority="47" stopIfTrue="1" operator="equal">
      <formula>"已过期"</formula>
    </cfRule>
  </conditionalFormatting>
  <conditionalFormatting sqref="F28">
    <cfRule type="expression" dxfId="303" priority="45">
      <formula>AND($E28-TODAY()&lt;30,TODAY()&lt;$E28)</formula>
    </cfRule>
  </conditionalFormatting>
  <conditionalFormatting sqref="F28">
    <cfRule type="cellIs" dxfId="302" priority="46" stopIfTrue="1" operator="lessThan">
      <formula>$B$2</formula>
    </cfRule>
  </conditionalFormatting>
  <conditionalFormatting sqref="F29">
    <cfRule type="expression" dxfId="301" priority="41" stopIfTrue="1">
      <formula>AND($E29-TODAY()&lt;30,TODAY()&lt;$E29)</formula>
    </cfRule>
  </conditionalFormatting>
  <conditionalFormatting sqref="F29">
    <cfRule type="cellIs" dxfId="300" priority="42" stopIfTrue="1" operator="lessThan">
      <formula>$B$2</formula>
    </cfRule>
  </conditionalFormatting>
  <conditionalFormatting sqref="F13">
    <cfRule type="cellIs" dxfId="299" priority="34" stopIfTrue="1" operator="lessThan">
      <formula>$B$2</formula>
    </cfRule>
  </conditionalFormatting>
  <conditionalFormatting sqref="C12">
    <cfRule type="expression" dxfId="298" priority="32">
      <formula>AND($C12-TODAY()&lt;30,TODAY()&lt;$C12)</formula>
    </cfRule>
  </conditionalFormatting>
  <conditionalFormatting sqref="C12">
    <cfRule type="cellIs" dxfId="297" priority="33" stopIfTrue="1" operator="lessThan">
      <formula>$B$2</formula>
    </cfRule>
  </conditionalFormatting>
  <conditionalFormatting sqref="C12">
    <cfRule type="expression" dxfId="296" priority="30">
      <formula>AND($C12-TODAY()&lt;30,TODAY()&lt;$C12)</formula>
    </cfRule>
  </conditionalFormatting>
  <conditionalFormatting sqref="C12">
    <cfRule type="cellIs" dxfId="295" priority="31" stopIfTrue="1" operator="lessThan">
      <formula>$B$2</formula>
    </cfRule>
  </conditionalFormatting>
  <conditionalFormatting sqref="B12">
    <cfRule type="cellIs" dxfId="294" priority="29" stopIfTrue="1" operator="equal">
      <formula>"已过期"</formula>
    </cfRule>
  </conditionalFormatting>
  <conditionalFormatting sqref="E12">
    <cfRule type="cellIs" dxfId="293" priority="28" stopIfTrue="1" operator="equal">
      <formula>"已过期"</formula>
    </cfRule>
  </conditionalFormatting>
  <conditionalFormatting sqref="F12">
    <cfRule type="cellIs" dxfId="292" priority="27" stopIfTrue="1" operator="lessThan">
      <formula>$B$2</formula>
    </cfRule>
  </conditionalFormatting>
  <conditionalFormatting sqref="C22">
    <cfRule type="expression" dxfId="291" priority="25">
      <formula>AND($C22-TODAY()&lt;30,TODAY()&lt;$C22)</formula>
    </cfRule>
  </conditionalFormatting>
  <conditionalFormatting sqref="C22">
    <cfRule type="cellIs" dxfId="290" priority="26" stopIfTrue="1" operator="lessThan">
      <formula>$B$2</formula>
    </cfRule>
  </conditionalFormatting>
  <conditionalFormatting sqref="C22">
    <cfRule type="expression" dxfId="289" priority="23">
      <formula>AND($C22-TODAY()&lt;30,TODAY()&lt;$C22)</formula>
    </cfRule>
  </conditionalFormatting>
  <conditionalFormatting sqref="C22">
    <cfRule type="cellIs" dxfId="288" priority="24" stopIfTrue="1" operator="lessThan">
      <formula>$B$2</formula>
    </cfRule>
  </conditionalFormatting>
  <conditionalFormatting sqref="C16">
    <cfRule type="expression" dxfId="287" priority="21">
      <formula>AND($C16-TODAY()&lt;30,TODAY()&lt;$C16)</formula>
    </cfRule>
  </conditionalFormatting>
  <conditionalFormatting sqref="C16">
    <cfRule type="cellIs" dxfId="286" priority="22" stopIfTrue="1" operator="lessThan">
      <formula>$B$2</formula>
    </cfRule>
  </conditionalFormatting>
  <conditionalFormatting sqref="C16">
    <cfRule type="expression" dxfId="285" priority="19">
      <formula>AND($C16-TODAY()&lt;30,TODAY()&lt;$C16)</formula>
    </cfRule>
  </conditionalFormatting>
  <conditionalFormatting sqref="C16">
    <cfRule type="cellIs" dxfId="284" priority="20" stopIfTrue="1" operator="lessThan">
      <formula>$B$2</formula>
    </cfRule>
  </conditionalFormatting>
  <conditionalFormatting sqref="B16">
    <cfRule type="cellIs" dxfId="283" priority="18" stopIfTrue="1" operator="equal">
      <formula>"已过期"</formula>
    </cfRule>
  </conditionalFormatting>
  <conditionalFormatting sqref="C14:C15">
    <cfRule type="expression" dxfId="282" priority="16">
      <formula>AND($C14-TODAY()&lt;30,TODAY()&lt;$C14)</formula>
    </cfRule>
  </conditionalFormatting>
  <conditionalFormatting sqref="C14:C15">
    <cfRule type="cellIs" dxfId="281" priority="17" stopIfTrue="1" operator="lessThan">
      <formula>$B$2</formula>
    </cfRule>
  </conditionalFormatting>
  <conditionalFormatting sqref="C14">
    <cfRule type="expression" dxfId="280" priority="14">
      <formula>AND($C14-TODAY()&lt;30,TODAY()&lt;$C14)</formula>
    </cfRule>
  </conditionalFormatting>
  <conditionalFormatting sqref="C14">
    <cfRule type="cellIs" dxfId="279" priority="15" stopIfTrue="1" operator="lessThan">
      <formula>$B$2</formula>
    </cfRule>
  </conditionalFormatting>
  <conditionalFormatting sqref="C15">
    <cfRule type="expression" dxfId="278" priority="12">
      <formula>AND($C15-TODAY()&lt;30,TODAY()&lt;$C15)</formula>
    </cfRule>
  </conditionalFormatting>
  <conditionalFormatting sqref="C15">
    <cfRule type="cellIs" dxfId="277" priority="13" stopIfTrue="1" operator="lessThan">
      <formula>$B$2</formula>
    </cfRule>
  </conditionalFormatting>
  <conditionalFormatting sqref="B14">
    <cfRule type="cellIs" dxfId="276" priority="11" stopIfTrue="1" operator="equal">
      <formula>"已过期"</formula>
    </cfRule>
  </conditionalFormatting>
  <conditionalFormatting sqref="B15">
    <cfRule type="cellIs" dxfId="275" priority="10" stopIfTrue="1" operator="equal">
      <formula>"已过期"</formula>
    </cfRule>
  </conditionalFormatting>
  <conditionalFormatting sqref="A15">
    <cfRule type="cellIs" dxfId="274" priority="9" stopIfTrue="1" operator="equal">
      <formula>"已过期"</formula>
    </cfRule>
  </conditionalFormatting>
  <conditionalFormatting sqref="C15">
    <cfRule type="expression" dxfId="273" priority="8">
      <formula>AND($C15-TODAY()&lt;30,TODAY()&lt;$C15)</formula>
    </cfRule>
  </conditionalFormatting>
  <conditionalFormatting sqref="F16">
    <cfRule type="cellIs" dxfId="272" priority="7" stopIfTrue="1" operator="lessThan">
      <formula>$B$2</formula>
    </cfRule>
  </conditionalFormatting>
  <conditionalFormatting sqref="E16 E14">
    <cfRule type="cellIs" dxfId="271" priority="6" stopIfTrue="1" operator="equal">
      <formula>"已过期"</formula>
    </cfRule>
  </conditionalFormatting>
  <conditionalFormatting sqref="E15">
    <cfRule type="cellIs" dxfId="270" priority="5" stopIfTrue="1" operator="equal">
      <formula>"已过期"</formula>
    </cfRule>
  </conditionalFormatting>
  <conditionalFormatting sqref="D15">
    <cfRule type="cellIs" dxfId="269" priority="4" stopIfTrue="1" operator="equal">
      <formula>"已过期"</formula>
    </cfRule>
  </conditionalFormatting>
  <conditionalFormatting sqref="F17">
    <cfRule type="cellIs" dxfId="268" priority="3" stopIfTrue="1" operator="lessThan">
      <formula>$B$2</formula>
    </cfRule>
  </conditionalFormatting>
  <conditionalFormatting sqref="E17">
    <cfRule type="cellIs" dxfId="267" priority="2" stopIfTrue="1" operator="equal">
      <formula>"已过期"</formula>
    </cfRule>
  </conditionalFormatting>
  <conditionalFormatting sqref="F14">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抵押物清单</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2019-04-23T07:24:05Z</dcterms:modified>
</cp:coreProperties>
</file>