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in10\Desktop\司法慧忠北里资料\"/>
    </mc:Choice>
  </mc:AlternateContent>
  <bookViews>
    <workbookView xWindow="0" yWindow="0" windowWidth="17352" windowHeight="11016"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Sheet1" sheetId="87" r:id="rId19"/>
    <sheet name="成本法" sheetId="68" state="hidden" r:id="rId20"/>
    <sheet name="成本法 (元)" sheetId="69" state="hidden"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租金" sheetId="81" r:id="rId27"/>
    <sheet name="比较法-住宅" sheetId="21" r:id="rId28"/>
    <sheet name="Sheet3" sheetId="86" r:id="rId29"/>
    <sheet name="成交" sheetId="85" r:id="rId30"/>
    <sheet name="法拍" sheetId="82"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基准地价修正" sheetId="43" state="hidden" r:id="rId41"/>
    <sheet name="修正" sheetId="45" state="hidden" r:id="rId42"/>
    <sheet name="容积率修正" sheetId="46" state="hidden" r:id="rId43"/>
    <sheet name="成本法（废）" sheetId="11" state="hidden" r:id="rId44"/>
    <sheet name="区片价" sheetId="44" state="hidden" r:id="rId45"/>
    <sheet name="因素修正幅度" sheetId="65" state="hidden" r:id="rId46"/>
    <sheet name="区片价（范围）" sheetId="75" state="hidden" r:id="rId47"/>
    <sheet name="地价-分区" sheetId="79" state="hidden" r:id="rId48"/>
    <sheet name="地价" sheetId="71" state="hidden" r:id="rId49"/>
    <sheet name="存贷款利率" sheetId="73" state="hidden" r:id="rId50"/>
  </sheets>
  <externalReferences>
    <externalReference r:id="rId51"/>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27"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27">'比较法-住宅'!$A$1:$K$54</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4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D5" i="9" l="1"/>
  <c r="F3" i="82" l="1"/>
  <c r="I47" i="21"/>
  <c r="G47" i="21"/>
  <c r="E47" i="21"/>
  <c r="I33" i="21"/>
  <c r="G33" i="21"/>
  <c r="E33" i="21"/>
  <c r="I7" i="21"/>
  <c r="G7" i="21"/>
  <c r="E7" i="21"/>
  <c r="I6" i="21"/>
  <c r="G6" i="21"/>
  <c r="E6" i="21"/>
  <c r="F121" i="82"/>
  <c r="D121" i="82"/>
  <c r="D98" i="82" l="1"/>
  <c r="F74" i="82"/>
  <c r="D74" i="82"/>
  <c r="C5" i="21"/>
  <c r="I5" i="21"/>
  <c r="G5" i="21"/>
  <c r="E5" i="21"/>
  <c r="B59" i="1"/>
  <c r="Q5" i="81"/>
  <c r="Q3" i="81" l="1"/>
  <c r="Q4" i="81"/>
  <c r="Q2" i="81"/>
  <c r="Q8" i="81" s="1"/>
  <c r="F20" i="67"/>
  <c r="D106" i="21"/>
  <c r="F34" i="21"/>
  <c r="AA34" i="21" s="1"/>
  <c r="D125" i="21"/>
  <c r="E125" i="21" s="1"/>
  <c r="F43" i="21" s="1"/>
  <c r="D113" i="21"/>
  <c r="E113" i="21" s="1"/>
  <c r="D110" i="21"/>
  <c r="E110" i="21" s="1"/>
  <c r="F110" i="21" s="1"/>
  <c r="F36" i="21"/>
  <c r="AA36" i="21" s="1"/>
  <c r="D123" i="21"/>
  <c r="F42" i="21" s="1"/>
  <c r="AA42" i="21" s="1"/>
  <c r="D101" i="21"/>
  <c r="E101" i="21" s="1"/>
  <c r="F101" i="21" s="1"/>
  <c r="F32" i="21"/>
  <c r="AA32" i="21" s="1"/>
  <c r="H34" i="21"/>
  <c r="AB34" i="21" s="1"/>
  <c r="T47" i="21"/>
  <c r="H36" i="21"/>
  <c r="AB36" i="21" s="1"/>
  <c r="H42" i="21"/>
  <c r="AB42" i="21" s="1"/>
  <c r="H32" i="21"/>
  <c r="AB32" i="21" s="1"/>
  <c r="E106" i="21"/>
  <c r="F106" i="21"/>
  <c r="J34" i="21"/>
  <c r="AC34" i="21" s="1"/>
  <c r="J36" i="21"/>
  <c r="AC36" i="21" s="1"/>
  <c r="J32" i="21"/>
  <c r="W32" i="21" s="1"/>
  <c r="C17" i="9"/>
  <c r="F51" i="82"/>
  <c r="D51" i="82"/>
  <c r="D28" i="82"/>
  <c r="D3" i="82"/>
  <c r="D17" i="9"/>
  <c r="O19" i="1"/>
  <c r="O21" i="1" s="1"/>
  <c r="N6" i="1" s="1"/>
  <c r="Y6" i="1" s="1"/>
  <c r="F19" i="6"/>
  <c r="D3" i="4"/>
  <c r="C60" i="78"/>
  <c r="D60" i="78" s="1"/>
  <c r="B51" i="78"/>
  <c r="B55" i="78"/>
  <c r="D55" i="78" s="1"/>
  <c r="D53" i="78"/>
  <c r="D52" i="78"/>
  <c r="D51" i="78" s="1"/>
  <c r="C51" i="78" s="1"/>
  <c r="C56" i="78" s="1"/>
  <c r="C58" i="78" s="1"/>
  <c r="B56" i="78"/>
  <c r="B62" i="78"/>
  <c r="B54" i="78"/>
  <c r="D54" i="78" s="1"/>
  <c r="G14" i="73"/>
  <c r="F14" i="73"/>
  <c r="E14" i="73"/>
  <c r="AB30" i="79"/>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c r="Z6" i="79"/>
  <c r="Y6" i="79"/>
  <c r="O6" i="79"/>
  <c r="N6" i="79"/>
  <c r="M6" i="79"/>
  <c r="P6" i="79" s="1"/>
  <c r="L6" i="79"/>
  <c r="K6" i="79"/>
  <c r="I6" i="79"/>
  <c r="AB31" i="79"/>
  <c r="AA31" i="79"/>
  <c r="Z31" i="79"/>
  <c r="N31" i="79"/>
  <c r="M31" i="79"/>
  <c r="P31" i="79" s="1"/>
  <c r="L31" i="79"/>
  <c r="I31" i="79"/>
  <c r="I32" i="79"/>
  <c r="I33" i="79"/>
  <c r="I34" i="79"/>
  <c r="I35" i="79"/>
  <c r="I36" i="79"/>
  <c r="I37" i="79"/>
  <c r="I38" i="79"/>
  <c r="I39" i="79"/>
  <c r="I40" i="79"/>
  <c r="I41" i="79"/>
  <c r="I42" i="79"/>
  <c r="I43" i="79"/>
  <c r="I44" i="79"/>
  <c r="G15" i="73"/>
  <c r="F15" i="73"/>
  <c r="E15" i="73"/>
  <c r="G16" i="73"/>
  <c r="F16" i="73"/>
  <c r="E16" i="73"/>
  <c r="AB32" i="79"/>
  <c r="AA32" i="79"/>
  <c r="Z32" i="79"/>
  <c r="N32" i="79"/>
  <c r="M32" i="79"/>
  <c r="P32" i="79" s="1"/>
  <c r="L32" i="79"/>
  <c r="I45" i="79"/>
  <c r="AC7" i="79"/>
  <c r="AB7" i="79"/>
  <c r="AA7" i="79"/>
  <c r="AD7" i="79" s="1"/>
  <c r="Z7" i="79"/>
  <c r="Y7" i="79"/>
  <c r="O7" i="79"/>
  <c r="N7" i="79"/>
  <c r="M7" i="79"/>
  <c r="P7" i="79" s="1"/>
  <c r="L7" i="79"/>
  <c r="K7" i="79"/>
  <c r="I7" i="79"/>
  <c r="I10" i="79"/>
  <c r="N34" i="79"/>
  <c r="M34" i="79"/>
  <c r="P34" i="79" s="1"/>
  <c r="L34" i="79"/>
  <c r="N35" i="79"/>
  <c r="M35" i="79"/>
  <c r="L35" i="79"/>
  <c r="O9" i="79"/>
  <c r="N9" i="79"/>
  <c r="M9" i="79"/>
  <c r="P9" i="79" s="1"/>
  <c r="L9" i="79"/>
  <c r="K9" i="79"/>
  <c r="O10" i="79"/>
  <c r="N10" i="79"/>
  <c r="M10" i="79"/>
  <c r="P10" i="79" s="1"/>
  <c r="L10" i="79"/>
  <c r="K10" i="79"/>
  <c r="P35" i="79"/>
  <c r="G17" i="73"/>
  <c r="F17" i="73"/>
  <c r="E17" i="73"/>
  <c r="L36" i="79"/>
  <c r="M36" i="79"/>
  <c r="P36" i="79" s="1"/>
  <c r="N36" i="79"/>
  <c r="L37" i="79"/>
  <c r="M37" i="79"/>
  <c r="P37" i="79" s="1"/>
  <c r="N37" i="79"/>
  <c r="L38" i="79"/>
  <c r="M38" i="79"/>
  <c r="N38" i="79"/>
  <c r="I11" i="79"/>
  <c r="I12" i="79"/>
  <c r="I13" i="79"/>
  <c r="K11" i="79"/>
  <c r="L11" i="79"/>
  <c r="M11" i="79"/>
  <c r="P11" i="79" s="1"/>
  <c r="N11" i="79"/>
  <c r="O11" i="79"/>
  <c r="K12" i="79"/>
  <c r="L12" i="79"/>
  <c r="M12" i="79"/>
  <c r="P12" i="79" s="1"/>
  <c r="N12" i="79"/>
  <c r="O12" i="79"/>
  <c r="K13" i="79"/>
  <c r="L13" i="79"/>
  <c r="M13" i="79"/>
  <c r="P13" i="79" s="1"/>
  <c r="N13" i="79"/>
  <c r="O13" i="79"/>
  <c r="P38" i="79"/>
  <c r="B10" i="74"/>
  <c r="AH5" i="7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F13" i="1"/>
  <c r="D13" i="1"/>
  <c r="D12" i="1"/>
  <c r="D11" i="1"/>
  <c r="D10" i="1"/>
  <c r="D9" i="1"/>
  <c r="D8" i="1"/>
  <c r="D7" i="1"/>
  <c r="D6" i="1"/>
  <c r="I2" i="43"/>
  <c r="M1" i="43" s="1"/>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G2" i="43"/>
  <c r="S6" i="43" s="1"/>
  <c r="AB46" i="79"/>
  <c r="AA46" i="79"/>
  <c r="Z46" i="79"/>
  <c r="W46" i="79"/>
  <c r="N46" i="79"/>
  <c r="M46" i="79"/>
  <c r="P46" i="79" s="1"/>
  <c r="L46" i="79"/>
  <c r="I46" i="79"/>
  <c r="AD46" i="79"/>
  <c r="AB45" i="79"/>
  <c r="AA45" i="79"/>
  <c r="Z45" i="79"/>
  <c r="N45" i="79"/>
  <c r="U45" i="79" s="1"/>
  <c r="M45" i="79"/>
  <c r="L45" i="79"/>
  <c r="S45" i="79"/>
  <c r="AD45" i="79"/>
  <c r="AB44" i="79"/>
  <c r="AA44" i="79"/>
  <c r="Z44" i="79"/>
  <c r="N44" i="79"/>
  <c r="U44" i="79" s="1"/>
  <c r="M44" i="79"/>
  <c r="L44" i="79"/>
  <c r="AB43" i="79"/>
  <c r="AA43" i="79"/>
  <c r="Z43" i="79"/>
  <c r="N43" i="79"/>
  <c r="M43" i="79"/>
  <c r="L43" i="79"/>
  <c r="AB42" i="79"/>
  <c r="AA42" i="79"/>
  <c r="Z42" i="79"/>
  <c r="N42" i="79"/>
  <c r="U38" i="79" s="1"/>
  <c r="M42" i="79"/>
  <c r="L42" i="79"/>
  <c r="AB41" i="79"/>
  <c r="AA41" i="79"/>
  <c r="Z41" i="79"/>
  <c r="N41" i="79"/>
  <c r="M41" i="79"/>
  <c r="L41" i="79"/>
  <c r="AD41" i="79"/>
  <c r="AB40" i="79"/>
  <c r="AA40" i="79"/>
  <c r="Z40" i="79"/>
  <c r="N40" i="79"/>
  <c r="M40" i="79"/>
  <c r="L40" i="79"/>
  <c r="AB39" i="79"/>
  <c r="AB28" i="79" s="1"/>
  <c r="AA39" i="79"/>
  <c r="Z39" i="79"/>
  <c r="N39" i="79"/>
  <c r="M39" i="79"/>
  <c r="T30" i="79" s="1"/>
  <c r="W30" i="79" s="1"/>
  <c r="L39" i="79"/>
  <c r="S36" i="79" s="1"/>
  <c r="AB33" i="79"/>
  <c r="AA33" i="79"/>
  <c r="Z33" i="79"/>
  <c r="N33" i="79"/>
  <c r="U33" i="79" s="1"/>
  <c r="M33" i="79"/>
  <c r="L33" i="79"/>
  <c r="N28" i="79"/>
  <c r="G28" i="79"/>
  <c r="F28" i="79"/>
  <c r="I28" i="79" s="1"/>
  <c r="E28" i="79"/>
  <c r="AC21" i="79"/>
  <c r="AB21" i="79"/>
  <c r="AA21" i="79"/>
  <c r="AD21" i="79" s="1"/>
  <c r="Z21" i="79"/>
  <c r="Y21" i="79"/>
  <c r="W21" i="79"/>
  <c r="M21" i="79"/>
  <c r="P21" i="79" s="1"/>
  <c r="O21" i="79"/>
  <c r="N21" i="79"/>
  <c r="L21" i="79"/>
  <c r="K21" i="79"/>
  <c r="I21" i="79"/>
  <c r="AC20" i="79"/>
  <c r="AB20" i="79"/>
  <c r="AA20" i="79"/>
  <c r="AD20" i="79" s="1"/>
  <c r="Z20" i="79"/>
  <c r="Y20" i="79"/>
  <c r="O20" i="79"/>
  <c r="V20" i="79" s="1"/>
  <c r="N20" i="79"/>
  <c r="U20" i="79"/>
  <c r="M20" i="79"/>
  <c r="L20" i="79"/>
  <c r="S20" i="79" s="1"/>
  <c r="K20" i="79"/>
  <c r="I20" i="79"/>
  <c r="AC19" i="79"/>
  <c r="AB19" i="79"/>
  <c r="AA19" i="79"/>
  <c r="AD19" i="79" s="1"/>
  <c r="Z19" i="79"/>
  <c r="Y19" i="79"/>
  <c r="O19" i="79"/>
  <c r="V19" i="79" s="1"/>
  <c r="N19" i="79"/>
  <c r="M19" i="79"/>
  <c r="T19" i="79" s="1"/>
  <c r="W19" i="79" s="1"/>
  <c r="L19" i="79"/>
  <c r="K19" i="79"/>
  <c r="I19" i="79"/>
  <c r="AC18" i="79"/>
  <c r="AB18" i="79"/>
  <c r="AA18" i="79"/>
  <c r="AD18" i="79"/>
  <c r="Z18" i="79"/>
  <c r="Y18" i="79"/>
  <c r="O18" i="79"/>
  <c r="N18" i="79"/>
  <c r="U18" i="79" s="1"/>
  <c r="M18" i="79"/>
  <c r="P18" i="79" s="1"/>
  <c r="L18" i="79"/>
  <c r="K18" i="79"/>
  <c r="I18" i="79"/>
  <c r="AA17" i="79"/>
  <c r="AD17" i="79" s="1"/>
  <c r="AC17" i="79"/>
  <c r="AB17" i="79"/>
  <c r="Z17" i="79"/>
  <c r="Y17" i="79"/>
  <c r="O17" i="79"/>
  <c r="N17" i="79"/>
  <c r="M17" i="79"/>
  <c r="T9" i="79" s="1"/>
  <c r="W9" i="79" s="1"/>
  <c r="L17" i="79"/>
  <c r="S17" i="79" s="1"/>
  <c r="K17" i="79"/>
  <c r="R17" i="79" s="1"/>
  <c r="I17" i="79"/>
  <c r="AC16" i="79"/>
  <c r="AB16" i="79"/>
  <c r="AA16" i="79"/>
  <c r="AD16" i="79" s="1"/>
  <c r="Z16" i="79"/>
  <c r="Y16" i="79"/>
  <c r="O16" i="79"/>
  <c r="V16" i="79" s="1"/>
  <c r="N16" i="79"/>
  <c r="M16" i="79"/>
  <c r="L16" i="79"/>
  <c r="S16" i="79" s="1"/>
  <c r="K16" i="79"/>
  <c r="R16" i="79" s="1"/>
  <c r="I16" i="79"/>
  <c r="AC15" i="79"/>
  <c r="AB15" i="79"/>
  <c r="AB3" i="79" s="1"/>
  <c r="AA15" i="79"/>
  <c r="AD15" i="79" s="1"/>
  <c r="Z15" i="79"/>
  <c r="Y15" i="79"/>
  <c r="O15" i="79"/>
  <c r="V15" i="79" s="1"/>
  <c r="N15" i="79"/>
  <c r="U15" i="79" s="1"/>
  <c r="M15" i="79"/>
  <c r="L15" i="79"/>
  <c r="K15" i="79"/>
  <c r="R7" i="79" s="1"/>
  <c r="I15" i="79"/>
  <c r="AC14" i="79"/>
  <c r="AB14" i="79"/>
  <c r="AA14" i="79"/>
  <c r="AD14" i="79" s="1"/>
  <c r="Z14" i="79"/>
  <c r="Y14" i="79"/>
  <c r="O14" i="79"/>
  <c r="N14" i="79"/>
  <c r="U5" i="79" s="1"/>
  <c r="M14" i="79"/>
  <c r="T13" i="79" s="1"/>
  <c r="W13" i="79" s="1"/>
  <c r="L14" i="79"/>
  <c r="K14" i="79"/>
  <c r="I14" i="79"/>
  <c r="AC8" i="79"/>
  <c r="AB8" i="79"/>
  <c r="AA8" i="79"/>
  <c r="AD8" i="79" s="1"/>
  <c r="Z8" i="79"/>
  <c r="Z3" i="79" s="1"/>
  <c r="Y8" i="79"/>
  <c r="O8" i="79"/>
  <c r="N8" i="79"/>
  <c r="M8" i="79"/>
  <c r="P8" i="79" s="1"/>
  <c r="L8" i="79"/>
  <c r="S5" i="79" s="1"/>
  <c r="K8" i="79"/>
  <c r="I8" i="79"/>
  <c r="H3" i="79"/>
  <c r="G3" i="79"/>
  <c r="F3" i="79"/>
  <c r="I3" i="79" s="1"/>
  <c r="E3" i="79"/>
  <c r="D3" i="79"/>
  <c r="T371" i="46"/>
  <c r="S371" i="46"/>
  <c r="R371" i="46"/>
  <c r="R279" i="46"/>
  <c r="U279" i="46" s="1"/>
  <c r="T279" i="46"/>
  <c r="S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M28" i="79"/>
  <c r="P28" i="79" s="1"/>
  <c r="T5" i="79"/>
  <c r="W5" i="79" s="1"/>
  <c r="U19" i="79"/>
  <c r="V6" i="79"/>
  <c r="S19" i="79"/>
  <c r="AD40" i="79"/>
  <c r="AD44" i="79"/>
  <c r="AD43" i="79"/>
  <c r="AC3" i="79"/>
  <c r="S18" i="79"/>
  <c r="AD33" i="79"/>
  <c r="T40" i="79"/>
  <c r="W40" i="79" s="1"/>
  <c r="AD42" i="79"/>
  <c r="R18" i="79"/>
  <c r="V18" i="79"/>
  <c r="T7" i="79"/>
  <c r="W7" i="79" s="1"/>
  <c r="AD39" i="79"/>
  <c r="T35" i="79"/>
  <c r="W35" i="79" s="1"/>
  <c r="T41" i="79"/>
  <c r="W41" i="79" s="1"/>
  <c r="T43" i="79"/>
  <c r="W43" i="79" s="1"/>
  <c r="T45" i="79"/>
  <c r="W45" i="79" s="1"/>
  <c r="T42" i="79"/>
  <c r="W42" i="79" s="1"/>
  <c r="T44" i="79"/>
  <c r="W44" i="79" s="1"/>
  <c r="S13" i="79"/>
  <c r="T18" i="79"/>
  <c r="W18" i="79" s="1"/>
  <c r="T14" i="79"/>
  <c r="W14" i="79" s="1"/>
  <c r="P16" i="79"/>
  <c r="P20" i="79"/>
  <c r="T20" i="79"/>
  <c r="W20" i="79" s="1"/>
  <c r="P14" i="79"/>
  <c r="S12" i="79"/>
  <c r="P19" i="79"/>
  <c r="Z28" i="79"/>
  <c r="P15" i="79"/>
  <c r="N1" i="43"/>
  <c r="M2" i="43"/>
  <c r="N2" i="43"/>
  <c r="M3" i="43"/>
  <c r="N3" i="43"/>
  <c r="M4" i="43"/>
  <c r="N4" i="43"/>
  <c r="M5" i="43"/>
  <c r="N5" i="43"/>
  <c r="F93" i="43"/>
  <c r="H100" i="43" s="1"/>
  <c r="N10" i="43"/>
  <c r="N11" i="43"/>
  <c r="M6" i="43"/>
  <c r="N6" i="43"/>
  <c r="M7" i="43"/>
  <c r="N7" i="43"/>
  <c r="M8" i="43"/>
  <c r="N8" i="43"/>
  <c r="M9" i="43"/>
  <c r="N9" i="43"/>
  <c r="M10" i="43"/>
  <c r="M11" i="43"/>
  <c r="M12" i="43"/>
  <c r="E21" i="43"/>
  <c r="G18" i="43"/>
  <c r="P33" i="79"/>
  <c r="P40" i="79"/>
  <c r="P42" i="79"/>
  <c r="P44" i="79"/>
  <c r="P41" i="79"/>
  <c r="P43" i="79"/>
  <c r="P45" i="79"/>
  <c r="E25" i="78"/>
  <c r="E24" i="78"/>
  <c r="F23" i="78"/>
  <c r="E23" i="78"/>
  <c r="E22" i="78"/>
  <c r="G22" i="78" s="1"/>
  <c r="F12" i="78"/>
  <c r="B18" i="78" s="1"/>
  <c r="F11" i="78"/>
  <c r="C15" i="78"/>
  <c r="H99" i="43"/>
  <c r="G19" i="73"/>
  <c r="F19" i="73"/>
  <c r="E19" i="73"/>
  <c r="G20" i="73"/>
  <c r="F20" i="73"/>
  <c r="E20" i="73"/>
  <c r="G21" i="73"/>
  <c r="F21" i="73"/>
  <c r="E21" i="73"/>
  <c r="G13" i="73"/>
  <c r="F13" i="73"/>
  <c r="E13" i="73"/>
  <c r="AH8" i="71"/>
  <c r="AG8" i="71"/>
  <c r="AE8" i="71"/>
  <c r="AF8" i="71" s="1"/>
  <c r="AD8" i="71"/>
  <c r="Q8" i="71"/>
  <c r="P8" i="71"/>
  <c r="O8" i="71"/>
  <c r="N8" i="71"/>
  <c r="R43" i="77"/>
  <c r="R40" i="77"/>
  <c r="R41" i="77" s="1"/>
  <c r="R35" i="77" s="1"/>
  <c r="U34" i="77" s="1"/>
  <c r="F36" i="77"/>
  <c r="R34" i="77"/>
  <c r="R33" i="77"/>
  <c r="C30" i="77"/>
  <c r="R27" i="77"/>
  <c r="M24" i="77"/>
  <c r="R23" i="77"/>
  <c r="C23" i="77"/>
  <c r="D23" i="77" s="1"/>
  <c r="E23" i="77" s="1"/>
  <c r="R22" i="77"/>
  <c r="R21" i="77"/>
  <c r="R24" i="77" s="1"/>
  <c r="N19" i="77"/>
  <c r="R18" i="77"/>
  <c r="D18" i="77"/>
  <c r="R17" i="77"/>
  <c r="D17" i="77"/>
  <c r="R16" i="77"/>
  <c r="D16" i="77"/>
  <c r="D15" i="77"/>
  <c r="M14" i="77"/>
  <c r="N14" i="77" s="1"/>
  <c r="D14" i="77"/>
  <c r="R13" i="77"/>
  <c r="R12" i="77"/>
  <c r="D12" i="77"/>
  <c r="R11" i="77"/>
  <c r="R10" i="77"/>
  <c r="D10" i="77"/>
  <c r="R9" i="77"/>
  <c r="D9" i="77"/>
  <c r="R8" i="77"/>
  <c r="R7" i="77"/>
  <c r="R4" i="77"/>
  <c r="R3" i="77"/>
  <c r="AH9" i="71"/>
  <c r="AG9" i="71"/>
  <c r="AE9" i="71"/>
  <c r="AF9" i="71" s="1"/>
  <c r="AD9" i="71"/>
  <c r="Q9" i="71"/>
  <c r="P9" i="71"/>
  <c r="O9" i="71"/>
  <c r="N9" i="71"/>
  <c r="R19" i="77"/>
  <c r="AH10" i="71"/>
  <c r="AG10" i="71"/>
  <c r="AE10" i="71"/>
  <c r="AF10" i="71" s="1"/>
  <c r="AD10" i="71"/>
  <c r="Q10" i="71"/>
  <c r="P10" i="71"/>
  <c r="O10" i="71"/>
  <c r="N10" i="71"/>
  <c r="E24" i="43"/>
  <c r="O32" i="43" s="1"/>
  <c r="AH11" i="71"/>
  <c r="AG11" i="71"/>
  <c r="AE11" i="71"/>
  <c r="AF11" i="71" s="1"/>
  <c r="AD11" i="71"/>
  <c r="Q11" i="71"/>
  <c r="P11" i="71"/>
  <c r="O11" i="71"/>
  <c r="N11" i="71"/>
  <c r="AH12" i="71"/>
  <c r="AG12" i="71"/>
  <c r="AE12" i="71"/>
  <c r="AF12" i="71" s="1"/>
  <c r="AD12" i="71"/>
  <c r="Q12" i="71"/>
  <c r="P12" i="71"/>
  <c r="O12" i="71"/>
  <c r="N12" i="71"/>
  <c r="AH13" i="71"/>
  <c r="AG13" i="71"/>
  <c r="AE13" i="71"/>
  <c r="AF13" i="71" s="1"/>
  <c r="AD13" i="71"/>
  <c r="Q13" i="71"/>
  <c r="P13" i="71"/>
  <c r="O13" i="71"/>
  <c r="N13" i="71"/>
  <c r="H16" i="49"/>
  <c r="D16" i="49"/>
  <c r="D15" i="49"/>
  <c r="B2" i="49"/>
  <c r="B7" i="49" s="1"/>
  <c r="D7" i="49" s="1"/>
  <c r="K42" i="40"/>
  <c r="K47" i="39"/>
  <c r="K36" i="36"/>
  <c r="E59" i="9"/>
  <c r="K38" i="35"/>
  <c r="K42" i="37"/>
  <c r="K49" i="34"/>
  <c r="K48" i="33"/>
  <c r="K48" i="21"/>
  <c r="H104" i="9"/>
  <c r="F59" i="9"/>
  <c r="AH14" i="71"/>
  <c r="AG14" i="71"/>
  <c r="AE14" i="71"/>
  <c r="AF14" i="71" s="1"/>
  <c r="AD14" i="71"/>
  <c r="Q14" i="71"/>
  <c r="P14" i="71"/>
  <c r="O14" i="71"/>
  <c r="N14" i="71"/>
  <c r="AH15" i="71"/>
  <c r="AG15" i="71"/>
  <c r="AE15" i="71"/>
  <c r="AF15" i="71"/>
  <c r="AD15" i="71"/>
  <c r="Q15" i="71"/>
  <c r="P15" i="71"/>
  <c r="O15" i="71"/>
  <c r="N15" i="71"/>
  <c r="Q17" i="71"/>
  <c r="P17" i="71"/>
  <c r="O17" i="71"/>
  <c r="N17" i="71"/>
  <c r="AH16" i="71"/>
  <c r="AG16" i="71"/>
  <c r="AE16" i="71"/>
  <c r="AF16" i="71" s="1"/>
  <c r="AD16" i="71"/>
  <c r="Q16" i="71"/>
  <c r="P16" i="71"/>
  <c r="O16" i="71"/>
  <c r="N16" i="71"/>
  <c r="AH17" i="71"/>
  <c r="AG17" i="71"/>
  <c r="AE17" i="71"/>
  <c r="AF17" i="7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Q24" i="71"/>
  <c r="P24" i="71"/>
  <c r="E24" i="71" s="1"/>
  <c r="V24" i="71" s="1"/>
  <c r="O24" i="71"/>
  <c r="C24" i="71" s="1"/>
  <c r="Q25" i="71"/>
  <c r="F24" i="71"/>
  <c r="F23" i="71" s="1"/>
  <c r="F22" i="71" s="1"/>
  <c r="P25" i="71"/>
  <c r="O25" i="71"/>
  <c r="N25" i="71"/>
  <c r="A2" i="53"/>
  <c r="B19" i="72" s="1"/>
  <c r="K59" i="67"/>
  <c r="P61" i="67" s="1"/>
  <c r="K59" i="15"/>
  <c r="P74" i="15" s="1"/>
  <c r="D115" i="39"/>
  <c r="E115" i="39"/>
  <c r="F115" i="39"/>
  <c r="G115" i="39"/>
  <c r="H115" i="39"/>
  <c r="I115" i="39"/>
  <c r="J115" i="39"/>
  <c r="K115" i="39"/>
  <c r="L115" i="39"/>
  <c r="M115" i="39"/>
  <c r="C115" i="39"/>
  <c r="A21" i="62"/>
  <c r="B67" i="72"/>
  <c r="A20" i="62"/>
  <c r="B66" i="72" s="1"/>
  <c r="A22" i="51"/>
  <c r="A21" i="51"/>
  <c r="B16" i="72"/>
  <c r="A20" i="51"/>
  <c r="B15" i="72" s="1"/>
  <c r="A15" i="62"/>
  <c r="B61" i="72" s="1"/>
  <c r="A14" i="62"/>
  <c r="B60" i="72" s="1"/>
  <c r="A13" i="62"/>
  <c r="B59" i="72" s="1"/>
  <c r="A19" i="62"/>
  <c r="B65" i="72" s="1"/>
  <c r="A12" i="62"/>
  <c r="B58" i="72" s="1"/>
  <c r="A120" i="9"/>
  <c r="H2" i="52"/>
  <c r="A1" i="52"/>
  <c r="A3" i="53"/>
  <c r="Q26" i="71"/>
  <c r="AB25" i="71" s="1"/>
  <c r="P26" i="71"/>
  <c r="O26" i="71"/>
  <c r="N26" i="71"/>
  <c r="C76" i="9"/>
  <c r="I107" i="40"/>
  <c r="K6" i="4"/>
  <c r="M56" i="9" s="1"/>
  <c r="B22" i="31"/>
  <c r="E15" i="74"/>
  <c r="F15" i="74"/>
  <c r="E16" i="74"/>
  <c r="F16" i="74"/>
  <c r="E17" i="74"/>
  <c r="F17" i="74"/>
  <c r="E18" i="74"/>
  <c r="F18" i="74"/>
  <c r="E19" i="74"/>
  <c r="F19" i="74"/>
  <c r="E20" i="74"/>
  <c r="F20" i="74"/>
  <c r="E21" i="74"/>
  <c r="F21" i="74"/>
  <c r="E22" i="74"/>
  <c r="F22" i="74"/>
  <c r="E23" i="74"/>
  <c r="F2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J1" i="73" s="1"/>
  <c r="B74" i="72"/>
  <c r="K49" i="9"/>
  <c r="E107" i="9"/>
  <c r="A122" i="9"/>
  <c r="A8" i="52" s="1"/>
  <c r="B54" i="72" s="1"/>
  <c r="E111" i="9"/>
  <c r="A126" i="9"/>
  <c r="A12" i="52" s="1"/>
  <c r="B56" i="72" s="1"/>
  <c r="E109" i="9"/>
  <c r="A124" i="9"/>
  <c r="A10" i="52" s="1"/>
  <c r="B55" i="72"/>
  <c r="B44" i="72"/>
  <c r="B42" i="72"/>
  <c r="B69" i="72"/>
  <c r="B68" i="72"/>
  <c r="B63" i="72"/>
  <c r="B62" i="72"/>
  <c r="B10" i="72"/>
  <c r="B51" i="10"/>
  <c r="C8" i="68"/>
  <c r="B49" i="48"/>
  <c r="B5" i="72" s="1"/>
  <c r="D89" i="71"/>
  <c r="F88" i="71"/>
  <c r="F87" i="71" s="1"/>
  <c r="F86" i="71" s="1"/>
  <c r="E88" i="71"/>
  <c r="E87" i="71" s="1"/>
  <c r="E86" i="71" s="1"/>
  <c r="C88" i="71"/>
  <c r="C87" i="71" s="1"/>
  <c r="B88" i="71"/>
  <c r="B87" i="71"/>
  <c r="B86" i="71" s="1"/>
  <c r="D85" i="71"/>
  <c r="F84" i="71"/>
  <c r="F83" i="71" s="1"/>
  <c r="F82" i="71" s="1"/>
  <c r="E84" i="71"/>
  <c r="E83" i="71" s="1"/>
  <c r="E82" i="71" s="1"/>
  <c r="C84" i="71"/>
  <c r="B84" i="71"/>
  <c r="B83" i="71"/>
  <c r="B82" i="71"/>
  <c r="D81" i="71"/>
  <c r="Q80" i="71"/>
  <c r="P80" i="71"/>
  <c r="O80" i="71"/>
  <c r="N80" i="71"/>
  <c r="F80" i="71"/>
  <c r="V80" i="71"/>
  <c r="E80" i="71"/>
  <c r="C80" i="71"/>
  <c r="T80" i="71" s="1"/>
  <c r="B80" i="71"/>
  <c r="S80" i="71" s="1"/>
  <c r="Q79" i="71"/>
  <c r="P79" i="71"/>
  <c r="O79" i="71"/>
  <c r="N79" i="71"/>
  <c r="F79" i="71"/>
  <c r="F78" i="71" s="1"/>
  <c r="Q78" i="71"/>
  <c r="P78" i="71"/>
  <c r="O78" i="71"/>
  <c r="N78" i="71"/>
  <c r="Q77" i="71"/>
  <c r="P77" i="71"/>
  <c r="O77" i="71"/>
  <c r="N77" i="71"/>
  <c r="D77" i="71"/>
  <c r="Q76" i="71"/>
  <c r="P76" i="71"/>
  <c r="O76" i="71"/>
  <c r="N76" i="71"/>
  <c r="F76" i="71"/>
  <c r="V76" i="71" s="1"/>
  <c r="E76" i="71"/>
  <c r="U76" i="71" s="1"/>
  <c r="C76" i="71"/>
  <c r="T76" i="71"/>
  <c r="B76" i="71"/>
  <c r="S76" i="71" s="1"/>
  <c r="Q75" i="71"/>
  <c r="P75" i="71"/>
  <c r="O75" i="71"/>
  <c r="N75" i="71"/>
  <c r="B75" i="71"/>
  <c r="B74" i="71" s="1"/>
  <c r="Q74" i="71"/>
  <c r="P74" i="71"/>
  <c r="O74" i="71"/>
  <c r="N74" i="71"/>
  <c r="Q73" i="71"/>
  <c r="P73" i="71"/>
  <c r="O73" i="71"/>
  <c r="N73" i="71"/>
  <c r="D73" i="71"/>
  <c r="Q72" i="71"/>
  <c r="P72" i="71"/>
  <c r="O72" i="71"/>
  <c r="N72" i="71"/>
  <c r="F72" i="71"/>
  <c r="V72" i="71" s="1"/>
  <c r="E72" i="71"/>
  <c r="U72" i="71"/>
  <c r="C72" i="71"/>
  <c r="D72" i="71" s="1"/>
  <c r="B72" i="71"/>
  <c r="S72" i="71"/>
  <c r="Q71" i="71"/>
  <c r="P71" i="71"/>
  <c r="O71" i="71"/>
  <c r="N71" i="71"/>
  <c r="B71" i="71"/>
  <c r="B70" i="71" s="1"/>
  <c r="Q70" i="71"/>
  <c r="P70" i="71"/>
  <c r="O70" i="71"/>
  <c r="N70" i="71"/>
  <c r="Q69" i="71"/>
  <c r="P69" i="71"/>
  <c r="O69" i="71"/>
  <c r="N69" i="71"/>
  <c r="D69" i="71"/>
  <c r="F68" i="71"/>
  <c r="V68" i="71" s="1"/>
  <c r="E68" i="71"/>
  <c r="E67" i="71" s="1"/>
  <c r="C68" i="71"/>
  <c r="C67" i="71" s="1"/>
  <c r="B68" i="71"/>
  <c r="B67" i="71" s="1"/>
  <c r="S68" i="71"/>
  <c r="F67" i="71"/>
  <c r="D65" i="71"/>
  <c r="Q64" i="71"/>
  <c r="P64" i="71"/>
  <c r="O64" i="71"/>
  <c r="N64" i="71"/>
  <c r="Q63" i="71"/>
  <c r="P63" i="71"/>
  <c r="O63" i="71"/>
  <c r="N63" i="71"/>
  <c r="Q62" i="71"/>
  <c r="P62" i="71"/>
  <c r="O62" i="71"/>
  <c r="N62" i="71"/>
  <c r="Q61" i="71"/>
  <c r="F62" i="71" s="1"/>
  <c r="F63" i="71" s="1"/>
  <c r="F64" i="71" s="1"/>
  <c r="V64" i="71" s="1"/>
  <c r="P61" i="71"/>
  <c r="E62" i="71" s="1"/>
  <c r="O61" i="71"/>
  <c r="C62" i="71"/>
  <c r="N61" i="71"/>
  <c r="B62" i="71" s="1"/>
  <c r="B63" i="71" s="1"/>
  <c r="B64" i="71" s="1"/>
  <c r="S64" i="71" s="1"/>
  <c r="D61" i="71"/>
  <c r="Q60" i="71"/>
  <c r="P60" i="71"/>
  <c r="O60" i="71"/>
  <c r="N60" i="71"/>
  <c r="Q59" i="71"/>
  <c r="P59" i="71"/>
  <c r="O59" i="71"/>
  <c r="N59" i="71"/>
  <c r="Q58" i="71"/>
  <c r="P58" i="71"/>
  <c r="O58" i="71"/>
  <c r="C59" i="71" s="1"/>
  <c r="D59" i="71" s="1"/>
  <c r="N58" i="71"/>
  <c r="Q57" i="71"/>
  <c r="F58" i="71"/>
  <c r="F59" i="71" s="1"/>
  <c r="F60" i="71" s="1"/>
  <c r="V60" i="71" s="1"/>
  <c r="P57" i="71"/>
  <c r="E58" i="71" s="1"/>
  <c r="O57" i="71"/>
  <c r="C58" i="71"/>
  <c r="N57" i="71"/>
  <c r="B58" i="71" s="1"/>
  <c r="B59" i="71" s="1"/>
  <c r="B60" i="71" s="1"/>
  <c r="S60" i="71" s="1"/>
  <c r="D57" i="71"/>
  <c r="Q56" i="71"/>
  <c r="P56" i="71"/>
  <c r="O56" i="71"/>
  <c r="N56" i="71"/>
  <c r="Q55" i="71"/>
  <c r="P55" i="71"/>
  <c r="O55" i="71"/>
  <c r="N55" i="71"/>
  <c r="Q54" i="71"/>
  <c r="P54" i="71"/>
  <c r="O54" i="71"/>
  <c r="C55" i="71" s="1"/>
  <c r="C56" i="71" s="1"/>
  <c r="N54" i="71"/>
  <c r="O53" i="71"/>
  <c r="C54" i="71"/>
  <c r="D54" i="71" s="1"/>
  <c r="Q53" i="71"/>
  <c r="F54" i="71" s="1"/>
  <c r="P53" i="71"/>
  <c r="E54" i="71" s="1"/>
  <c r="E55" i="71" s="1"/>
  <c r="E56" i="71" s="1"/>
  <c r="U56"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c r="O49" i="71"/>
  <c r="C50" i="71" s="1"/>
  <c r="D50" i="71" s="1"/>
  <c r="N49" i="71"/>
  <c r="B50" i="71"/>
  <c r="D49" i="71"/>
  <c r="T48" i="71"/>
  <c r="Q48" i="71"/>
  <c r="P48" i="71"/>
  <c r="O48" i="71"/>
  <c r="N48" i="71"/>
  <c r="D48" i="71"/>
  <c r="Q47" i="71"/>
  <c r="P47" i="71"/>
  <c r="O47" i="71"/>
  <c r="N47" i="71"/>
  <c r="Q46" i="71"/>
  <c r="P46" i="71"/>
  <c r="O46" i="71"/>
  <c r="N46" i="71"/>
  <c r="Q45" i="71"/>
  <c r="F46" i="71"/>
  <c r="F47" i="71" s="1"/>
  <c r="F48" i="71" s="1"/>
  <c r="V48" i="71" s="1"/>
  <c r="P45" i="71"/>
  <c r="E46" i="71" s="1"/>
  <c r="O45" i="71"/>
  <c r="C46" i="71" s="1"/>
  <c r="N45" i="71"/>
  <c r="B46" i="71"/>
  <c r="B47" i="71" s="1"/>
  <c r="B48" i="71" s="1"/>
  <c r="S48" i="71" s="1"/>
  <c r="D45" i="71"/>
  <c r="Q44" i="71"/>
  <c r="P44" i="71"/>
  <c r="O44" i="71"/>
  <c r="N44" i="71"/>
  <c r="Q43" i="71"/>
  <c r="P43" i="71"/>
  <c r="O43" i="71"/>
  <c r="N43" i="71"/>
  <c r="Q42" i="71"/>
  <c r="P42" i="71"/>
  <c r="O42" i="71"/>
  <c r="N42" i="71"/>
  <c r="Q41" i="71"/>
  <c r="F42" i="71" s="1"/>
  <c r="F43" i="71" s="1"/>
  <c r="F44" i="71"/>
  <c r="V44" i="71" s="1"/>
  <c r="P41" i="71"/>
  <c r="E42" i="71" s="1"/>
  <c r="E43" i="71" s="1"/>
  <c r="E44" i="71" s="1"/>
  <c r="U44" i="71" s="1"/>
  <c r="O41" i="71"/>
  <c r="C42" i="71"/>
  <c r="D42" i="71" s="1"/>
  <c r="N41" i="71"/>
  <c r="B42" i="71" s="1"/>
  <c r="D41" i="71"/>
  <c r="Q40" i="71"/>
  <c r="P40" i="71"/>
  <c r="O40" i="71"/>
  <c r="N40" i="71"/>
  <c r="Q39" i="71"/>
  <c r="P39" i="71"/>
  <c r="AA39" i="71" s="1"/>
  <c r="O39" i="71"/>
  <c r="N39" i="71"/>
  <c r="X39" i="71" s="1"/>
  <c r="Q38" i="71"/>
  <c r="P38" i="71"/>
  <c r="O38" i="71"/>
  <c r="N38" i="71"/>
  <c r="X38" i="71" s="1"/>
  <c r="Q37" i="71"/>
  <c r="F38" i="71" s="1"/>
  <c r="F39" i="71" s="1"/>
  <c r="P37" i="71"/>
  <c r="P36" i="71"/>
  <c r="O37" i="71"/>
  <c r="C38" i="71" s="1"/>
  <c r="N37" i="71"/>
  <c r="D37" i="71"/>
  <c r="Q36" i="71"/>
  <c r="AB36" i="71" s="1"/>
  <c r="O36" i="71"/>
  <c r="N36" i="71"/>
  <c r="Q35" i="71"/>
  <c r="Q31" i="71"/>
  <c r="Q32" i="71"/>
  <c r="Q33" i="71"/>
  <c r="F34" i="71" s="1"/>
  <c r="F35" i="71" s="1"/>
  <c r="F36" i="71" s="1"/>
  <c r="V36" i="71" s="1"/>
  <c r="Q34" i="71"/>
  <c r="P35" i="71"/>
  <c r="O35" i="71"/>
  <c r="Y35" i="71" s="1"/>
  <c r="Z35" i="71" s="1"/>
  <c r="N35" i="71"/>
  <c r="P34" i="71"/>
  <c r="O34" i="71"/>
  <c r="Y25" i="71" s="1"/>
  <c r="Z25" i="71" s="1"/>
  <c r="N34" i="71"/>
  <c r="N33" i="71"/>
  <c r="P33" i="71"/>
  <c r="E34" i="71" s="1"/>
  <c r="E35" i="71" s="1"/>
  <c r="E36" i="71" s="1"/>
  <c r="U36" i="71" s="1"/>
  <c r="O33" i="71"/>
  <c r="D33" i="71"/>
  <c r="P32" i="71"/>
  <c r="O32" i="71"/>
  <c r="N32" i="71"/>
  <c r="P31" i="71"/>
  <c r="O31" i="71"/>
  <c r="N31" i="71"/>
  <c r="N28" i="71"/>
  <c r="N29" i="71"/>
  <c r="X28" i="71" s="1"/>
  <c r="N30" i="71"/>
  <c r="Q30" i="71"/>
  <c r="P30" i="71"/>
  <c r="AA3" i="71" s="1"/>
  <c r="O30" i="71"/>
  <c r="Y30" i="71" s="1"/>
  <c r="Z30" i="71" s="1"/>
  <c r="Q29" i="71"/>
  <c r="F30" i="71"/>
  <c r="F31" i="71" s="1"/>
  <c r="F32" i="71" s="1"/>
  <c r="V32" i="71" s="1"/>
  <c r="P29" i="71"/>
  <c r="O29" i="71"/>
  <c r="D29" i="71"/>
  <c r="O28" i="71"/>
  <c r="Y27" i="71" s="1"/>
  <c r="Z27" i="71" s="1"/>
  <c r="E30" i="71"/>
  <c r="E31" i="71" s="1"/>
  <c r="E32" i="71" s="1"/>
  <c r="U32" i="71" s="1"/>
  <c r="N68" i="71"/>
  <c r="C30" i="71"/>
  <c r="C34" i="71"/>
  <c r="D34" i="71" s="1"/>
  <c r="Y37" i="71"/>
  <c r="Z37" i="71" s="1"/>
  <c r="C28" i="71"/>
  <c r="C27" i="71" s="1"/>
  <c r="C26" i="71" s="1"/>
  <c r="D26" i="71" s="1"/>
  <c r="B28" i="71"/>
  <c r="X26" i="71"/>
  <c r="P28" i="71"/>
  <c r="E28" i="71"/>
  <c r="Q28" i="71"/>
  <c r="F28" i="71" s="1"/>
  <c r="F27" i="71" s="1"/>
  <c r="D58" i="71"/>
  <c r="O68" i="71"/>
  <c r="D68" i="71"/>
  <c r="Q68" i="71"/>
  <c r="E71" i="71"/>
  <c r="E70" i="71" s="1"/>
  <c r="C75" i="71"/>
  <c r="D76" i="71"/>
  <c r="C79" i="71"/>
  <c r="D79" i="71" s="1"/>
  <c r="D80" i="71"/>
  <c r="F26" i="71"/>
  <c r="D75" i="71"/>
  <c r="C74" i="71"/>
  <c r="D74" i="71" s="1"/>
  <c r="C60"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c r="D68" i="35"/>
  <c r="E68" i="35" s="1"/>
  <c r="F68" i="35" s="1"/>
  <c r="G68" i="35" s="1"/>
  <c r="F18" i="35"/>
  <c r="S18" i="35" s="1"/>
  <c r="C18" i="35"/>
  <c r="Q21" i="37"/>
  <c r="Z21" i="37" s="1"/>
  <c r="D77" i="37"/>
  <c r="E77" i="37" s="1"/>
  <c r="F77" i="37" s="1"/>
  <c r="G77" i="37" s="1"/>
  <c r="C21" i="37"/>
  <c r="Q21" i="34"/>
  <c r="Z21" i="34" s="1"/>
  <c r="D84" i="34"/>
  <c r="E84" i="34" s="1"/>
  <c r="F84" i="34" s="1"/>
  <c r="G84" i="34" s="1"/>
  <c r="F21" i="34"/>
  <c r="S21" i="34" s="1"/>
  <c r="C21" i="34"/>
  <c r="Q21" i="33"/>
  <c r="Z21" i="33"/>
  <c r="D83" i="33"/>
  <c r="E83" i="33" s="1"/>
  <c r="F83" i="33" s="1"/>
  <c r="G83" i="33" s="1"/>
  <c r="C21" i="33"/>
  <c r="C21" i="21"/>
  <c r="Q21" i="21"/>
  <c r="Z21" i="21" s="1"/>
  <c r="D83" i="21"/>
  <c r="E83" i="21" s="1"/>
  <c r="F83" i="21" s="1"/>
  <c r="G83" i="21" s="1"/>
  <c r="F21" i="21"/>
  <c r="AA21" i="21" s="1"/>
  <c r="D81" i="21"/>
  <c r="H19" i="21" s="1"/>
  <c r="AB19" i="21" s="1"/>
  <c r="G20" i="20"/>
  <c r="C25" i="40" s="1"/>
  <c r="B88" i="43"/>
  <c r="C22" i="20"/>
  <c r="B77" i="43" s="1"/>
  <c r="B57" i="43"/>
  <c r="B68" i="43"/>
  <c r="S18" i="36"/>
  <c r="H25" i="40"/>
  <c r="AB25" i="40" s="1"/>
  <c r="J25" i="40"/>
  <c r="W25" i="40" s="1"/>
  <c r="H29" i="39"/>
  <c r="AB29" i="39"/>
  <c r="J29" i="39"/>
  <c r="W29" i="39" s="1"/>
  <c r="J18" i="36"/>
  <c r="AC18" i="36" s="1"/>
  <c r="H18" i="35"/>
  <c r="AB18" i="35" s="1"/>
  <c r="J18" i="35"/>
  <c r="H21" i="37"/>
  <c r="F21" i="37"/>
  <c r="AA21" i="37" s="1"/>
  <c r="H21" i="34"/>
  <c r="AB21" i="34" s="1"/>
  <c r="H21" i="33"/>
  <c r="U21" i="33" s="1"/>
  <c r="F21" i="33"/>
  <c r="S21" i="33" s="1"/>
  <c r="H1" i="69"/>
  <c r="AC25" i="40"/>
  <c r="U25" i="40"/>
  <c r="U29" i="39"/>
  <c r="W18" i="36"/>
  <c r="AB21" i="37"/>
  <c r="U21" i="37"/>
  <c r="AB21" i="33"/>
  <c r="AC18" i="35"/>
  <c r="W18" i="35"/>
  <c r="J21" i="37"/>
  <c r="W21" i="37" s="1"/>
  <c r="J21" i="34"/>
  <c r="W21" i="34"/>
  <c r="J21" i="33"/>
  <c r="W21" i="33" s="1"/>
  <c r="H21" i="21"/>
  <c r="U21" i="21" s="1"/>
  <c r="F38" i="69"/>
  <c r="E37" i="69"/>
  <c r="F36" i="69"/>
  <c r="F35" i="69"/>
  <c r="F21" i="69"/>
  <c r="F40" i="69" s="1"/>
  <c r="F20" i="69"/>
  <c r="F39" i="69" s="1"/>
  <c r="E10" i="69"/>
  <c r="E9" i="69"/>
  <c r="C7" i="69"/>
  <c r="J21" i="21"/>
  <c r="W21" i="21" s="1"/>
  <c r="F38" i="68"/>
  <c r="E37" i="68"/>
  <c r="F36" i="68"/>
  <c r="F35" i="68"/>
  <c r="F21" i="68"/>
  <c r="F40" i="68" s="1"/>
  <c r="F20" i="68"/>
  <c r="F39" i="68" s="1"/>
  <c r="E10" i="68"/>
  <c r="E9" i="68"/>
  <c r="Q72" i="67"/>
  <c r="Q59" i="67"/>
  <c r="Q58" i="67"/>
  <c r="Q51" i="67"/>
  <c r="J50" i="67"/>
  <c r="M47" i="67"/>
  <c r="D46" i="67"/>
  <c r="F33" i="67"/>
  <c r="F61" i="67" s="1"/>
  <c r="F23" i="67"/>
  <c r="D24" i="67" s="1"/>
  <c r="F21" i="67"/>
  <c r="M19" i="67"/>
  <c r="F18" i="67"/>
  <c r="F17" i="67"/>
  <c r="F15" i="67"/>
  <c r="S2" i="4"/>
  <c r="C51" i="10" s="1"/>
  <c r="A13" i="51"/>
  <c r="B11" i="72" s="1"/>
  <c r="S1" i="4"/>
  <c r="B1" i="4"/>
  <c r="AA8" i="71" s="1"/>
  <c r="D1" i="43"/>
  <c r="B50" i="43"/>
  <c r="B86" i="43"/>
  <c r="B85" i="43"/>
  <c r="B74" i="43"/>
  <c r="B63" i="43"/>
  <c r="B52" i="43"/>
  <c r="M90" i="43"/>
  <c r="N90" i="43" s="1"/>
  <c r="K90" i="43"/>
  <c r="D90" i="43"/>
  <c r="M89" i="43"/>
  <c r="N89" i="43" s="1"/>
  <c r="K89" i="43"/>
  <c r="D89" i="43"/>
  <c r="M88" i="43"/>
  <c r="N88" i="43" s="1"/>
  <c r="K88" i="43"/>
  <c r="D88" i="43"/>
  <c r="M87" i="43"/>
  <c r="N87" i="43" s="1"/>
  <c r="K87" i="43"/>
  <c r="D87" i="43"/>
  <c r="M86" i="43"/>
  <c r="N86" i="43" s="1"/>
  <c r="K86" i="43"/>
  <c r="D86" i="43"/>
  <c r="M85" i="43"/>
  <c r="N85" i="43" s="1"/>
  <c r="K85" i="43"/>
  <c r="D85" i="43"/>
  <c r="M84" i="43"/>
  <c r="N84" i="43" s="1"/>
  <c r="K84" i="43"/>
  <c r="D84" i="43"/>
  <c r="M83" i="43"/>
  <c r="N83" i="43" s="1"/>
  <c r="K83" i="43"/>
  <c r="J83" i="43" s="1"/>
  <c r="M80" i="43"/>
  <c r="N80" i="43" s="1"/>
  <c r="K80" i="43"/>
  <c r="J80" i="43"/>
  <c r="M79" i="43"/>
  <c r="N79" i="43" s="1"/>
  <c r="K79" i="43"/>
  <c r="J79" i="43"/>
  <c r="M78" i="43"/>
  <c r="N78" i="43" s="1"/>
  <c r="K78" i="43"/>
  <c r="J78" i="43" s="1"/>
  <c r="D78" i="43"/>
  <c r="M77" i="43"/>
  <c r="N77" i="43" s="1"/>
  <c r="K77" i="43"/>
  <c r="J77" i="43" s="1"/>
  <c r="D77" i="43"/>
  <c r="M76" i="43"/>
  <c r="N76" i="43" s="1"/>
  <c r="K76" i="43"/>
  <c r="J76" i="43" s="1"/>
  <c r="M75" i="43"/>
  <c r="N75" i="43"/>
  <c r="K75" i="43"/>
  <c r="J75" i="43" s="1"/>
  <c r="M74" i="43"/>
  <c r="N74" i="43"/>
  <c r="K74" i="43"/>
  <c r="J74" i="43" s="1"/>
  <c r="M73" i="43"/>
  <c r="N73" i="43" s="1"/>
  <c r="K73" i="43"/>
  <c r="J73" i="43" s="1"/>
  <c r="M72" i="43"/>
  <c r="N72" i="43" s="1"/>
  <c r="K72" i="43"/>
  <c r="J72" i="43" s="1"/>
  <c r="M69" i="43"/>
  <c r="N69" i="43" s="1"/>
  <c r="K69" i="43"/>
  <c r="J69" i="43" s="1"/>
  <c r="M68" i="43"/>
  <c r="N68" i="43"/>
  <c r="K68" i="43"/>
  <c r="J68" i="43" s="1"/>
  <c r="D68" i="43"/>
  <c r="M67" i="43"/>
  <c r="N67" i="43" s="1"/>
  <c r="K67" i="43"/>
  <c r="J67" i="43" s="1"/>
  <c r="M66" i="43"/>
  <c r="N66" i="43" s="1"/>
  <c r="K66" i="43"/>
  <c r="J66" i="43"/>
  <c r="M65" i="43"/>
  <c r="N65" i="43" s="1"/>
  <c r="K65" i="43"/>
  <c r="J65" i="43" s="1"/>
  <c r="M64" i="43"/>
  <c r="N64" i="43" s="1"/>
  <c r="K64" i="43"/>
  <c r="J64" i="43" s="1"/>
  <c r="M63" i="43"/>
  <c r="N63" i="43" s="1"/>
  <c r="K63" i="43"/>
  <c r="J63" i="43"/>
  <c r="M62" i="43"/>
  <c r="N62" i="43" s="1"/>
  <c r="K62" i="43"/>
  <c r="J62" i="43"/>
  <c r="M61" i="43"/>
  <c r="N61" i="43" s="1"/>
  <c r="K61" i="43"/>
  <c r="J61" i="43" s="1"/>
  <c r="M58" i="43"/>
  <c r="N58" i="43" s="1"/>
  <c r="K58" i="43"/>
  <c r="J58" i="43" s="1"/>
  <c r="D58" i="43"/>
  <c r="M57" i="43"/>
  <c r="N57" i="43" s="1"/>
  <c r="K57" i="43"/>
  <c r="J57" i="43" s="1"/>
  <c r="D57" i="43"/>
  <c r="M56" i="43"/>
  <c r="N56" i="43" s="1"/>
  <c r="K56" i="43"/>
  <c r="J56" i="43" s="1"/>
  <c r="D56" i="43"/>
  <c r="M55" i="43"/>
  <c r="N55" i="43" s="1"/>
  <c r="K55" i="43"/>
  <c r="J55" i="43" s="1"/>
  <c r="D55" i="43"/>
  <c r="M54" i="43"/>
  <c r="N54" i="43" s="1"/>
  <c r="K54" i="43"/>
  <c r="J54" i="43" s="1"/>
  <c r="D54" i="43"/>
  <c r="M53" i="43"/>
  <c r="N53" i="43" s="1"/>
  <c r="K53" i="43"/>
  <c r="J53" i="43" s="1"/>
  <c r="D53" i="43"/>
  <c r="M52" i="43"/>
  <c r="N52" i="43"/>
  <c r="K52" i="43"/>
  <c r="J52" i="43" s="1"/>
  <c r="D52" i="43"/>
  <c r="M51" i="43"/>
  <c r="N51" i="43"/>
  <c r="K51" i="43"/>
  <c r="J51" i="43" s="1"/>
  <c r="D51" i="43"/>
  <c r="M50" i="43"/>
  <c r="N50" i="43" s="1"/>
  <c r="K50" i="43"/>
  <c r="J50" i="43"/>
  <c r="D50" i="43"/>
  <c r="Q72" i="15"/>
  <c r="Q58" i="15"/>
  <c r="Q51" i="15"/>
  <c r="Q59" i="15"/>
  <c r="AE13" i="1"/>
  <c r="M47" i="15"/>
  <c r="AG13" i="1"/>
  <c r="J50" i="15"/>
  <c r="J51" i="15" s="1"/>
  <c r="D12" i="31"/>
  <c r="E12" i="31" s="1"/>
  <c r="F12" i="31"/>
  <c r="G12" i="31" s="1"/>
  <c r="H12" i="31" s="1"/>
  <c r="I12" i="31" s="1"/>
  <c r="J12" i="3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E15" i="4"/>
  <c r="A7" i="1"/>
  <c r="B7" i="1"/>
  <c r="E7" i="1" s="1"/>
  <c r="A8" i="1"/>
  <c r="B8" i="1" s="1"/>
  <c r="E8" i="1" s="1"/>
  <c r="A9" i="1"/>
  <c r="A10" i="1"/>
  <c r="A11" i="1"/>
  <c r="B11" i="1" s="1"/>
  <c r="E11" i="1" s="1"/>
  <c r="A12" i="1"/>
  <c r="A13" i="1"/>
  <c r="B13" i="1"/>
  <c r="E13" i="1" s="1"/>
  <c r="A6" i="1"/>
  <c r="K13" i="1"/>
  <c r="M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L111" i="3" s="1"/>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B110" i="3"/>
  <c r="BC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A108" i="3" s="1"/>
  <c r="BC108" i="3"/>
  <c r="BB108" i="3"/>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L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BA92" i="3" s="1"/>
  <c r="AX92" i="3"/>
  <c r="AW92" i="3"/>
  <c r="AV92" i="3"/>
  <c r="AC92" i="3"/>
  <c r="H92" i="3"/>
  <c r="BT91" i="3"/>
  <c r="BS91" i="3"/>
  <c r="BR91" i="3"/>
  <c r="BQ91" i="3"/>
  <c r="BP91" i="3"/>
  <c r="BO91" i="3"/>
  <c r="BN91" i="3"/>
  <c r="BM91" i="3"/>
  <c r="BL91" i="3" s="1"/>
  <c r="BK91" i="3"/>
  <c r="BJ91" i="3"/>
  <c r="BI91" i="3"/>
  <c r="BH91" i="3"/>
  <c r="BG91" i="3"/>
  <c r="BF91" i="3"/>
  <c r="BE91" i="3"/>
  <c r="BD91" i="3"/>
  <c r="BB91" i="3"/>
  <c r="BC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M83" i="3"/>
  <c r="BN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B79" i="3"/>
  <c r="BC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G78" i="3" s="1"/>
  <c r="H78" i="3"/>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BA74" i="3" s="1"/>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s="1"/>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c r="BK60" i="3"/>
  <c r="BJ60" i="3"/>
  <c r="BI60" i="3"/>
  <c r="BH60" i="3"/>
  <c r="BG60" i="3"/>
  <c r="BF60" i="3"/>
  <c r="BE60" i="3"/>
  <c r="BD60" i="3"/>
  <c r="BA60" i="3" s="1"/>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L54" i="3" s="1"/>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A51" i="3" s="1"/>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BB49" i="3"/>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s="1"/>
  <c r="AX46" i="3"/>
  <c r="AW46" i="3"/>
  <c r="AV46" i="3"/>
  <c r="AC46" i="3"/>
  <c r="G46" i="3" s="1"/>
  <c r="H46" i="3"/>
  <c r="BT45" i="3"/>
  <c r="BS45" i="3"/>
  <c r="BR45" i="3"/>
  <c r="BQ45" i="3"/>
  <c r="BP45" i="3"/>
  <c r="BO45" i="3"/>
  <c r="BN45" i="3"/>
  <c r="BM45" i="3"/>
  <c r="BK45" i="3"/>
  <c r="BJ45" i="3"/>
  <c r="BI45" i="3"/>
  <c r="BH45" i="3"/>
  <c r="BG45" i="3"/>
  <c r="BF45" i="3"/>
  <c r="BE45" i="3"/>
  <c r="BD45" i="3"/>
  <c r="BC45" i="3"/>
  <c r="BA45" i="3" s="1"/>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L40" i="3" s="1"/>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BT38" i="3"/>
  <c r="BS38" i="3"/>
  <c r="BR38" i="3"/>
  <c r="BQ38" i="3"/>
  <c r="BP38" i="3"/>
  <c r="BO38" i="3"/>
  <c r="BN38" i="3"/>
  <c r="BM38" i="3"/>
  <c r="BL38" i="3" s="1"/>
  <c r="BB38" i="3"/>
  <c r="BC38" i="3"/>
  <c r="BD38" i="3"/>
  <c r="BE38" i="3"/>
  <c r="BF38" i="3"/>
  <c r="BG38" i="3"/>
  <c r="BH38" i="3"/>
  <c r="BI38" i="3"/>
  <c r="BJ38" i="3"/>
  <c r="BK38" i="3"/>
  <c r="AX38" i="3"/>
  <c r="AW38" i="3"/>
  <c r="AV38" i="3"/>
  <c r="AC38" i="3"/>
  <c r="H38" i="3"/>
  <c r="BT37" i="3"/>
  <c r="BS37" i="3"/>
  <c r="BR37" i="3"/>
  <c r="BQ37" i="3"/>
  <c r="BP37" i="3"/>
  <c r="BO37" i="3"/>
  <c r="BN37" i="3"/>
  <c r="BM37" i="3"/>
  <c r="BK37" i="3"/>
  <c r="BJ37" i="3"/>
  <c r="BI37" i="3"/>
  <c r="BH37" i="3"/>
  <c r="BG37" i="3"/>
  <c r="BF37" i="3"/>
  <c r="BE37" i="3"/>
  <c r="BD37" i="3"/>
  <c r="BC37" i="3"/>
  <c r="BB37" i="3"/>
  <c r="BA37" i="3" s="1"/>
  <c r="AX37" i="3"/>
  <c r="AW37" i="3"/>
  <c r="AV37" i="3"/>
  <c r="AC37" i="3"/>
  <c r="H37" i="3"/>
  <c r="BT36" i="3"/>
  <c r="BS36" i="3"/>
  <c r="BR36" i="3"/>
  <c r="BQ36" i="3"/>
  <c r="BP36" i="3"/>
  <c r="BO36" i="3"/>
  <c r="BN36" i="3"/>
  <c r="BM36" i="3"/>
  <c r="BK36" i="3"/>
  <c r="BJ36" i="3"/>
  <c r="BI36" i="3"/>
  <c r="BH36" i="3"/>
  <c r="BG36" i="3"/>
  <c r="BF36" i="3"/>
  <c r="BE36" i="3"/>
  <c r="BD36" i="3"/>
  <c r="BC36" i="3"/>
  <c r="BB36" i="3"/>
  <c r="BA36" i="3" s="1"/>
  <c r="AX36" i="3"/>
  <c r="AW36" i="3"/>
  <c r="AV36" i="3"/>
  <c r="AC36" i="3"/>
  <c r="G36" i="3" s="1"/>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L30" i="3" s="1"/>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B27" i="3"/>
  <c r="BC27" i="3"/>
  <c r="BD27" i="3"/>
  <c r="BE27" i="3"/>
  <c r="BF27" i="3"/>
  <c r="BG27" i="3"/>
  <c r="BH27" i="3"/>
  <c r="BI27" i="3"/>
  <c r="BJ27" i="3"/>
  <c r="BK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s="1"/>
  <c r="AX26" i="3"/>
  <c r="AW26" i="3"/>
  <c r="AV26" i="3"/>
  <c r="AC26" i="3"/>
  <c r="H26" i="3"/>
  <c r="BT25" i="3"/>
  <c r="BS25" i="3"/>
  <c r="BR25" i="3"/>
  <c r="BQ25" i="3"/>
  <c r="BP25" i="3"/>
  <c r="BO25" i="3"/>
  <c r="BN25" i="3"/>
  <c r="BL25" i="3" s="1"/>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L20" i="3" s="1"/>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L207" i="3" s="1"/>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L205" i="3" s="1"/>
  <c r="BM205" i="3"/>
  <c r="BK205" i="3"/>
  <c r="BJ205" i="3"/>
  <c r="BI205" i="3"/>
  <c r="BH205" i="3"/>
  <c r="BG205" i="3"/>
  <c r="BF205" i="3"/>
  <c r="BE205" i="3"/>
  <c r="BD205" i="3"/>
  <c r="BB205" i="3"/>
  <c r="BC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K198" i="3"/>
  <c r="BJ198" i="3"/>
  <c r="BI198" i="3"/>
  <c r="BH198" i="3"/>
  <c r="BG198" i="3"/>
  <c r="BF198" i="3"/>
  <c r="BE198" i="3"/>
  <c r="BD198" i="3"/>
  <c r="BC198" i="3"/>
  <c r="BA198" i="3" s="1"/>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G196" i="3" s="1"/>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L191" i="3" s="1"/>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K190" i="3"/>
  <c r="BJ190" i="3"/>
  <c r="BI190" i="3"/>
  <c r="BH190" i="3"/>
  <c r="BG190" i="3"/>
  <c r="BF190" i="3"/>
  <c r="BE190" i="3"/>
  <c r="BD190" i="3"/>
  <c r="BC190" i="3"/>
  <c r="BA190" i="3" s="1"/>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G188" i="3" s="1"/>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G182" i="3" s="1"/>
  <c r="H182" i="3"/>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A174" i="3" s="1"/>
  <c r="BC174" i="3"/>
  <c r="BB174" i="3"/>
  <c r="AX174" i="3"/>
  <c r="AW174" i="3"/>
  <c r="AV174" i="3"/>
  <c r="AC174" i="3"/>
  <c r="H174" i="3"/>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L171" i="3" s="1"/>
  <c r="BN171" i="3"/>
  <c r="BM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B169" i="3"/>
  <c r="BC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M167" i="3"/>
  <c r="BN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B166" i="3"/>
  <c r="BC166" i="3"/>
  <c r="BA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B160" i="3"/>
  <c r="BC160" i="3"/>
  <c r="AX160" i="3"/>
  <c r="AW160" i="3"/>
  <c r="AV160" i="3"/>
  <c r="AC160" i="3"/>
  <c r="H160" i="3"/>
  <c r="G160" i="3" s="1"/>
  <c r="BT159" i="3"/>
  <c r="BS159" i="3"/>
  <c r="BR159" i="3"/>
  <c r="BQ159" i="3"/>
  <c r="BP159" i="3"/>
  <c r="BO159" i="3"/>
  <c r="BL159" i="3" s="1"/>
  <c r="BN159" i="3"/>
  <c r="BM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M155" i="3"/>
  <c r="BN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B154" i="3"/>
  <c r="BC154" i="3"/>
  <c r="BA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L150" i="3" s="1"/>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M141" i="3"/>
  <c r="BN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B140" i="3"/>
  <c r="BC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M138" i="3"/>
  <c r="BL138" i="3" s="1"/>
  <c r="BN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M130" i="3"/>
  <c r="BL130" i="3" s="1"/>
  <c r="BN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M123" i="3"/>
  <c r="BN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B122" i="3"/>
  <c r="BC122" i="3"/>
  <c r="AX122" i="3"/>
  <c r="AW122" i="3"/>
  <c r="AV122" i="3"/>
  <c r="AC122" i="3"/>
  <c r="H122" i="3"/>
  <c r="BT121" i="3"/>
  <c r="BS121" i="3"/>
  <c r="BR121" i="3"/>
  <c r="BQ121" i="3"/>
  <c r="BP121" i="3"/>
  <c r="BO121" i="3"/>
  <c r="BM121" i="3"/>
  <c r="BN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M118" i="3"/>
  <c r="BL118" i="3" s="1"/>
  <c r="BN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M113" i="3"/>
  <c r="BN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M300" i="3"/>
  <c r="BL300" i="3" s="1"/>
  <c r="BN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B298" i="3"/>
  <c r="BC298" i="3"/>
  <c r="AX298" i="3"/>
  <c r="AW298" i="3"/>
  <c r="AV298" i="3"/>
  <c r="AC298" i="3"/>
  <c r="H298" i="3"/>
  <c r="BT297" i="3"/>
  <c r="BS297" i="3"/>
  <c r="BR297" i="3"/>
  <c r="BQ297" i="3"/>
  <c r="BP297" i="3"/>
  <c r="BO297" i="3"/>
  <c r="BM297" i="3"/>
  <c r="BN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BT295" i="3"/>
  <c r="BS295" i="3"/>
  <c r="BR295" i="3"/>
  <c r="BQ295" i="3"/>
  <c r="BP295" i="3"/>
  <c r="BO295" i="3"/>
  <c r="BM295" i="3"/>
  <c r="BL295" i="3" s="1"/>
  <c r="BN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M292" i="3"/>
  <c r="BN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G288" i="3" s="1"/>
  <c r="BT287" i="3"/>
  <c r="BS287" i="3"/>
  <c r="BR287" i="3"/>
  <c r="BQ287" i="3"/>
  <c r="BP287" i="3"/>
  <c r="BO287" i="3"/>
  <c r="BM287" i="3"/>
  <c r="BN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M285" i="3"/>
  <c r="BN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M282" i="3"/>
  <c r="BL282" i="3" s="1"/>
  <c r="BN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A281" i="3" s="1"/>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B280" i="3"/>
  <c r="BC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B278" i="3"/>
  <c r="BC278" i="3"/>
  <c r="AX278" i="3"/>
  <c r="AW278" i="3"/>
  <c r="AV278" i="3"/>
  <c r="AC278" i="3"/>
  <c r="H278" i="3"/>
  <c r="BT277" i="3"/>
  <c r="BS277" i="3"/>
  <c r="BR277" i="3"/>
  <c r="BQ277" i="3"/>
  <c r="BP277" i="3"/>
  <c r="BO277" i="3"/>
  <c r="BL277" i="3" s="1"/>
  <c r="BM277" i="3"/>
  <c r="BN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M274" i="3"/>
  <c r="BN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K272" i="3"/>
  <c r="BJ272" i="3"/>
  <c r="BI272" i="3"/>
  <c r="BH272" i="3"/>
  <c r="BG272" i="3"/>
  <c r="BF272" i="3"/>
  <c r="BE272" i="3"/>
  <c r="BD272" i="3"/>
  <c r="BB272" i="3"/>
  <c r="BC272" i="3"/>
  <c r="AX272" i="3"/>
  <c r="AW272" i="3"/>
  <c r="AV272" i="3"/>
  <c r="AC272" i="3"/>
  <c r="H272" i="3"/>
  <c r="BT271" i="3"/>
  <c r="BS271" i="3"/>
  <c r="BR271" i="3"/>
  <c r="BQ271" i="3"/>
  <c r="BP271" i="3"/>
  <c r="BO271" i="3"/>
  <c r="BM271" i="3"/>
  <c r="BN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A269" i="3" s="1"/>
  <c r="BB269" i="3"/>
  <c r="BC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B267" i="3"/>
  <c r="BC267" i="3"/>
  <c r="AX267" i="3"/>
  <c r="AW267" i="3"/>
  <c r="AV267" i="3"/>
  <c r="AC267" i="3"/>
  <c r="H267" i="3"/>
  <c r="G267" i="3" s="1"/>
  <c r="BT266" i="3"/>
  <c r="BS266" i="3"/>
  <c r="BR266" i="3"/>
  <c r="BQ266" i="3"/>
  <c r="BP266" i="3"/>
  <c r="BO266" i="3"/>
  <c r="BM266" i="3"/>
  <c r="BN266" i="3"/>
  <c r="BK266" i="3"/>
  <c r="BJ266" i="3"/>
  <c r="BI266" i="3"/>
  <c r="BH266" i="3"/>
  <c r="BG266" i="3"/>
  <c r="BF266" i="3"/>
  <c r="BE266" i="3"/>
  <c r="BD266" i="3"/>
  <c r="BC266" i="3"/>
  <c r="BB266" i="3"/>
  <c r="AX266" i="3"/>
  <c r="AW266" i="3"/>
  <c r="AV266" i="3"/>
  <c r="AC266" i="3"/>
  <c r="H266" i="3"/>
  <c r="BT265" i="3"/>
  <c r="BS265" i="3"/>
  <c r="BR265" i="3"/>
  <c r="BQ265" i="3"/>
  <c r="BP265" i="3"/>
  <c r="BO265" i="3"/>
  <c r="BL265" i="3" s="1"/>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M264" i="3"/>
  <c r="BN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A262" i="3" s="1"/>
  <c r="BB262" i="3"/>
  <c r="BC262" i="3"/>
  <c r="AX262" i="3"/>
  <c r="AW262" i="3"/>
  <c r="AV262" i="3"/>
  <c r="AC262" i="3"/>
  <c r="H262" i="3"/>
  <c r="G262" i="3" s="1"/>
  <c r="BT261" i="3"/>
  <c r="BS261" i="3"/>
  <c r="BR261" i="3"/>
  <c r="BQ261" i="3"/>
  <c r="BP261" i="3"/>
  <c r="BO261" i="3"/>
  <c r="BM261" i="3"/>
  <c r="BN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A260" i="3" s="1"/>
  <c r="BB260" i="3"/>
  <c r="AX260" i="3"/>
  <c r="AW260" i="3"/>
  <c r="AV260" i="3"/>
  <c r="AC260" i="3"/>
  <c r="H260" i="3"/>
  <c r="BT259" i="3"/>
  <c r="BS259" i="3"/>
  <c r="BR259" i="3"/>
  <c r="BQ259" i="3"/>
  <c r="BP259" i="3"/>
  <c r="BO259" i="3"/>
  <c r="BN259" i="3"/>
  <c r="BM259" i="3"/>
  <c r="BK259" i="3"/>
  <c r="BJ259" i="3"/>
  <c r="BI259" i="3"/>
  <c r="BH259" i="3"/>
  <c r="BG259" i="3"/>
  <c r="BF259" i="3"/>
  <c r="BE259" i="3"/>
  <c r="BD259" i="3"/>
  <c r="BB259" i="3"/>
  <c r="BA259" i="3" s="1"/>
  <c r="BC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M256" i="3"/>
  <c r="BN256" i="3"/>
  <c r="BK256" i="3"/>
  <c r="BJ256" i="3"/>
  <c r="BI256" i="3"/>
  <c r="BH256" i="3"/>
  <c r="BG256" i="3"/>
  <c r="BF256" i="3"/>
  <c r="BE256" i="3"/>
  <c r="BD256" i="3"/>
  <c r="BC256" i="3"/>
  <c r="BB256" i="3"/>
  <c r="BA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B254" i="3"/>
  <c r="BC254" i="3"/>
  <c r="BA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B252" i="3"/>
  <c r="BA252" i="3" s="1"/>
  <c r="AZ252" i="3" s="1"/>
  <c r="BC252" i="3"/>
  <c r="AX252" i="3"/>
  <c r="AW252" i="3"/>
  <c r="AV252" i="3"/>
  <c r="AC252" i="3"/>
  <c r="H252" i="3"/>
  <c r="G252" i="3" s="1"/>
  <c r="BT251" i="3"/>
  <c r="BS251" i="3"/>
  <c r="BR251" i="3"/>
  <c r="BQ251" i="3"/>
  <c r="BP251" i="3"/>
  <c r="BO251" i="3"/>
  <c r="BM251" i="3"/>
  <c r="BN251" i="3"/>
  <c r="BK251" i="3"/>
  <c r="BJ251" i="3"/>
  <c r="BI251" i="3"/>
  <c r="BH251" i="3"/>
  <c r="BG251" i="3"/>
  <c r="BF251" i="3"/>
  <c r="BE251" i="3"/>
  <c r="BD251" i="3"/>
  <c r="BC251" i="3"/>
  <c r="BB251" i="3"/>
  <c r="BA251" i="3" s="1"/>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M249" i="3"/>
  <c r="BN249" i="3"/>
  <c r="BK249" i="3"/>
  <c r="BJ249" i="3"/>
  <c r="BI249" i="3"/>
  <c r="BH249" i="3"/>
  <c r="BG249" i="3"/>
  <c r="BF249" i="3"/>
  <c r="BE249" i="3"/>
  <c r="BD249" i="3"/>
  <c r="BC249" i="3"/>
  <c r="BB249" i="3"/>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M247" i="3"/>
  <c r="BN247" i="3"/>
  <c r="BK247" i="3"/>
  <c r="BJ247" i="3"/>
  <c r="BI247" i="3"/>
  <c r="BH247" i="3"/>
  <c r="BG247" i="3"/>
  <c r="BF247" i="3"/>
  <c r="BE247" i="3"/>
  <c r="BD247" i="3"/>
  <c r="BC247" i="3"/>
  <c r="BB247" i="3"/>
  <c r="BA247" i="3" s="1"/>
  <c r="AX247" i="3"/>
  <c r="AW247" i="3"/>
  <c r="AV247" i="3"/>
  <c r="AC247" i="3"/>
  <c r="G247" i="3" s="1"/>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L245" i="3" s="1"/>
  <c r="BM245" i="3"/>
  <c r="BK245" i="3"/>
  <c r="BJ245" i="3"/>
  <c r="BI245" i="3"/>
  <c r="BH245" i="3"/>
  <c r="BG245" i="3"/>
  <c r="BF245" i="3"/>
  <c r="BE245" i="3"/>
  <c r="BD245" i="3"/>
  <c r="BC245" i="3"/>
  <c r="BB245" i="3"/>
  <c r="AX245" i="3"/>
  <c r="AW245" i="3"/>
  <c r="AV245" i="3"/>
  <c r="AC245" i="3"/>
  <c r="H245" i="3"/>
  <c r="BT244" i="3"/>
  <c r="BS244" i="3"/>
  <c r="BR244" i="3"/>
  <c r="BQ244" i="3"/>
  <c r="BP244" i="3"/>
  <c r="BO244" i="3"/>
  <c r="BM244" i="3"/>
  <c r="BN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L242" i="3" s="1"/>
  <c r="BN242" i="3"/>
  <c r="BM242" i="3"/>
  <c r="BK242" i="3"/>
  <c r="BJ242" i="3"/>
  <c r="BI242" i="3"/>
  <c r="BH242" i="3"/>
  <c r="BG242" i="3"/>
  <c r="BF242" i="3"/>
  <c r="BE242" i="3"/>
  <c r="BD242" i="3"/>
  <c r="BB242" i="3"/>
  <c r="BC242" i="3"/>
  <c r="AX242" i="3"/>
  <c r="AW242" i="3"/>
  <c r="AV242" i="3"/>
  <c r="AC242" i="3"/>
  <c r="H242" i="3"/>
  <c r="BT241" i="3"/>
  <c r="BS241" i="3"/>
  <c r="BR241" i="3"/>
  <c r="BQ241" i="3"/>
  <c r="BP241" i="3"/>
  <c r="BO241" i="3"/>
  <c r="BM241" i="3"/>
  <c r="BN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L240" i="3" s="1"/>
  <c r="BM240" i="3"/>
  <c r="BK240" i="3"/>
  <c r="BJ240" i="3"/>
  <c r="BI240" i="3"/>
  <c r="BH240" i="3"/>
  <c r="BG240" i="3"/>
  <c r="BF240" i="3"/>
  <c r="BE240" i="3"/>
  <c r="BD240" i="3"/>
  <c r="BC240" i="3"/>
  <c r="BB240" i="3"/>
  <c r="AX240" i="3"/>
  <c r="AW240" i="3"/>
  <c r="AV240" i="3"/>
  <c r="AC240" i="3"/>
  <c r="H240" i="3"/>
  <c r="BT239" i="3"/>
  <c r="BS239" i="3"/>
  <c r="BR239" i="3"/>
  <c r="BQ239" i="3"/>
  <c r="BP239" i="3"/>
  <c r="BO239" i="3"/>
  <c r="BM239" i="3"/>
  <c r="BN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L238" i="3" s="1"/>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L237" i="3" s="1"/>
  <c r="BM237" i="3"/>
  <c r="BK237" i="3"/>
  <c r="BJ237" i="3"/>
  <c r="BI237" i="3"/>
  <c r="BH237" i="3"/>
  <c r="BG237" i="3"/>
  <c r="BF237" i="3"/>
  <c r="BE237" i="3"/>
  <c r="BD237" i="3"/>
  <c r="BB237" i="3"/>
  <c r="BC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M234" i="3"/>
  <c r="BN234" i="3"/>
  <c r="BL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BT232" i="3"/>
  <c r="BS232" i="3"/>
  <c r="BR232" i="3"/>
  <c r="BQ232" i="3"/>
  <c r="BP232" i="3"/>
  <c r="BO232" i="3"/>
  <c r="BM232" i="3"/>
  <c r="BN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B230" i="3"/>
  <c r="BC230" i="3"/>
  <c r="AX230" i="3"/>
  <c r="AW230" i="3"/>
  <c r="AV230" i="3"/>
  <c r="AC230" i="3"/>
  <c r="H230" i="3"/>
  <c r="BT229" i="3"/>
  <c r="BS229" i="3"/>
  <c r="BR229" i="3"/>
  <c r="BQ229" i="3"/>
  <c r="BP229" i="3"/>
  <c r="BO229" i="3"/>
  <c r="BL229" i="3" s="1"/>
  <c r="BM229" i="3"/>
  <c r="BN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G228" i="3" s="1"/>
  <c r="H228" i="3"/>
  <c r="BT227" i="3"/>
  <c r="BS227" i="3"/>
  <c r="BR227" i="3"/>
  <c r="BQ227" i="3"/>
  <c r="BP227" i="3"/>
  <c r="BO227" i="3"/>
  <c r="BN227" i="3"/>
  <c r="BM227" i="3"/>
  <c r="BK227" i="3"/>
  <c r="BJ227" i="3"/>
  <c r="BI227" i="3"/>
  <c r="BH227" i="3"/>
  <c r="BG227" i="3"/>
  <c r="BF227" i="3"/>
  <c r="BE227" i="3"/>
  <c r="BD227" i="3"/>
  <c r="BB227" i="3"/>
  <c r="BC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BT224" i="3"/>
  <c r="BS224" i="3"/>
  <c r="BR224" i="3"/>
  <c r="BQ224" i="3"/>
  <c r="BP224" i="3"/>
  <c r="BO224" i="3"/>
  <c r="BN224" i="3"/>
  <c r="BM224" i="3"/>
  <c r="BK224" i="3"/>
  <c r="BJ224" i="3"/>
  <c r="BI224" i="3"/>
  <c r="BH224" i="3"/>
  <c r="BG224" i="3"/>
  <c r="BF224" i="3"/>
  <c r="BE224" i="3"/>
  <c r="BD224" i="3"/>
  <c r="BB224" i="3"/>
  <c r="BA224" i="3" s="1"/>
  <c r="BC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G223" i="3" s="1"/>
  <c r="H223" i="3"/>
  <c r="BT222" i="3"/>
  <c r="BS222" i="3"/>
  <c r="BR222" i="3"/>
  <c r="BQ222" i="3"/>
  <c r="BP222" i="3"/>
  <c r="BO222" i="3"/>
  <c r="BN222" i="3"/>
  <c r="BM222" i="3"/>
  <c r="BK222" i="3"/>
  <c r="BJ222" i="3"/>
  <c r="BI222" i="3"/>
  <c r="BH222" i="3"/>
  <c r="BG222" i="3"/>
  <c r="BF222" i="3"/>
  <c r="BE222" i="3"/>
  <c r="BD222" i="3"/>
  <c r="BB222" i="3"/>
  <c r="BC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G220" i="3" s="1"/>
  <c r="H220" i="3"/>
  <c r="BT219" i="3"/>
  <c r="BS219" i="3"/>
  <c r="BR219" i="3"/>
  <c r="BQ219" i="3"/>
  <c r="BP219" i="3"/>
  <c r="BO219" i="3"/>
  <c r="BN219" i="3"/>
  <c r="BM219" i="3"/>
  <c r="BK219" i="3"/>
  <c r="BJ219" i="3"/>
  <c r="BI219" i="3"/>
  <c r="BH219" i="3"/>
  <c r="BG219" i="3"/>
  <c r="BF219" i="3"/>
  <c r="BE219" i="3"/>
  <c r="BD219" i="3"/>
  <c r="BB219" i="3"/>
  <c r="BC219" i="3"/>
  <c r="AX219" i="3"/>
  <c r="AW219" i="3"/>
  <c r="AV219" i="3"/>
  <c r="AC219" i="3"/>
  <c r="H219" i="3"/>
  <c r="BT218" i="3"/>
  <c r="BS218" i="3"/>
  <c r="BR218" i="3"/>
  <c r="BQ218" i="3"/>
  <c r="BP218" i="3"/>
  <c r="BO218" i="3"/>
  <c r="BM218" i="3"/>
  <c r="BN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BT216" i="3"/>
  <c r="BS216" i="3"/>
  <c r="BR216" i="3"/>
  <c r="BQ216" i="3"/>
  <c r="BP216" i="3"/>
  <c r="BO216" i="3"/>
  <c r="BN216" i="3"/>
  <c r="BL216" i="3" s="1"/>
  <c r="BM216" i="3"/>
  <c r="BK216" i="3"/>
  <c r="BJ216" i="3"/>
  <c r="BI216" i="3"/>
  <c r="BH216" i="3"/>
  <c r="BG216" i="3"/>
  <c r="BF216" i="3"/>
  <c r="BE216" i="3"/>
  <c r="BD216" i="3"/>
  <c r="BB216" i="3"/>
  <c r="BC216" i="3"/>
  <c r="AX216" i="3"/>
  <c r="AW216" i="3"/>
  <c r="AV216" i="3"/>
  <c r="AC216" i="3"/>
  <c r="H216" i="3"/>
  <c r="G216" i="3" s="1"/>
  <c r="BT215" i="3"/>
  <c r="BS215" i="3"/>
  <c r="BR215" i="3"/>
  <c r="BQ215" i="3"/>
  <c r="BP215" i="3"/>
  <c r="BO215" i="3"/>
  <c r="BM215" i="3"/>
  <c r="BN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c r="BT213" i="3"/>
  <c r="BS213" i="3"/>
  <c r="BR213" i="3"/>
  <c r="BQ213" i="3"/>
  <c r="BP213" i="3"/>
  <c r="BO213" i="3"/>
  <c r="BM213" i="3"/>
  <c r="BL213" i="3" s="1"/>
  <c r="BN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N211" i="3"/>
  <c r="BM211" i="3"/>
  <c r="BK211" i="3"/>
  <c r="BJ211" i="3"/>
  <c r="BI211" i="3"/>
  <c r="BH211" i="3"/>
  <c r="BG211" i="3"/>
  <c r="BF211" i="3"/>
  <c r="BE211" i="3"/>
  <c r="BD211" i="3"/>
  <c r="BB211" i="3"/>
  <c r="BC211" i="3"/>
  <c r="AX211" i="3"/>
  <c r="AW211" i="3"/>
  <c r="AV211" i="3"/>
  <c r="AC211" i="3"/>
  <c r="H211" i="3"/>
  <c r="BT210" i="3"/>
  <c r="BS210" i="3"/>
  <c r="BR210" i="3"/>
  <c r="BQ210" i="3"/>
  <c r="BP210" i="3"/>
  <c r="BO210" i="3"/>
  <c r="BM210" i="3"/>
  <c r="BN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B208" i="3"/>
  <c r="BA208" i="3" s="1"/>
  <c r="BC208" i="3"/>
  <c r="AX208" i="3"/>
  <c r="AW208" i="3"/>
  <c r="AV208" i="3"/>
  <c r="AC208" i="3"/>
  <c r="H208" i="3"/>
  <c r="BT397" i="3"/>
  <c r="BS397" i="3"/>
  <c r="BR397" i="3"/>
  <c r="BQ397" i="3"/>
  <c r="BP397" i="3"/>
  <c r="BO397" i="3"/>
  <c r="BM397" i="3"/>
  <c r="BN397" i="3"/>
  <c r="BK397" i="3"/>
  <c r="BJ397" i="3"/>
  <c r="BI397" i="3"/>
  <c r="BH397" i="3"/>
  <c r="BG397" i="3"/>
  <c r="BF397" i="3"/>
  <c r="BE397" i="3"/>
  <c r="BD397" i="3"/>
  <c r="BC397" i="3"/>
  <c r="BA397" i="3" s="1"/>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G396" i="3" s="1"/>
  <c r="H396" i="3"/>
  <c r="BT395" i="3"/>
  <c r="BS395" i="3"/>
  <c r="BR395" i="3"/>
  <c r="BQ395" i="3"/>
  <c r="BP395" i="3"/>
  <c r="BO395" i="3"/>
  <c r="BN395" i="3"/>
  <c r="BM395" i="3"/>
  <c r="BK395" i="3"/>
  <c r="BJ395" i="3"/>
  <c r="BI395" i="3"/>
  <c r="BH395" i="3"/>
  <c r="BG395" i="3"/>
  <c r="BF395" i="3"/>
  <c r="BE395" i="3"/>
  <c r="BD395" i="3"/>
  <c r="BB395" i="3"/>
  <c r="BA395" i="3" s="1"/>
  <c r="BC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A386" i="3" s="1"/>
  <c r="BB386" i="3"/>
  <c r="BC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B374" i="3"/>
  <c r="BC374" i="3"/>
  <c r="BA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M368" i="3"/>
  <c r="BN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B367" i="3"/>
  <c r="BA367" i="3" s="1"/>
  <c r="BC367" i="3"/>
  <c r="AX367" i="3"/>
  <c r="AW367" i="3"/>
  <c r="AV367" i="3"/>
  <c r="AC367" i="3"/>
  <c r="H367" i="3"/>
  <c r="BT366" i="3"/>
  <c r="BS366" i="3"/>
  <c r="BR366" i="3"/>
  <c r="BQ366" i="3"/>
  <c r="BP366" i="3"/>
  <c r="BO366" i="3"/>
  <c r="BN366" i="3"/>
  <c r="BM366" i="3"/>
  <c r="BK366" i="3"/>
  <c r="BJ366" i="3"/>
  <c r="BI366" i="3"/>
  <c r="BH366" i="3"/>
  <c r="BG366" i="3"/>
  <c r="BF366" i="3"/>
  <c r="BE366" i="3"/>
  <c r="BD366" i="3"/>
  <c r="BB366" i="3"/>
  <c r="BC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M353" i="3"/>
  <c r="BN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B350" i="3"/>
  <c r="BC350" i="3"/>
  <c r="AX350" i="3"/>
  <c r="AW350" i="3"/>
  <c r="AV350" i="3"/>
  <c r="AC350" i="3"/>
  <c r="H350" i="3"/>
  <c r="BT349" i="3"/>
  <c r="BS349" i="3"/>
  <c r="BR349" i="3"/>
  <c r="BQ349" i="3"/>
  <c r="BP349" i="3"/>
  <c r="BO349" i="3"/>
  <c r="BN349" i="3"/>
  <c r="BM349" i="3"/>
  <c r="BK349" i="3"/>
  <c r="BJ349" i="3"/>
  <c r="BI349" i="3"/>
  <c r="BH349" i="3"/>
  <c r="BG349" i="3"/>
  <c r="BF349" i="3"/>
  <c r="BE349" i="3"/>
  <c r="BD349" i="3"/>
  <c r="BB349" i="3"/>
  <c r="BC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M346" i="3"/>
  <c r="BN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M332" i="3"/>
  <c r="BN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B315" i="3"/>
  <c r="BA315" i="3" s="1"/>
  <c r="BC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A307" i="3" s="1"/>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B488" i="3"/>
  <c r="BC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A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G485" i="3" s="1"/>
  <c r="H485" i="3"/>
  <c r="BT484" i="3"/>
  <c r="BS484" i="3"/>
  <c r="BR484" i="3"/>
  <c r="BQ484" i="3"/>
  <c r="BP484" i="3"/>
  <c r="BO484" i="3"/>
  <c r="BN484" i="3"/>
  <c r="BM484" i="3"/>
  <c r="BK484" i="3"/>
  <c r="BJ484" i="3"/>
  <c r="BI484" i="3"/>
  <c r="BH484" i="3"/>
  <c r="BG484" i="3"/>
  <c r="BF484" i="3"/>
  <c r="BE484" i="3"/>
  <c r="BD484" i="3"/>
  <c r="BB484" i="3"/>
  <c r="BC484" i="3"/>
  <c r="AX484" i="3"/>
  <c r="AW484" i="3"/>
  <c r="AV484" i="3"/>
  <c r="AC484" i="3"/>
  <c r="H484" i="3"/>
  <c r="G484" i="3" s="1"/>
  <c r="BT483" i="3"/>
  <c r="BS483" i="3"/>
  <c r="BR483" i="3"/>
  <c r="BQ483" i="3"/>
  <c r="BP483" i="3"/>
  <c r="BO483" i="3"/>
  <c r="BM483" i="3"/>
  <c r="BN483" i="3"/>
  <c r="BB483" i="3"/>
  <c r="BC483" i="3"/>
  <c r="BD483" i="3"/>
  <c r="BE483" i="3"/>
  <c r="BF483" i="3"/>
  <c r="BG483" i="3"/>
  <c r="BH483" i="3"/>
  <c r="BI483" i="3"/>
  <c r="BJ483" i="3"/>
  <c r="BK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L480" i="3" s="1"/>
  <c r="BM480" i="3"/>
  <c r="BK480" i="3"/>
  <c r="BJ480" i="3"/>
  <c r="BI480" i="3"/>
  <c r="BH480" i="3"/>
  <c r="BG480" i="3"/>
  <c r="BF480" i="3"/>
  <c r="BE480" i="3"/>
  <c r="BD480" i="3"/>
  <c r="BC480" i="3"/>
  <c r="BB480" i="3"/>
  <c r="BA480" i="3" s="1"/>
  <c r="AZ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L476" i="3" s="1"/>
  <c r="BN476" i="3"/>
  <c r="BM476" i="3"/>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M475" i="3"/>
  <c r="BL475" i="3" s="1"/>
  <c r="BN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s="1"/>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G469" i="3" s="1"/>
  <c r="BT468" i="3"/>
  <c r="BS468" i="3"/>
  <c r="BR468" i="3"/>
  <c r="BQ468" i="3"/>
  <c r="BP468" i="3"/>
  <c r="BO468" i="3"/>
  <c r="BM468" i="3"/>
  <c r="BN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B465" i="3"/>
  <c r="BC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G463" i="3" s="1"/>
  <c r="H463" i="3"/>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L461" i="3" s="1"/>
  <c r="BM461" i="3"/>
  <c r="BN461" i="3"/>
  <c r="BK461" i="3"/>
  <c r="BJ461" i="3"/>
  <c r="BI461" i="3"/>
  <c r="BH461" i="3"/>
  <c r="BG461" i="3"/>
  <c r="BF461" i="3"/>
  <c r="BE461" i="3"/>
  <c r="BD461" i="3"/>
  <c r="BC461" i="3"/>
  <c r="BB461" i="3"/>
  <c r="BA461" i="3" s="1"/>
  <c r="AZ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M457" i="3"/>
  <c r="BN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B455" i="3"/>
  <c r="BC455" i="3"/>
  <c r="AX455" i="3"/>
  <c r="AW455" i="3"/>
  <c r="AV455" i="3"/>
  <c r="AC455" i="3"/>
  <c r="H455" i="3"/>
  <c r="BT454" i="3"/>
  <c r="BS454" i="3"/>
  <c r="BR454" i="3"/>
  <c r="BQ454" i="3"/>
  <c r="BP454" i="3"/>
  <c r="BO454" i="3"/>
  <c r="BM454" i="3"/>
  <c r="BN454" i="3"/>
  <c r="BK454" i="3"/>
  <c r="BJ454" i="3"/>
  <c r="BI454" i="3"/>
  <c r="BH454" i="3"/>
  <c r="BG454" i="3"/>
  <c r="BF454" i="3"/>
  <c r="BE454" i="3"/>
  <c r="BD454" i="3"/>
  <c r="BB454" i="3"/>
  <c r="BA454" i="3" s="1"/>
  <c r="BC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A453" i="3" s="1"/>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G451" i="3"/>
  <c r="BT450" i="3"/>
  <c r="BS450" i="3"/>
  <c r="BR450" i="3"/>
  <c r="BQ450" i="3"/>
  <c r="BP450" i="3"/>
  <c r="BO450" i="3"/>
  <c r="BM450" i="3"/>
  <c r="BN450" i="3"/>
  <c r="BK450" i="3"/>
  <c r="BJ450" i="3"/>
  <c r="BI450" i="3"/>
  <c r="BH450" i="3"/>
  <c r="BG450" i="3"/>
  <c r="BF450" i="3"/>
  <c r="BE450" i="3"/>
  <c r="BD450" i="3"/>
  <c r="BB450" i="3"/>
  <c r="BC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B447" i="3"/>
  <c r="BC447" i="3"/>
  <c r="AX447" i="3"/>
  <c r="AW447" i="3"/>
  <c r="AV447" i="3"/>
  <c r="AC447" i="3"/>
  <c r="H447" i="3"/>
  <c r="BT446" i="3"/>
  <c r="BS446" i="3"/>
  <c r="BR446" i="3"/>
  <c r="BQ446" i="3"/>
  <c r="BP446" i="3"/>
  <c r="BO446" i="3"/>
  <c r="BM446" i="3"/>
  <c r="BN446" i="3"/>
  <c r="BK446" i="3"/>
  <c r="BJ446" i="3"/>
  <c r="BI446" i="3"/>
  <c r="BH446" i="3"/>
  <c r="BG446" i="3"/>
  <c r="BF446" i="3"/>
  <c r="BE446" i="3"/>
  <c r="BD446" i="3"/>
  <c r="BB446" i="3"/>
  <c r="BC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G443" i="3"/>
  <c r="BT442" i="3"/>
  <c r="BS442" i="3"/>
  <c r="BR442" i="3"/>
  <c r="BQ442" i="3"/>
  <c r="BP442" i="3"/>
  <c r="BO442" i="3"/>
  <c r="BM442" i="3"/>
  <c r="BN442" i="3"/>
  <c r="BK442" i="3"/>
  <c r="BJ442" i="3"/>
  <c r="BI442" i="3"/>
  <c r="BH442" i="3"/>
  <c r="BG442" i="3"/>
  <c r="BF442" i="3"/>
  <c r="BE442" i="3"/>
  <c r="BD442" i="3"/>
  <c r="BB442" i="3"/>
  <c r="BC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B440" i="3"/>
  <c r="BC440" i="3"/>
  <c r="AX440" i="3"/>
  <c r="AW440" i="3"/>
  <c r="AV440" i="3"/>
  <c r="AC440" i="3"/>
  <c r="H440" i="3"/>
  <c r="G440" i="3" s="1"/>
  <c r="BT439" i="3"/>
  <c r="BS439" i="3"/>
  <c r="BR439" i="3"/>
  <c r="BQ439" i="3"/>
  <c r="BP439" i="3"/>
  <c r="BO439" i="3"/>
  <c r="BM439" i="3"/>
  <c r="BN439" i="3"/>
  <c r="BL439" i="3"/>
  <c r="BK439" i="3"/>
  <c r="BJ439" i="3"/>
  <c r="BI439" i="3"/>
  <c r="BH439" i="3"/>
  <c r="BG439" i="3"/>
  <c r="BF439" i="3"/>
  <c r="BE439" i="3"/>
  <c r="BD439" i="3"/>
  <c r="BA439" i="3" s="1"/>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L437" i="3" s="1"/>
  <c r="BM437" i="3"/>
  <c r="BK437" i="3"/>
  <c r="BJ437" i="3"/>
  <c r="BI437" i="3"/>
  <c r="BH437" i="3"/>
  <c r="BG437" i="3"/>
  <c r="BF437" i="3"/>
  <c r="BE437" i="3"/>
  <c r="BD437" i="3"/>
  <c r="BC437" i="3"/>
  <c r="BB437" i="3"/>
  <c r="AX437" i="3"/>
  <c r="AW437" i="3"/>
  <c r="AV437" i="3"/>
  <c r="AC437" i="3"/>
  <c r="H437" i="3"/>
  <c r="BT436" i="3"/>
  <c r="BS436" i="3"/>
  <c r="BR436" i="3"/>
  <c r="BQ436" i="3"/>
  <c r="BP436" i="3"/>
  <c r="BO436" i="3"/>
  <c r="BM436" i="3"/>
  <c r="BL436" i="3" s="1"/>
  <c r="BN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B433" i="3"/>
  <c r="BA433" i="3" s="1"/>
  <c r="BC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K430" i="3"/>
  <c r="BJ430" i="3"/>
  <c r="BI430" i="3"/>
  <c r="BH430" i="3"/>
  <c r="BG430" i="3"/>
  <c r="BF430" i="3"/>
  <c r="BE430" i="3"/>
  <c r="BD430" i="3"/>
  <c r="BB430" i="3"/>
  <c r="BC430" i="3"/>
  <c r="AX430" i="3"/>
  <c r="AW430" i="3"/>
  <c r="AV430" i="3"/>
  <c r="AC430" i="3"/>
  <c r="H430" i="3"/>
  <c r="BT429" i="3"/>
  <c r="BS429" i="3"/>
  <c r="BR429" i="3"/>
  <c r="BQ429" i="3"/>
  <c r="BP429" i="3"/>
  <c r="BO429" i="3"/>
  <c r="BM429" i="3"/>
  <c r="BN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B427" i="3"/>
  <c r="BC427" i="3"/>
  <c r="AX427" i="3"/>
  <c r="AW427" i="3"/>
  <c r="AV427" i="3"/>
  <c r="AC427" i="3"/>
  <c r="H427" i="3"/>
  <c r="G427" i="3" s="1"/>
  <c r="BT426" i="3"/>
  <c r="BS426" i="3"/>
  <c r="BR426" i="3"/>
  <c r="BQ426" i="3"/>
  <c r="BP426" i="3"/>
  <c r="BO426" i="3"/>
  <c r="BM426" i="3"/>
  <c r="BN426" i="3"/>
  <c r="BK426" i="3"/>
  <c r="BJ426" i="3"/>
  <c r="BI426" i="3"/>
  <c r="BH426" i="3"/>
  <c r="BG426" i="3"/>
  <c r="BF426" i="3"/>
  <c r="BE426" i="3"/>
  <c r="BD426" i="3"/>
  <c r="BC426" i="3"/>
  <c r="BB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A425" i="3" s="1"/>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B423" i="3"/>
  <c r="BC423" i="3"/>
  <c r="AX423" i="3"/>
  <c r="AW423" i="3"/>
  <c r="AV423" i="3"/>
  <c r="AC423" i="3"/>
  <c r="H423" i="3"/>
  <c r="G423" i="3"/>
  <c r="BT422" i="3"/>
  <c r="BS422" i="3"/>
  <c r="BR422" i="3"/>
  <c r="BQ422" i="3"/>
  <c r="BP422" i="3"/>
  <c r="BO422" i="3"/>
  <c r="BM422" i="3"/>
  <c r="BN422" i="3"/>
  <c r="BK422" i="3"/>
  <c r="BJ422" i="3"/>
  <c r="BI422" i="3"/>
  <c r="BH422" i="3"/>
  <c r="BG422" i="3"/>
  <c r="BF422" i="3"/>
  <c r="BE422" i="3"/>
  <c r="BD422" i="3"/>
  <c r="BA422" i="3" s="1"/>
  <c r="BB422" i="3"/>
  <c r="BC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s="1"/>
  <c r="AX419" i="3"/>
  <c r="AW419" i="3"/>
  <c r="AV419" i="3"/>
  <c r="AC419" i="3"/>
  <c r="H419" i="3"/>
  <c r="G419" i="3"/>
  <c r="BT418" i="3"/>
  <c r="BS418" i="3"/>
  <c r="BR418" i="3"/>
  <c r="BQ418" i="3"/>
  <c r="BP418" i="3"/>
  <c r="BO418" i="3"/>
  <c r="BM418" i="3"/>
  <c r="BN418" i="3"/>
  <c r="BL418" i="3" s="1"/>
  <c r="BK418" i="3"/>
  <c r="BJ418" i="3"/>
  <c r="BI418" i="3"/>
  <c r="BH418" i="3"/>
  <c r="BG418" i="3"/>
  <c r="BF418" i="3"/>
  <c r="BE418" i="3"/>
  <c r="BD418" i="3"/>
  <c r="BB418" i="3"/>
  <c r="BC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B416" i="3"/>
  <c r="BC416" i="3"/>
  <c r="AX416" i="3"/>
  <c r="AW416" i="3"/>
  <c r="AV416" i="3"/>
  <c r="AC416" i="3"/>
  <c r="H416" i="3"/>
  <c r="G416" i="3"/>
  <c r="BT415" i="3"/>
  <c r="BS415" i="3"/>
  <c r="BR415" i="3"/>
  <c r="BQ415" i="3"/>
  <c r="BP415" i="3"/>
  <c r="BO415" i="3"/>
  <c r="BM415" i="3"/>
  <c r="BL415" i="3" s="1"/>
  <c r="BN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K412" i="3"/>
  <c r="BJ412" i="3"/>
  <c r="BI412" i="3"/>
  <c r="BH412" i="3"/>
  <c r="BG412" i="3"/>
  <c r="BF412" i="3"/>
  <c r="BE412" i="3"/>
  <c r="BD412" i="3"/>
  <c r="BB412" i="3"/>
  <c r="BA412" i="3" s="1"/>
  <c r="BC412" i="3"/>
  <c r="AX412" i="3"/>
  <c r="AW412" i="3"/>
  <c r="AV412" i="3"/>
  <c r="AC412" i="3"/>
  <c r="H412" i="3"/>
  <c r="G412" i="3" s="1"/>
  <c r="BT411" i="3"/>
  <c r="BS411" i="3"/>
  <c r="BR411" i="3"/>
  <c r="BQ411" i="3"/>
  <c r="BP411" i="3"/>
  <c r="BO411" i="3"/>
  <c r="BL411" i="3" s="1"/>
  <c r="BN411" i="3"/>
  <c r="BM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B409" i="3"/>
  <c r="BC409" i="3"/>
  <c r="AX409" i="3"/>
  <c r="AW409" i="3"/>
  <c r="AV409" i="3"/>
  <c r="AC409" i="3"/>
  <c r="H409" i="3"/>
  <c r="BT408" i="3"/>
  <c r="BS408" i="3"/>
  <c r="BR408" i="3"/>
  <c r="BQ408" i="3"/>
  <c r="BP408" i="3"/>
  <c r="BO408" i="3"/>
  <c r="BM408" i="3"/>
  <c r="BN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G406" i="3" s="1"/>
  <c r="BT405" i="3"/>
  <c r="BS405" i="3"/>
  <c r="BR405" i="3"/>
  <c r="BQ405" i="3"/>
  <c r="BP405" i="3"/>
  <c r="BO405" i="3"/>
  <c r="BM405" i="3"/>
  <c r="BN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A402" i="3" s="1"/>
  <c r="AZ402" i="3" s="1"/>
  <c r="BC402" i="3"/>
  <c r="BB402" i="3"/>
  <c r="AX402" i="3"/>
  <c r="AW402" i="3"/>
  <c r="AV402" i="3"/>
  <c r="AC402" i="3"/>
  <c r="H402" i="3"/>
  <c r="G402" i="3" s="1"/>
  <c r="BT401" i="3"/>
  <c r="BS401" i="3"/>
  <c r="BR401" i="3"/>
  <c r="BQ401" i="3"/>
  <c r="BP401" i="3"/>
  <c r="BO401" i="3"/>
  <c r="BM401" i="3"/>
  <c r="BN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B399" i="3"/>
  <c r="BC399" i="3"/>
  <c r="AX399" i="3"/>
  <c r="AW399" i="3"/>
  <c r="AV399" i="3"/>
  <c r="AC399" i="3"/>
  <c r="H399" i="3"/>
  <c r="G399" i="3" s="1"/>
  <c r="BT398" i="3"/>
  <c r="BS398" i="3"/>
  <c r="BR398" i="3"/>
  <c r="BQ398" i="3"/>
  <c r="BP398" i="3"/>
  <c r="BO398" i="3"/>
  <c r="BM398" i="3"/>
  <c r="BN398" i="3"/>
  <c r="BK398" i="3"/>
  <c r="BJ398" i="3"/>
  <c r="BI398" i="3"/>
  <c r="BH398" i="3"/>
  <c r="BG398" i="3"/>
  <c r="BF398" i="3"/>
  <c r="BE398" i="3"/>
  <c r="BD398" i="3"/>
  <c r="BC398" i="3"/>
  <c r="BB398" i="3"/>
  <c r="AX398" i="3"/>
  <c r="AW398" i="3"/>
  <c r="AV398" i="3"/>
  <c r="AC398" i="3"/>
  <c r="H398" i="3"/>
  <c r="G398" i="3" s="1"/>
  <c r="H60" i="40"/>
  <c r="I60" i="40"/>
  <c r="C60" i="40" s="1"/>
  <c r="H59" i="40"/>
  <c r="I59" i="40" s="1"/>
  <c r="C59" i="40" s="1"/>
  <c r="H58" i="40"/>
  <c r="I58" i="40" s="1"/>
  <c r="C58" i="40" s="1"/>
  <c r="H57" i="40"/>
  <c r="I57" i="40"/>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H15" i="4"/>
  <c r="G15" i="4"/>
  <c r="F12" i="1"/>
  <c r="G12" i="1" s="1"/>
  <c r="F15" i="4"/>
  <c r="F11" i="1"/>
  <c r="G11" i="1" s="1"/>
  <c r="D15" i="4"/>
  <c r="F7" i="1"/>
  <c r="G7" i="1" s="1"/>
  <c r="L21" i="4"/>
  <c r="F19" i="4"/>
  <c r="F2" i="52"/>
  <c r="B50" i="72" s="1"/>
  <c r="D2" i="52"/>
  <c r="B46" i="72"/>
  <c r="B8" i="53"/>
  <c r="B23" i="72" s="1"/>
  <c r="L4" i="9"/>
  <c r="B17" i="72"/>
  <c r="A3" i="51"/>
  <c r="C8" i="11"/>
  <c r="B40" i="48"/>
  <c r="B3" i="72" s="1"/>
  <c r="F35" i="4"/>
  <c r="J55" i="39" s="1"/>
  <c r="H38" i="43"/>
  <c r="H39" i="43"/>
  <c r="H40" i="43"/>
  <c r="H41" i="43"/>
  <c r="H42" i="43"/>
  <c r="H37" i="43"/>
  <c r="J24" i="43"/>
  <c r="C22" i="43"/>
  <c r="C10" i="43"/>
  <c r="C11" i="43"/>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N15" i="3"/>
  <c r="BL15" i="3" s="1"/>
  <c r="BO15" i="3"/>
  <c r="BP15" i="3"/>
  <c r="BM16" i="3"/>
  <c r="BM17" i="3"/>
  <c r="BO13" i="3"/>
  <c r="BO14" i="3"/>
  <c r="BO16" i="3"/>
  <c r="BO17" i="3"/>
  <c r="BN13" i="3"/>
  <c r="BN14" i="3"/>
  <c r="BN16" i="3"/>
  <c r="BP16" i="3"/>
  <c r="BL16" i="3" s="1"/>
  <c r="BN17" i="3"/>
  <c r="BP13" i="3"/>
  <c r="BP14" i="3"/>
  <c r="BP17" i="3"/>
  <c r="E19" i="6"/>
  <c r="E20" i="6"/>
  <c r="E21" i="6"/>
  <c r="K8" i="1"/>
  <c r="M8" i="1" s="1"/>
  <c r="F23" i="15"/>
  <c r="D24" i="15" s="1"/>
  <c r="E22" i="6"/>
  <c r="E23" i="6"/>
  <c r="K10" i="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I55" i="9"/>
  <c r="F55" i="9"/>
  <c r="O53" i="9" s="1"/>
  <c r="D89" i="9"/>
  <c r="C89" i="9" s="1"/>
  <c r="C87" i="9" s="1"/>
  <c r="C94"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U30" i="36" s="1"/>
  <c r="F30" i="36"/>
  <c r="AA30" i="36" s="1"/>
  <c r="C26" i="35"/>
  <c r="C79" i="35" s="1"/>
  <c r="J31" i="35"/>
  <c r="H31" i="35"/>
  <c r="F31" i="35"/>
  <c r="D87" i="35"/>
  <c r="E87" i="35" s="1"/>
  <c r="F87" i="35"/>
  <c r="G87" i="35" s="1"/>
  <c r="H87" i="35" s="1"/>
  <c r="I87" i="35" s="1"/>
  <c r="J87" i="35" s="1"/>
  <c r="K87" i="35" s="1"/>
  <c r="L87" i="35" s="1"/>
  <c r="M87" i="35" s="1"/>
  <c r="H34" i="37"/>
  <c r="U34" i="37" s="1"/>
  <c r="D101" i="37"/>
  <c r="F34" i="37"/>
  <c r="D99" i="37"/>
  <c r="E99" i="37"/>
  <c r="F99" i="37" s="1"/>
  <c r="G99" i="37" s="1"/>
  <c r="H99" i="37" s="1"/>
  <c r="I99" i="37" s="1"/>
  <c r="J99" i="37" s="1"/>
  <c r="K99" i="37" s="1"/>
  <c r="L99" i="37" s="1"/>
  <c r="M99" i="37" s="1"/>
  <c r="H42" i="34"/>
  <c r="J42" i="34"/>
  <c r="W42" i="34" s="1"/>
  <c r="F42" i="34"/>
  <c r="S42" i="34" s="1"/>
  <c r="J38" i="34"/>
  <c r="W38" i="34" s="1"/>
  <c r="D114" i="34"/>
  <c r="F38" i="34"/>
  <c r="S38" i="34"/>
  <c r="D112" i="34"/>
  <c r="E112" i="34"/>
  <c r="F112" i="34" s="1"/>
  <c r="G112" i="34" s="1"/>
  <c r="H112" i="34" s="1"/>
  <c r="I112" i="34" s="1"/>
  <c r="J112" i="34" s="1"/>
  <c r="K112" i="34" s="1"/>
  <c r="L112" i="34" s="1"/>
  <c r="M112" i="34" s="1"/>
  <c r="F40" i="33"/>
  <c r="S40" i="33" s="1"/>
  <c r="J41" i="33"/>
  <c r="W41" i="33" s="1"/>
  <c r="D113" i="33"/>
  <c r="F37" i="33"/>
  <c r="D111" i="33"/>
  <c r="E111" i="33" s="1"/>
  <c r="F111" i="33" s="1"/>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c r="AB40" i="40" s="1"/>
  <c r="B118" i="40"/>
  <c r="J39" i="40"/>
  <c r="B116" i="40"/>
  <c r="F38" i="40" s="1"/>
  <c r="D115" i="40"/>
  <c r="E115" i="40" s="1"/>
  <c r="F115" i="40"/>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c r="D86" i="40"/>
  <c r="E86" i="40"/>
  <c r="F86" i="40" s="1"/>
  <c r="G86" i="40" s="1"/>
  <c r="D84" i="40"/>
  <c r="E84" i="40"/>
  <c r="F84" i="40" s="1"/>
  <c r="G84" i="40" s="1"/>
  <c r="B81" i="40"/>
  <c r="B79" i="40"/>
  <c r="J13" i="40" s="1"/>
  <c r="W13" i="40" s="1"/>
  <c r="B77" i="40"/>
  <c r="J12" i="40"/>
  <c r="AC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S9" i="40" s="1"/>
  <c r="J8" i="40"/>
  <c r="AC8" i="40" s="1"/>
  <c r="H8" i="40"/>
  <c r="AB8" i="40" s="1"/>
  <c r="F8" i="40"/>
  <c r="AA8" i="40" s="1"/>
  <c r="J38" i="39"/>
  <c r="W38" i="39"/>
  <c r="H38" i="39"/>
  <c r="AB38" i="39" s="1"/>
  <c r="F38" i="39"/>
  <c r="D123" i="39"/>
  <c r="E123" i="39" s="1"/>
  <c r="F123" i="39" s="1"/>
  <c r="G123" i="39" s="1"/>
  <c r="H123" i="39" s="1"/>
  <c r="I123" i="39" s="1"/>
  <c r="J123" i="39" s="1"/>
  <c r="K123" i="39" s="1"/>
  <c r="L123" i="39" s="1"/>
  <c r="M123" i="39" s="1"/>
  <c r="D119" i="39"/>
  <c r="E119" i="39"/>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AA34" i="39"/>
  <c r="D106" i="39"/>
  <c r="E106" i="39"/>
  <c r="D104" i="39"/>
  <c r="E104" i="39"/>
  <c r="F104" i="39" s="1"/>
  <c r="G104" i="39" s="1"/>
  <c r="H104" i="39"/>
  <c r="I104" i="39" s="1"/>
  <c r="J104" i="39" s="1"/>
  <c r="K104" i="39" s="1"/>
  <c r="L104" i="39" s="1"/>
  <c r="M104" i="39" s="1"/>
  <c r="D100" i="39"/>
  <c r="D98" i="39"/>
  <c r="E98" i="39" s="1"/>
  <c r="F98" i="39" s="1"/>
  <c r="G98" i="39" s="1"/>
  <c r="Q39" i="39"/>
  <c r="Z39" i="39"/>
  <c r="Q40" i="39"/>
  <c r="Z40" i="39" s="1"/>
  <c r="Q41" i="39"/>
  <c r="Z41" i="39" s="1"/>
  <c r="Q42" i="39"/>
  <c r="Z42" i="39" s="1"/>
  <c r="Q43" i="39"/>
  <c r="Z43" i="39" s="1"/>
  <c r="Q44" i="39"/>
  <c r="Z44" i="39" s="1"/>
  <c r="Q45" i="39"/>
  <c r="Z45" i="39"/>
  <c r="Q38" i="39"/>
  <c r="Z38" i="39" s="1"/>
  <c r="Q36" i="39"/>
  <c r="Z36" i="39" s="1"/>
  <c r="Q37" i="39"/>
  <c r="Z37" i="39" s="1"/>
  <c r="B130" i="39"/>
  <c r="H45" i="39" s="1"/>
  <c r="AB45" i="39" s="1"/>
  <c r="B128" i="39"/>
  <c r="H44" i="39" s="1"/>
  <c r="B126" i="39"/>
  <c r="J43" i="39"/>
  <c r="D125" i="39"/>
  <c r="E125" i="39" s="1"/>
  <c r="F125" i="39"/>
  <c r="G125" i="39" s="1"/>
  <c r="H125" i="39"/>
  <c r="I125" i="39" s="1"/>
  <c r="J125" i="39" s="1"/>
  <c r="K125" i="39" s="1"/>
  <c r="L125" i="39" s="1"/>
  <c r="M125" i="39" s="1"/>
  <c r="D121" i="39"/>
  <c r="E121" i="39" s="1"/>
  <c r="F121" i="39" s="1"/>
  <c r="G121" i="39" s="1"/>
  <c r="H121" i="39" s="1"/>
  <c r="I121" i="39" s="1"/>
  <c r="J121" i="39" s="1"/>
  <c r="K121" i="39" s="1"/>
  <c r="L121" i="39" s="1"/>
  <c r="M121" i="39" s="1"/>
  <c r="H35" i="39"/>
  <c r="AB35" i="39" s="1"/>
  <c r="B103" i="39"/>
  <c r="H31" i="39"/>
  <c r="AB31" i="39" s="1"/>
  <c r="D96" i="39"/>
  <c r="J23" i="39"/>
  <c r="AC23" i="39"/>
  <c r="D94" i="39"/>
  <c r="E94" i="39" s="1"/>
  <c r="F94" i="39"/>
  <c r="D92" i="39"/>
  <c r="E92" i="39"/>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c r="Q34" i="39"/>
  <c r="Z34" i="39" s="1"/>
  <c r="Q32" i="39"/>
  <c r="Z32" i="39" s="1"/>
  <c r="Q31" i="39"/>
  <c r="Z31" i="39" s="1"/>
  <c r="Q27" i="39"/>
  <c r="Z27" i="39"/>
  <c r="Q25" i="39"/>
  <c r="Z25" i="39" s="1"/>
  <c r="Q23" i="39"/>
  <c r="Z23" i="39" s="1"/>
  <c r="Q21" i="39"/>
  <c r="Z21" i="39" s="1"/>
  <c r="Q19" i="39"/>
  <c r="Z19" i="39" s="1"/>
  <c r="Q17" i="39"/>
  <c r="Z17" i="39" s="1"/>
  <c r="Q15" i="39"/>
  <c r="Z15" i="39"/>
  <c r="Q14" i="39"/>
  <c r="Z14" i="39" s="1"/>
  <c r="Q13" i="39"/>
  <c r="Z13" i="39" s="1"/>
  <c r="Q12" i="39"/>
  <c r="Z12" i="39" s="1"/>
  <c r="Q11" i="39"/>
  <c r="Z11" i="39" s="1"/>
  <c r="Q10" i="39"/>
  <c r="Z10" i="39" s="1"/>
  <c r="Q9" i="39"/>
  <c r="Z9" i="39"/>
  <c r="J9" i="39"/>
  <c r="AC9" i="39" s="1"/>
  <c r="H9" i="39"/>
  <c r="F9" i="39"/>
  <c r="AA9" i="39" s="1"/>
  <c r="J8" i="39"/>
  <c r="AC8" i="39"/>
  <c r="H8" i="39"/>
  <c r="U8" i="39" s="1"/>
  <c r="F8" i="39"/>
  <c r="AA8" i="39" s="1"/>
  <c r="C20" i="36"/>
  <c r="C20" i="35"/>
  <c r="C16" i="36"/>
  <c r="C16" i="35"/>
  <c r="C14" i="36"/>
  <c r="C14" i="35"/>
  <c r="B80" i="37"/>
  <c r="H25" i="37" s="1"/>
  <c r="U25" i="37" s="1"/>
  <c r="B110" i="37"/>
  <c r="J39" i="37" s="1"/>
  <c r="AC39" i="37" s="1"/>
  <c r="B108" i="37"/>
  <c r="J38" i="37" s="1"/>
  <c r="AC38" i="37" s="1"/>
  <c r="C23" i="37"/>
  <c r="C19" i="37"/>
  <c r="C17" i="37"/>
  <c r="C15" i="37"/>
  <c r="B112" i="37"/>
  <c r="D107" i="37"/>
  <c r="E107" i="37" s="1"/>
  <c r="F107" i="37" s="1"/>
  <c r="G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E94" i="37" s="1"/>
  <c r="M90" i="37"/>
  <c r="L90" i="37"/>
  <c r="K90" i="37"/>
  <c r="J90" i="37"/>
  <c r="I90" i="37"/>
  <c r="H90" i="37"/>
  <c r="G90" i="37"/>
  <c r="F90" i="37"/>
  <c r="E90" i="37"/>
  <c r="D90" i="37"/>
  <c r="C90" i="37"/>
  <c r="D89" i="37"/>
  <c r="E89" i="37" s="1"/>
  <c r="F89" i="37" s="1"/>
  <c r="G89" i="37" s="1"/>
  <c r="B86" i="37"/>
  <c r="B84" i="37"/>
  <c r="B82" i="37"/>
  <c r="D79" i="37"/>
  <c r="E79" i="37" s="1"/>
  <c r="D75" i="37"/>
  <c r="E75" i="37" s="1"/>
  <c r="D73" i="37"/>
  <c r="E73" i="37"/>
  <c r="F73" i="37" s="1"/>
  <c r="D71" i="37"/>
  <c r="H15" i="37"/>
  <c r="AB15" i="37"/>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c r="Q34" i="37"/>
  <c r="Z34" i="37" s="1"/>
  <c r="Q33" i="37"/>
  <c r="Z33" i="37" s="1"/>
  <c r="Q32" i="37"/>
  <c r="Z32" i="37" s="1"/>
  <c r="Q31" i="37"/>
  <c r="Z31" i="37" s="1"/>
  <c r="J31" i="37"/>
  <c r="Q30" i="37"/>
  <c r="Z30" i="37"/>
  <c r="J30" i="37"/>
  <c r="AC30" i="37" s="1"/>
  <c r="H30" i="37"/>
  <c r="AB30" i="37" s="1"/>
  <c r="F30" i="37"/>
  <c r="AA30" i="37" s="1"/>
  <c r="Q29" i="37"/>
  <c r="Z29" i="37"/>
  <c r="H29" i="37"/>
  <c r="AB29" i="37" s="1"/>
  <c r="Q28" i="37"/>
  <c r="Z28" i="37" s="1"/>
  <c r="Q27" i="37"/>
  <c r="Z27" i="37" s="1"/>
  <c r="Q26" i="37"/>
  <c r="Z26" i="37" s="1"/>
  <c r="H26" i="37"/>
  <c r="AB26" i="37" s="1"/>
  <c r="Q25" i="37"/>
  <c r="Z25" i="37"/>
  <c r="Q23" i="37"/>
  <c r="Z23" i="37" s="1"/>
  <c r="Q19" i="37"/>
  <c r="Z19" i="37" s="1"/>
  <c r="Q17" i="37"/>
  <c r="Z17" i="37" s="1"/>
  <c r="Q15" i="37"/>
  <c r="Z15" i="37"/>
  <c r="Q14" i="37"/>
  <c r="Z14" i="37" s="1"/>
  <c r="Q13" i="37"/>
  <c r="Z13" i="37" s="1"/>
  <c r="Q12" i="37"/>
  <c r="Z12" i="37" s="1"/>
  <c r="Q11" i="37"/>
  <c r="Z11" i="37"/>
  <c r="Q10" i="37"/>
  <c r="Z10" i="37" s="1"/>
  <c r="F10" i="37"/>
  <c r="AA10" i="37" s="1"/>
  <c r="Q9" i="37"/>
  <c r="Z9" i="37" s="1"/>
  <c r="J8" i="37"/>
  <c r="W8" i="37" s="1"/>
  <c r="H8" i="37"/>
  <c r="AB8" i="37" s="1"/>
  <c r="F8" i="37"/>
  <c r="S8" i="37"/>
  <c r="J31" i="36"/>
  <c r="AC31" i="36" s="1"/>
  <c r="H31" i="36"/>
  <c r="AB31" i="36" s="1"/>
  <c r="F31" i="36"/>
  <c r="S31" i="36" s="1"/>
  <c r="M86" i="36"/>
  <c r="L86" i="36"/>
  <c r="K86" i="36"/>
  <c r="J86" i="36"/>
  <c r="I86" i="36"/>
  <c r="H86" i="36"/>
  <c r="G86" i="36"/>
  <c r="F86" i="36"/>
  <c r="E86" i="36"/>
  <c r="D86" i="36"/>
  <c r="C86" i="36"/>
  <c r="D85" i="36"/>
  <c r="H29" i="36"/>
  <c r="D81" i="36"/>
  <c r="E81" i="36" s="1"/>
  <c r="F81" i="36" s="1"/>
  <c r="G81" i="36"/>
  <c r="H81" i="36" s="1"/>
  <c r="I81" i="36" s="1"/>
  <c r="J81" i="36" s="1"/>
  <c r="K81" i="36" s="1"/>
  <c r="L81" i="36" s="1"/>
  <c r="M81" i="36" s="1"/>
  <c r="F79" i="36"/>
  <c r="E79" i="36"/>
  <c r="D79" i="36"/>
  <c r="C79" i="36"/>
  <c r="B93" i="36"/>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W25" i="36" s="1"/>
  <c r="B73" i="36"/>
  <c r="J24" i="36" s="1"/>
  <c r="AC24" i="36" s="1"/>
  <c r="B71" i="36"/>
  <c r="J23" i="36" s="1"/>
  <c r="D70" i="36"/>
  <c r="H22" i="36"/>
  <c r="AB22" i="36"/>
  <c r="D68" i="36"/>
  <c r="E68" i="36" s="1"/>
  <c r="F68" i="36"/>
  <c r="G68" i="36" s="1"/>
  <c r="D64" i="36"/>
  <c r="E64" i="36" s="1"/>
  <c r="F64" i="36"/>
  <c r="G64" i="36" s="1"/>
  <c r="J16" i="36"/>
  <c r="W16" i="36" s="1"/>
  <c r="D62" i="36"/>
  <c r="E62" i="36"/>
  <c r="F62" i="36" s="1"/>
  <c r="G62" i="36" s="1"/>
  <c r="B59" i="36"/>
  <c r="B57" i="36"/>
  <c r="H12" i="36" s="1"/>
  <c r="U12" i="36" s="1"/>
  <c r="J12" i="36"/>
  <c r="B55" i="36"/>
  <c r="C51" i="36"/>
  <c r="P37" i="36"/>
  <c r="P36" i="36"/>
  <c r="V35" i="36"/>
  <c r="T35" i="36"/>
  <c r="R35" i="36"/>
  <c r="P35" i="36"/>
  <c r="Q34" i="36"/>
  <c r="Z34" i="36"/>
  <c r="Q33" i="36"/>
  <c r="Z33" i="36"/>
  <c r="Q32" i="36"/>
  <c r="Z32" i="36"/>
  <c r="Q31" i="36"/>
  <c r="Z31" i="36"/>
  <c r="Q30" i="36"/>
  <c r="Z30" i="36"/>
  <c r="Q29" i="36"/>
  <c r="Z29" i="36" s="1"/>
  <c r="Q28" i="36"/>
  <c r="Z28" i="36" s="1"/>
  <c r="J28" i="36"/>
  <c r="AC28" i="36"/>
  <c r="Q27" i="36"/>
  <c r="Z27" i="36" s="1"/>
  <c r="Q26" i="36"/>
  <c r="Z26" i="36" s="1"/>
  <c r="H26" i="36"/>
  <c r="AB26" i="36" s="1"/>
  <c r="Q25" i="36"/>
  <c r="Z25" i="36"/>
  <c r="Q24" i="36"/>
  <c r="Z24" i="36" s="1"/>
  <c r="H24" i="36"/>
  <c r="AB24" i="36" s="1"/>
  <c r="Q23" i="36"/>
  <c r="Z23" i="36" s="1"/>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J36" i="35" s="1"/>
  <c r="H36" i="35"/>
  <c r="AB36" i="35" s="1"/>
  <c r="B99" i="35"/>
  <c r="B97" i="35"/>
  <c r="B77" i="35"/>
  <c r="B75" i="35"/>
  <c r="J24" i="35" s="1"/>
  <c r="AC24" i="35" s="1"/>
  <c r="B73" i="35"/>
  <c r="J23" i="35" s="1"/>
  <c r="AC23" i="35" s="1"/>
  <c r="B57" i="35"/>
  <c r="B61" i="35"/>
  <c r="F13" i="35" s="1"/>
  <c r="B59" i="35"/>
  <c r="H12" i="35" s="1"/>
  <c r="U12" i="35" s="1"/>
  <c r="B131" i="34"/>
  <c r="J47" i="34" s="1"/>
  <c r="B129" i="34"/>
  <c r="H46" i="34" s="1"/>
  <c r="AB46" i="34" s="1"/>
  <c r="B127" i="34"/>
  <c r="B99" i="34"/>
  <c r="B97" i="34"/>
  <c r="J31" i="34" s="1"/>
  <c r="AC31" i="34" s="1"/>
  <c r="B95" i="34"/>
  <c r="H30" i="34" s="1"/>
  <c r="B93" i="34"/>
  <c r="J29" i="34" s="1"/>
  <c r="B75" i="34"/>
  <c r="B73" i="34"/>
  <c r="B71" i="34"/>
  <c r="H12" i="34" s="1"/>
  <c r="J12" i="34"/>
  <c r="W12" i="34" s="1"/>
  <c r="B130" i="33"/>
  <c r="B128" i="33"/>
  <c r="H45" i="33" s="1"/>
  <c r="U45" i="33" s="1"/>
  <c r="B126" i="33"/>
  <c r="F44" i="33" s="1"/>
  <c r="AA44" i="33" s="1"/>
  <c r="B98" i="33"/>
  <c r="B96" i="33"/>
  <c r="B94" i="33"/>
  <c r="B74" i="33"/>
  <c r="H14" i="33" s="1"/>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AC36" i="35"/>
  <c r="Q35" i="35"/>
  <c r="Z35" i="35" s="1"/>
  <c r="Q34" i="35"/>
  <c r="Z34" i="35" s="1"/>
  <c r="H34" i="35"/>
  <c r="AB34" i="35" s="1"/>
  <c r="Q33" i="35"/>
  <c r="Z33" i="35"/>
  <c r="Q32" i="35"/>
  <c r="Z32" i="35" s="1"/>
  <c r="H32" i="35"/>
  <c r="AB32" i="35" s="1"/>
  <c r="F32" i="35"/>
  <c r="AA32" i="35" s="1"/>
  <c r="Q31" i="35"/>
  <c r="Z31" i="35"/>
  <c r="AB31" i="35"/>
  <c r="Q30" i="35"/>
  <c r="Z30" i="35"/>
  <c r="Q29" i="35"/>
  <c r="Z29" i="35" s="1"/>
  <c r="Q28" i="35"/>
  <c r="Z28" i="35" s="1"/>
  <c r="J28" i="35"/>
  <c r="H28" i="35"/>
  <c r="AB28" i="35"/>
  <c r="F28" i="35"/>
  <c r="AA28" i="35" s="1"/>
  <c r="Q27" i="35"/>
  <c r="Z27" i="35" s="1"/>
  <c r="Q26" i="35"/>
  <c r="Z26" i="35" s="1"/>
  <c r="Q25" i="35"/>
  <c r="Z25" i="35"/>
  <c r="Q24" i="35"/>
  <c r="Z24" i="35" s="1"/>
  <c r="Q23" i="35"/>
  <c r="Z23" i="35" s="1"/>
  <c r="Q22" i="35"/>
  <c r="Z22" i="35" s="1"/>
  <c r="Q20" i="35"/>
  <c r="Z20" i="35"/>
  <c r="Q16" i="35"/>
  <c r="Z16" i="35" s="1"/>
  <c r="Q14" i="35"/>
  <c r="Z14" i="35" s="1"/>
  <c r="Q13" i="35"/>
  <c r="Z13" i="35" s="1"/>
  <c r="Q12" i="35"/>
  <c r="Z12" i="35"/>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c r="Q14" i="34"/>
  <c r="Z14" i="34" s="1"/>
  <c r="Q13" i="34"/>
  <c r="Z13" i="34" s="1"/>
  <c r="Q12" i="34"/>
  <c r="Z12" i="34" s="1"/>
  <c r="F12" i="34"/>
  <c r="S12" i="34"/>
  <c r="Q11" i="34"/>
  <c r="Z11" i="34"/>
  <c r="Q10" i="34"/>
  <c r="Z10" i="34"/>
  <c r="F10" i="34"/>
  <c r="AA10" i="34"/>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c r="F106" i="33" s="1"/>
  <c r="M102" i="33"/>
  <c r="L102" i="33"/>
  <c r="K102" i="33"/>
  <c r="J102" i="33"/>
  <c r="I102" i="33"/>
  <c r="H102" i="33"/>
  <c r="G102" i="33"/>
  <c r="F102" i="33"/>
  <c r="E102" i="33"/>
  <c r="D102" i="33"/>
  <c r="C102" i="33"/>
  <c r="D101" i="33"/>
  <c r="E101" i="33" s="1"/>
  <c r="B92" i="33"/>
  <c r="B90" i="33"/>
  <c r="F27" i="33" s="1"/>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54" i="33"/>
  <c r="P49" i="33"/>
  <c r="P48" i="33"/>
  <c r="V47" i="33"/>
  <c r="T47" i="33"/>
  <c r="R47" i="33"/>
  <c r="P47" i="33"/>
  <c r="Q46" i="33"/>
  <c r="Z46" i="33"/>
  <c r="Q45" i="33"/>
  <c r="Z45" i="33" s="1"/>
  <c r="Q44" i="33"/>
  <c r="Z44" i="33" s="1"/>
  <c r="Q43" i="33"/>
  <c r="Z43" i="33" s="1"/>
  <c r="Q42" i="33"/>
  <c r="Z42" i="33"/>
  <c r="J42" i="33"/>
  <c r="AC42" i="33" s="1"/>
  <c r="Q41" i="33"/>
  <c r="Z41" i="33" s="1"/>
  <c r="Q40" i="33"/>
  <c r="Z40" i="33"/>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U35" i="33" s="1"/>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8" i="33"/>
  <c r="AC8" i="33"/>
  <c r="H8" i="33"/>
  <c r="AB8" i="33"/>
  <c r="F8" i="33"/>
  <c r="AA8" i="33"/>
  <c r="M102" i="21"/>
  <c r="D102" i="21"/>
  <c r="E102" i="21"/>
  <c r="F102" i="21"/>
  <c r="G102" i="21"/>
  <c r="H102" i="21"/>
  <c r="I102" i="21"/>
  <c r="J102" i="21"/>
  <c r="K102" i="21"/>
  <c r="L102" i="21"/>
  <c r="C102" i="21"/>
  <c r="C63" i="21"/>
  <c r="F9" i="21" s="1"/>
  <c r="G18" i="20"/>
  <c r="B90" i="43" s="1"/>
  <c r="G19" i="20"/>
  <c r="B87" i="43"/>
  <c r="G16" i="20"/>
  <c r="B84" i="43" s="1"/>
  <c r="G15" i="20"/>
  <c r="B83" i="43" s="1"/>
  <c r="C24" i="20"/>
  <c r="B97" i="43" s="1"/>
  <c r="C21" i="20"/>
  <c r="B99" i="43"/>
  <c r="C20" i="20"/>
  <c r="B79" i="43" s="1"/>
  <c r="B101" i="43"/>
  <c r="C18" i="20"/>
  <c r="B94" i="43" s="1"/>
  <c r="C17" i="20"/>
  <c r="B61" i="43"/>
  <c r="C16" i="20"/>
  <c r="C17" i="39" s="1"/>
  <c r="C15" i="20"/>
  <c r="E54" i="21"/>
  <c r="F54" i="21" s="1"/>
  <c r="I54" i="21"/>
  <c r="J54" i="21" s="1"/>
  <c r="G54" i="21"/>
  <c r="H54" i="21" s="1"/>
  <c r="E123" i="21"/>
  <c r="F123" i="21"/>
  <c r="G123" i="21" s="1"/>
  <c r="H123" i="21" s="1"/>
  <c r="I123" i="21" s="1"/>
  <c r="J123" i="21" s="1"/>
  <c r="K123" i="21" s="1"/>
  <c r="L123" i="21" s="1"/>
  <c r="M123" i="21" s="1"/>
  <c r="D119" i="21"/>
  <c r="F40" i="21" s="1"/>
  <c r="AA40" i="21" s="1"/>
  <c r="D117" i="21"/>
  <c r="E117" i="21" s="1"/>
  <c r="D115" i="21"/>
  <c r="E115" i="21" s="1"/>
  <c r="F115" i="21"/>
  <c r="G115" i="21" s="1"/>
  <c r="H115" i="21" s="1"/>
  <c r="I115" i="21" s="1"/>
  <c r="J115" i="21" s="1"/>
  <c r="K115" i="21" s="1"/>
  <c r="L115" i="21" s="1"/>
  <c r="M115" i="21" s="1"/>
  <c r="D108" i="21"/>
  <c r="E108" i="21" s="1"/>
  <c r="F108" i="21" s="1"/>
  <c r="G108" i="21" s="1"/>
  <c r="H108" i="21" s="1"/>
  <c r="I108" i="21" s="1"/>
  <c r="J108" i="21" s="1"/>
  <c r="K108" i="21" s="1"/>
  <c r="L108" i="21" s="1"/>
  <c r="M108" i="21" s="1"/>
  <c r="G106" i="21"/>
  <c r="H106" i="21" s="1"/>
  <c r="I106" i="21" s="1"/>
  <c r="J106" i="21" s="1"/>
  <c r="K106" i="21" s="1"/>
  <c r="L106" i="21" s="1"/>
  <c r="M106" i="21" s="1"/>
  <c r="D89" i="21"/>
  <c r="E89" i="21" s="1"/>
  <c r="F89" i="21" s="1"/>
  <c r="G89" i="21" s="1"/>
  <c r="H89" i="21" s="1"/>
  <c r="D67" i="21"/>
  <c r="E67" i="21"/>
  <c r="F67" i="21"/>
  <c r="G67" i="21"/>
  <c r="H67" i="21"/>
  <c r="I67" i="21"/>
  <c r="J67" i="21"/>
  <c r="K67" i="21"/>
  <c r="L67" i="21"/>
  <c r="M67" i="21"/>
  <c r="C67" i="21"/>
  <c r="D69" i="21"/>
  <c r="E69" i="21" s="1"/>
  <c r="D111" i="21"/>
  <c r="E111" i="21"/>
  <c r="F111" i="21"/>
  <c r="C111" i="21"/>
  <c r="D79" i="21"/>
  <c r="E79" i="21"/>
  <c r="F79" i="21" s="1"/>
  <c r="G79" i="21" s="1"/>
  <c r="D85" i="21"/>
  <c r="F19" i="21"/>
  <c r="S19" i="21" s="1"/>
  <c r="E81" i="21"/>
  <c r="F81" i="21" s="1"/>
  <c r="G81" i="21" s="1"/>
  <c r="D77" i="21"/>
  <c r="E77" i="21"/>
  <c r="F77" i="21" s="1"/>
  <c r="G77" i="21" s="1"/>
  <c r="B130" i="21"/>
  <c r="F46" i="21" s="1"/>
  <c r="AA46" i="21" s="1"/>
  <c r="B128" i="21"/>
  <c r="J45" i="21" s="1"/>
  <c r="W45" i="21" s="1"/>
  <c r="B126" i="21"/>
  <c r="J44" i="21" s="1"/>
  <c r="B98" i="21"/>
  <c r="H31" i="21" s="1"/>
  <c r="B96" i="21"/>
  <c r="B94" i="21"/>
  <c r="B92" i="21"/>
  <c r="B90" i="21"/>
  <c r="J27" i="21"/>
  <c r="AC27" i="21" s="1"/>
  <c r="B74" i="21"/>
  <c r="J14" i="21" s="1"/>
  <c r="B72" i="21"/>
  <c r="H13" i="21" s="1"/>
  <c r="B70" i="21"/>
  <c r="F12" i="21" s="1"/>
  <c r="C19" i="21"/>
  <c r="C17" i="21"/>
  <c r="C23" i="21"/>
  <c r="Q9" i="21"/>
  <c r="Z9" i="21"/>
  <c r="Q10" i="21"/>
  <c r="Z10" i="21" s="1"/>
  <c r="Q11" i="21"/>
  <c r="Z11" i="21" s="1"/>
  <c r="Q12" i="21"/>
  <c r="Z12" i="21" s="1"/>
  <c r="Q13" i="21"/>
  <c r="Z13" i="21"/>
  <c r="Q14" i="21"/>
  <c r="Z14" i="21" s="1"/>
  <c r="Q15" i="21"/>
  <c r="Z15" i="21" s="1"/>
  <c r="Q17" i="21"/>
  <c r="Z17" i="21" s="1"/>
  <c r="Q19" i="21"/>
  <c r="Z19" i="21"/>
  <c r="Q23" i="21"/>
  <c r="Z23" i="21" s="1"/>
  <c r="Q25" i="21"/>
  <c r="Z25" i="21" s="1"/>
  <c r="Q26" i="21"/>
  <c r="Z26" i="21" s="1"/>
  <c r="Q27" i="21"/>
  <c r="Z27" i="21" s="1"/>
  <c r="Q28" i="21"/>
  <c r="Z28" i="21"/>
  <c r="Q29" i="21"/>
  <c r="Z29" i="21" s="1"/>
  <c r="Q30" i="21"/>
  <c r="Z30" i="21" s="1"/>
  <c r="Q31" i="21"/>
  <c r="Z31" i="21" s="1"/>
  <c r="Q32" i="21"/>
  <c r="Z32" i="21"/>
  <c r="Q33" i="21"/>
  <c r="Z33" i="21" s="1"/>
  <c r="Q34" i="21"/>
  <c r="Z34" i="21" s="1"/>
  <c r="J35" i="21"/>
  <c r="W35" i="21" s="1"/>
  <c r="Q35" i="21"/>
  <c r="Z35" i="21"/>
  <c r="Q36" i="21"/>
  <c r="Z36" i="21" s="1"/>
  <c r="Q37" i="21"/>
  <c r="Z37" i="21" s="1"/>
  <c r="J38" i="21"/>
  <c r="AC38" i="21" s="1"/>
  <c r="Q38" i="21"/>
  <c r="Z38" i="21"/>
  <c r="Q39" i="21"/>
  <c r="Z39" i="21" s="1"/>
  <c r="Q40" i="21"/>
  <c r="Z40" i="21" s="1"/>
  <c r="Q41" i="21"/>
  <c r="Z41" i="21"/>
  <c r="Q42" i="21"/>
  <c r="Z42" i="21" s="1"/>
  <c r="Q43" i="21"/>
  <c r="Z43" i="21" s="1"/>
  <c r="Q44" i="21"/>
  <c r="Z44" i="21" s="1"/>
  <c r="Q45" i="21"/>
  <c r="Z45" i="21"/>
  <c r="Q46" i="21"/>
  <c r="Z46" i="21"/>
  <c r="P47" i="21"/>
  <c r="R47" i="21"/>
  <c r="V47" i="21"/>
  <c r="P48" i="21"/>
  <c r="P49" i="21"/>
  <c r="F8" i="21"/>
  <c r="S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U34" i="21"/>
  <c r="H38" i="21"/>
  <c r="AB38" i="21"/>
  <c r="F38" i="21"/>
  <c r="AA38" i="21"/>
  <c r="H35" i="21"/>
  <c r="AB35" i="21"/>
  <c r="J8" i="21"/>
  <c r="AC8" i="21"/>
  <c r="H8" i="21"/>
  <c r="U8" i="21"/>
  <c r="H10" i="21"/>
  <c r="AB10" i="21"/>
  <c r="H39" i="21"/>
  <c r="U39" i="21"/>
  <c r="F35" i="21"/>
  <c r="AA35" i="21"/>
  <c r="J10" i="21"/>
  <c r="AC10" i="21"/>
  <c r="J19" i="21"/>
  <c r="W19" i="21" s="1"/>
  <c r="AC19" i="21"/>
  <c r="AA41" i="21"/>
  <c r="F45" i="39"/>
  <c r="S45" i="39" s="1"/>
  <c r="J44" i="39"/>
  <c r="AC44" i="39" s="1"/>
  <c r="J35" i="39"/>
  <c r="AC35" i="39" s="1"/>
  <c r="F35" i="39"/>
  <c r="AA35" i="39" s="1"/>
  <c r="U30" i="37"/>
  <c r="F29" i="36"/>
  <c r="AA29" i="36" s="1"/>
  <c r="F16" i="36"/>
  <c r="AA16" i="36"/>
  <c r="W28" i="36"/>
  <c r="U31" i="36"/>
  <c r="H22" i="35"/>
  <c r="AB22" i="35" s="1"/>
  <c r="AC27" i="35"/>
  <c r="U31" i="35"/>
  <c r="W22" i="35"/>
  <c r="F36" i="34"/>
  <c r="J35" i="34"/>
  <c r="U34" i="34"/>
  <c r="H39" i="33"/>
  <c r="AB39" i="33" s="1"/>
  <c r="F26" i="33"/>
  <c r="AA26" i="33"/>
  <c r="U33" i="33"/>
  <c r="W33" i="33"/>
  <c r="W39" i="33"/>
  <c r="H39" i="37"/>
  <c r="AB39" i="37" s="1"/>
  <c r="S27" i="35"/>
  <c r="F11" i="40"/>
  <c r="AA11" i="40" s="1"/>
  <c r="H11" i="40"/>
  <c r="AB11" i="40" s="1"/>
  <c r="W8" i="40"/>
  <c r="AA9" i="40"/>
  <c r="U9" i="40"/>
  <c r="S34" i="40"/>
  <c r="U34" i="40"/>
  <c r="F42" i="39"/>
  <c r="AA42" i="39"/>
  <c r="F41" i="39"/>
  <c r="S41" i="39"/>
  <c r="H40" i="39"/>
  <c r="AB40" i="39"/>
  <c r="H39" i="39"/>
  <c r="U39" i="39"/>
  <c r="S34" i="39"/>
  <c r="H34" i="39"/>
  <c r="U34" i="39"/>
  <c r="F31" i="39"/>
  <c r="AA31" i="39"/>
  <c r="E100" i="39"/>
  <c r="H19" i="39"/>
  <c r="AB19" i="39" s="1"/>
  <c r="F19" i="39"/>
  <c r="AA19" i="39" s="1"/>
  <c r="H17" i="39"/>
  <c r="AB17" i="39" s="1"/>
  <c r="F17" i="39"/>
  <c r="AA17" i="39" s="1"/>
  <c r="J23" i="40"/>
  <c r="AC23" i="40" s="1"/>
  <c r="F21" i="40"/>
  <c r="S21" i="40" s="1"/>
  <c r="J21" i="40"/>
  <c r="W21" i="40" s="1"/>
  <c r="H42" i="39"/>
  <c r="AB42" i="39" s="1"/>
  <c r="J34" i="39"/>
  <c r="AC34" i="39" s="1"/>
  <c r="J31" i="39"/>
  <c r="F100" i="39"/>
  <c r="H27" i="39"/>
  <c r="U27" i="39" s="1"/>
  <c r="J19" i="39"/>
  <c r="AC19" i="39" s="1"/>
  <c r="J17" i="39"/>
  <c r="J27" i="39"/>
  <c r="AC27" i="39"/>
  <c r="F27" i="39"/>
  <c r="C25" i="39"/>
  <c r="H11" i="39"/>
  <c r="S40" i="39"/>
  <c r="H32" i="33"/>
  <c r="AB32" i="33" s="1"/>
  <c r="H37" i="40"/>
  <c r="U37" i="40" s="1"/>
  <c r="H36" i="40"/>
  <c r="AB36" i="40" s="1"/>
  <c r="F35" i="40"/>
  <c r="AA35" i="40" s="1"/>
  <c r="H23" i="40"/>
  <c r="AB23" i="40" s="1"/>
  <c r="H17" i="40"/>
  <c r="U17" i="40" s="1"/>
  <c r="J15" i="40"/>
  <c r="W15" i="40" s="1"/>
  <c r="J11" i="40"/>
  <c r="AC11" i="40" s="1"/>
  <c r="AB12" i="35"/>
  <c r="AB12" i="36"/>
  <c r="W32" i="40"/>
  <c r="F37" i="39"/>
  <c r="S37" i="39" s="1"/>
  <c r="J34" i="36"/>
  <c r="W34" i="36" s="1"/>
  <c r="J30" i="35"/>
  <c r="W30" i="35" s="1"/>
  <c r="H30" i="35"/>
  <c r="AB30" i="35"/>
  <c r="F22" i="35"/>
  <c r="AA22" i="35" s="1"/>
  <c r="H10" i="35"/>
  <c r="U10" i="35" s="1"/>
  <c r="F33" i="36"/>
  <c r="AA33" i="36" s="1"/>
  <c r="H16" i="36"/>
  <c r="AB16" i="36" s="1"/>
  <c r="E85" i="36"/>
  <c r="F85" i="36" s="1"/>
  <c r="G85" i="36" s="1"/>
  <c r="H85" i="36" s="1"/>
  <c r="I85" i="36" s="1"/>
  <c r="J85" i="36" s="1"/>
  <c r="K85" i="36" s="1"/>
  <c r="L85" i="36" s="1"/>
  <c r="M85" i="36" s="1"/>
  <c r="J29" i="36"/>
  <c r="AC29" i="36"/>
  <c r="F12" i="36"/>
  <c r="S12" i="36" s="1"/>
  <c r="F34" i="36"/>
  <c r="S34" i="36" s="1"/>
  <c r="F14" i="35"/>
  <c r="AA14" i="35" s="1"/>
  <c r="F23" i="35"/>
  <c r="S23" i="35" s="1"/>
  <c r="J32" i="35"/>
  <c r="AC32" i="35" s="1"/>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AB34" i="37"/>
  <c r="J33" i="37"/>
  <c r="AC33" i="37" s="1"/>
  <c r="U42" i="34"/>
  <c r="H40" i="34"/>
  <c r="U40" i="34" s="1"/>
  <c r="E114" i="34"/>
  <c r="F114" i="34" s="1"/>
  <c r="G114" i="34" s="1"/>
  <c r="H114" i="34" s="1"/>
  <c r="I114" i="34" s="1"/>
  <c r="J114" i="34" s="1"/>
  <c r="K114" i="34" s="1"/>
  <c r="L114" i="34" s="1"/>
  <c r="M114" i="34" s="1"/>
  <c r="H36" i="34"/>
  <c r="U36" i="34" s="1"/>
  <c r="F37" i="34"/>
  <c r="AA37" i="34" s="1"/>
  <c r="S35" i="34"/>
  <c r="F25" i="34"/>
  <c r="S25" i="34"/>
  <c r="H23" i="34"/>
  <c r="U23" i="34" s="1"/>
  <c r="J23" i="34"/>
  <c r="F19" i="34"/>
  <c r="H17" i="34"/>
  <c r="U17" i="34" s="1"/>
  <c r="F15" i="34"/>
  <c r="AA15" i="34"/>
  <c r="J15" i="34"/>
  <c r="W15" i="34" s="1"/>
  <c r="H15" i="34"/>
  <c r="AB15" i="34" s="1"/>
  <c r="W8" i="34"/>
  <c r="F41" i="33"/>
  <c r="AA41" i="33"/>
  <c r="S38" i="33"/>
  <c r="E113" i="33"/>
  <c r="F113" i="33" s="1"/>
  <c r="G113" i="33" s="1"/>
  <c r="H113" i="33" s="1"/>
  <c r="I113" i="33" s="1"/>
  <c r="J113" i="33" s="1"/>
  <c r="K113" i="33" s="1"/>
  <c r="L113" i="33" s="1"/>
  <c r="M113" i="33" s="1"/>
  <c r="F32" i="33"/>
  <c r="AA32" i="33"/>
  <c r="J19" i="33"/>
  <c r="AC19" i="33" s="1"/>
  <c r="J15" i="33"/>
  <c r="AC15" i="33" s="1"/>
  <c r="F11" i="33"/>
  <c r="AA11" i="33" s="1"/>
  <c r="S26" i="33"/>
  <c r="W40" i="33"/>
  <c r="F37" i="40"/>
  <c r="AA37" i="40" s="1"/>
  <c r="F36" i="40"/>
  <c r="AA36" i="40" s="1"/>
  <c r="H28" i="40"/>
  <c r="U28" i="40" s="1"/>
  <c r="F23" i="40"/>
  <c r="F17" i="40"/>
  <c r="AA17" i="40" s="1"/>
  <c r="J17" i="40"/>
  <c r="W17" i="40" s="1"/>
  <c r="F15" i="40"/>
  <c r="S15" i="40" s="1"/>
  <c r="H15" i="40"/>
  <c r="AB15" i="40" s="1"/>
  <c r="AA12" i="36"/>
  <c r="AB30" i="36"/>
  <c r="F29" i="35"/>
  <c r="S29" i="35" s="1"/>
  <c r="H29" i="35"/>
  <c r="AB29" i="35" s="1"/>
  <c r="H33" i="37"/>
  <c r="F33" i="37"/>
  <c r="AA33" i="37" s="1"/>
  <c r="S34" i="37"/>
  <c r="AA34" i="37"/>
  <c r="J43" i="34"/>
  <c r="AB42" i="34"/>
  <c r="J40" i="34"/>
  <c r="H38" i="34"/>
  <c r="AB38" i="34" s="1"/>
  <c r="J36" i="34"/>
  <c r="W36" i="34" s="1"/>
  <c r="H37" i="34"/>
  <c r="U37" i="34"/>
  <c r="H25" i="34"/>
  <c r="AB25" i="34" s="1"/>
  <c r="J25" i="34"/>
  <c r="AC25" i="34" s="1"/>
  <c r="AB23" i="34"/>
  <c r="F23" i="34"/>
  <c r="AA23" i="34" s="1"/>
  <c r="J19" i="34"/>
  <c r="AC19" i="34" s="1"/>
  <c r="F17" i="34"/>
  <c r="AA17" i="34" s="1"/>
  <c r="J17" i="34"/>
  <c r="AC17" i="34" s="1"/>
  <c r="S41" i="33"/>
  <c r="H37" i="33"/>
  <c r="AB37" i="33" s="1"/>
  <c r="H15" i="33"/>
  <c r="AB15" i="33" s="1"/>
  <c r="H11" i="33"/>
  <c r="AB11" i="33" s="1"/>
  <c r="F28" i="40"/>
  <c r="AA28" i="40" s="1"/>
  <c r="AA42" i="34"/>
  <c r="AC38" i="34"/>
  <c r="AA38" i="34"/>
  <c r="J37" i="34"/>
  <c r="AC37" i="34" s="1"/>
  <c r="J11" i="33"/>
  <c r="W11" i="33"/>
  <c r="J44" i="34"/>
  <c r="F44" i="34"/>
  <c r="AA44" i="34"/>
  <c r="J10" i="35"/>
  <c r="AC10" i="35" s="1"/>
  <c r="W14" i="21"/>
  <c r="F14" i="21"/>
  <c r="S14" i="21" s="1"/>
  <c r="H28" i="21"/>
  <c r="AB28" i="21" s="1"/>
  <c r="F28" i="21"/>
  <c r="AA28" i="21" s="1"/>
  <c r="J28" i="21"/>
  <c r="W28" i="21" s="1"/>
  <c r="H30" i="21"/>
  <c r="AB30" i="21"/>
  <c r="F30" i="21"/>
  <c r="S30" i="21" s="1"/>
  <c r="J30" i="21"/>
  <c r="AC30" i="21" s="1"/>
  <c r="J46" i="21"/>
  <c r="E119" i="21"/>
  <c r="F119" i="21"/>
  <c r="G119" i="21" s="1"/>
  <c r="H119" i="21" s="1"/>
  <c r="I119" i="21" s="1"/>
  <c r="J119" i="21" s="1"/>
  <c r="K119" i="21" s="1"/>
  <c r="L119" i="21" s="1"/>
  <c r="M119" i="21" s="1"/>
  <c r="H26" i="33"/>
  <c r="H28" i="33"/>
  <c r="U28" i="33" s="1"/>
  <c r="F28" i="33"/>
  <c r="AA28" i="33" s="1"/>
  <c r="J28" i="33"/>
  <c r="W28" i="33"/>
  <c r="F33" i="35"/>
  <c r="J33" i="35"/>
  <c r="AC33" i="35"/>
  <c r="F30" i="35"/>
  <c r="S30" i="35" s="1"/>
  <c r="E89" i="35"/>
  <c r="F89" i="35" s="1"/>
  <c r="G89" i="35"/>
  <c r="H89" i="35" s="1"/>
  <c r="I89" i="35" s="1"/>
  <c r="J89" i="35" s="1"/>
  <c r="K89" i="35" s="1"/>
  <c r="L89" i="35" s="1"/>
  <c r="M89" i="35" s="1"/>
  <c r="H10" i="36"/>
  <c r="AB10" i="36" s="1"/>
  <c r="J14" i="36"/>
  <c r="AC14" i="36" s="1"/>
  <c r="H14" i="36"/>
  <c r="U14" i="36" s="1"/>
  <c r="F28" i="36"/>
  <c r="AA28" i="36" s="1"/>
  <c r="H27" i="21"/>
  <c r="U27" i="21" s="1"/>
  <c r="F27" i="21"/>
  <c r="AA27" i="21" s="1"/>
  <c r="F31" i="21"/>
  <c r="S31" i="21" s="1"/>
  <c r="AA27" i="33"/>
  <c r="J13" i="33"/>
  <c r="H13" i="33"/>
  <c r="U13" i="33" s="1"/>
  <c r="F13" i="33"/>
  <c r="S13" i="33" s="1"/>
  <c r="H29" i="33"/>
  <c r="U29" i="33" s="1"/>
  <c r="J31" i="33"/>
  <c r="W31" i="33" s="1"/>
  <c r="H31" i="33"/>
  <c r="F31" i="33"/>
  <c r="J45" i="33"/>
  <c r="W45" i="33" s="1"/>
  <c r="F45" i="33"/>
  <c r="AA45" i="33" s="1"/>
  <c r="J14" i="34"/>
  <c r="W14" i="34" s="1"/>
  <c r="F14" i="34"/>
  <c r="AA14" i="34" s="1"/>
  <c r="S14" i="34"/>
  <c r="H14" i="34"/>
  <c r="F30" i="34"/>
  <c r="S30" i="34"/>
  <c r="J30" i="34"/>
  <c r="H32" i="34"/>
  <c r="F32" i="34"/>
  <c r="J32" i="34"/>
  <c r="W32" i="34" s="1"/>
  <c r="U46" i="34"/>
  <c r="F46" i="34"/>
  <c r="J46" i="34"/>
  <c r="H11" i="35"/>
  <c r="AB11" i="35"/>
  <c r="J11" i="35"/>
  <c r="F11" i="35"/>
  <c r="S11" i="35"/>
  <c r="J26" i="36"/>
  <c r="W26" i="36" s="1"/>
  <c r="H28" i="36"/>
  <c r="U28" i="36" s="1"/>
  <c r="J32" i="36"/>
  <c r="W32" i="36" s="1"/>
  <c r="J11" i="36"/>
  <c r="AC11" i="36" s="1"/>
  <c r="H11" i="36"/>
  <c r="U11" i="36"/>
  <c r="F11" i="36"/>
  <c r="H13" i="36"/>
  <c r="AB13" i="36" s="1"/>
  <c r="J13" i="36"/>
  <c r="F13" i="36"/>
  <c r="S13" i="36" s="1"/>
  <c r="H89" i="37"/>
  <c r="I89" i="37" s="1"/>
  <c r="J89" i="37" s="1"/>
  <c r="K89" i="37" s="1"/>
  <c r="L89" i="37" s="1"/>
  <c r="M89" i="37" s="1"/>
  <c r="J29" i="37"/>
  <c r="W29" i="37" s="1"/>
  <c r="F29" i="37"/>
  <c r="S29" i="37" s="1"/>
  <c r="F105" i="37"/>
  <c r="G105" i="37" s="1"/>
  <c r="H36" i="37"/>
  <c r="AB36" i="37" s="1"/>
  <c r="J37" i="37"/>
  <c r="AC37" i="37"/>
  <c r="H37" i="37"/>
  <c r="U37" i="37" s="1"/>
  <c r="H40" i="37"/>
  <c r="U40" i="37" s="1"/>
  <c r="J40" i="37"/>
  <c r="F40" i="37"/>
  <c r="AA40" i="37" s="1"/>
  <c r="W12" i="40"/>
  <c r="U14" i="33"/>
  <c r="F14" i="33"/>
  <c r="S14" i="33" s="1"/>
  <c r="H30" i="33"/>
  <c r="AB30" i="33"/>
  <c r="F30" i="33"/>
  <c r="J30" i="33"/>
  <c r="H44" i="33"/>
  <c r="J44" i="33"/>
  <c r="S44" i="33"/>
  <c r="J46" i="33"/>
  <c r="AC46" i="33" s="1"/>
  <c r="F46" i="33"/>
  <c r="AA46" i="33"/>
  <c r="H46" i="33"/>
  <c r="AB46" i="33" s="1"/>
  <c r="H13" i="34"/>
  <c r="U13" i="34" s="1"/>
  <c r="J13" i="34"/>
  <c r="W13" i="34" s="1"/>
  <c r="F13" i="34"/>
  <c r="AA13" i="34" s="1"/>
  <c r="F29" i="34"/>
  <c r="S29" i="34" s="1"/>
  <c r="H29" i="34"/>
  <c r="AB29" i="34" s="1"/>
  <c r="H31" i="34"/>
  <c r="F31" i="34"/>
  <c r="S31" i="34" s="1"/>
  <c r="H47" i="34"/>
  <c r="U47" i="34" s="1"/>
  <c r="F47" i="34"/>
  <c r="S47" i="34"/>
  <c r="J13" i="35"/>
  <c r="AC13" i="35" s="1"/>
  <c r="H13" i="35"/>
  <c r="U13" i="35" s="1"/>
  <c r="J25" i="35"/>
  <c r="W25" i="35"/>
  <c r="F25" i="35"/>
  <c r="S25" i="35" s="1"/>
  <c r="H25" i="35"/>
  <c r="AB25" i="35" s="1"/>
  <c r="J35" i="35"/>
  <c r="AC35" i="35" s="1"/>
  <c r="F35" i="35"/>
  <c r="AA35" i="35" s="1"/>
  <c r="H35" i="35"/>
  <c r="F25" i="36"/>
  <c r="H13" i="37"/>
  <c r="AB13" i="37" s="1"/>
  <c r="F13" i="37"/>
  <c r="S13" i="37" s="1"/>
  <c r="J13" i="37"/>
  <c r="W13" i="37" s="1"/>
  <c r="F28" i="37"/>
  <c r="AA28" i="37"/>
  <c r="J28" i="37"/>
  <c r="H28" i="37"/>
  <c r="H38" i="37"/>
  <c r="AB38" i="37"/>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F13" i="40"/>
  <c r="AA13" i="40"/>
  <c r="F14" i="37"/>
  <c r="S14" i="37" s="1"/>
  <c r="F13" i="39"/>
  <c r="H14" i="40"/>
  <c r="AB14" i="40" s="1"/>
  <c r="J14" i="40"/>
  <c r="W14" i="40" s="1"/>
  <c r="F14" i="40"/>
  <c r="AA14" i="40" s="1"/>
  <c r="J14" i="37"/>
  <c r="J27" i="37"/>
  <c r="AC27" i="37" s="1"/>
  <c r="U46" i="33"/>
  <c r="J36" i="37"/>
  <c r="AC36" i="37" s="1"/>
  <c r="J10" i="36"/>
  <c r="AC10" i="36" s="1"/>
  <c r="W31" i="34"/>
  <c r="S45" i="33"/>
  <c r="AB45" i="33"/>
  <c r="S44" i="34"/>
  <c r="F17" i="21"/>
  <c r="S17" i="21" s="1"/>
  <c r="H17" i="21"/>
  <c r="AB17" i="21" s="1"/>
  <c r="F15" i="21"/>
  <c r="S15" i="21" s="1"/>
  <c r="J41" i="39"/>
  <c r="W41" i="39"/>
  <c r="W44" i="39"/>
  <c r="G540" i="3"/>
  <c r="G536"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54" i="3"/>
  <c r="BL546" i="3"/>
  <c r="BL542" i="3"/>
  <c r="BL534" i="3"/>
  <c r="BL530" i="3"/>
  <c r="BL526" i="3"/>
  <c r="BL522" i="3"/>
  <c r="BL516" i="3"/>
  <c r="BL512" i="3"/>
  <c r="BL506" i="3"/>
  <c r="BL502" i="3"/>
  <c r="BA502" i="3"/>
  <c r="AZ502" i="3" s="1"/>
  <c r="BL498" i="3"/>
  <c r="BL494" i="3"/>
  <c r="BL582" i="3"/>
  <c r="BL578" i="3"/>
  <c r="BL574" i="3"/>
  <c r="BL570" i="3"/>
  <c r="BL566" i="3"/>
  <c r="BL562" i="3"/>
  <c r="BL556" i="3"/>
  <c r="BL552" i="3"/>
  <c r="BL544" i="3"/>
  <c r="BL540" i="3"/>
  <c r="BA540" i="3"/>
  <c r="BL536" i="3"/>
  <c r="G533" i="3"/>
  <c r="BL532" i="3"/>
  <c r="G529" i="3"/>
  <c r="BL528" i="3"/>
  <c r="G525" i="3"/>
  <c r="BL524" i="3"/>
  <c r="BL518" i="3"/>
  <c r="BL514" i="3"/>
  <c r="BL510" i="3"/>
  <c r="BL504" i="3"/>
  <c r="BL500" i="3"/>
  <c r="AZ500" i="3" s="1"/>
  <c r="BL496" i="3"/>
  <c r="G493" i="3"/>
  <c r="BA584" i="3"/>
  <c r="BA580" i="3"/>
  <c r="AZ580" i="3" s="1"/>
  <c r="BA578" i="3"/>
  <c r="BA576" i="3"/>
  <c r="AZ576" i="3" s="1"/>
  <c r="BA574" i="3"/>
  <c r="BA572" i="3"/>
  <c r="AZ572" i="3" s="1"/>
  <c r="BA570" i="3"/>
  <c r="BA568" i="3"/>
  <c r="AZ568" i="3"/>
  <c r="BA566" i="3"/>
  <c r="AZ566" i="3" s="1"/>
  <c r="BA564" i="3"/>
  <c r="AZ564" i="3" s="1"/>
  <c r="BA562" i="3"/>
  <c r="BA558" i="3"/>
  <c r="AZ558" i="3" s="1"/>
  <c r="BL558" i="3"/>
  <c r="BA556" i="3"/>
  <c r="AZ556" i="3"/>
  <c r="BA554" i="3"/>
  <c r="AZ554" i="3" s="1"/>
  <c r="BA552" i="3"/>
  <c r="AZ552" i="3" s="1"/>
  <c r="BA548" i="3"/>
  <c r="BA546" i="3"/>
  <c r="AZ546" i="3" s="1"/>
  <c r="BA544" i="3"/>
  <c r="BA542" i="3"/>
  <c r="AZ542" i="3" s="1"/>
  <c r="BA538" i="3"/>
  <c r="BA534" i="3"/>
  <c r="AZ534" i="3" s="1"/>
  <c r="BA532" i="3"/>
  <c r="AZ532" i="3" s="1"/>
  <c r="BA530" i="3"/>
  <c r="BA528" i="3"/>
  <c r="AZ528" i="3" s="1"/>
  <c r="BA526" i="3"/>
  <c r="BA524" i="3"/>
  <c r="AZ524" i="3" s="1"/>
  <c r="BA522" i="3"/>
  <c r="BA520" i="3"/>
  <c r="AZ520" i="3" s="1"/>
  <c r="BA518" i="3"/>
  <c r="BA516" i="3"/>
  <c r="AZ516" i="3" s="1"/>
  <c r="BA514" i="3"/>
  <c r="AZ514" i="3" s="1"/>
  <c r="BA512" i="3"/>
  <c r="BA510" i="3"/>
  <c r="AZ510" i="3" s="1"/>
  <c r="BA508" i="3"/>
  <c r="BA506" i="3"/>
  <c r="AZ506" i="3" s="1"/>
  <c r="BA504" i="3"/>
  <c r="AZ504" i="3" s="1"/>
  <c r="BA500" i="3"/>
  <c r="BA498" i="3"/>
  <c r="BA496" i="3"/>
  <c r="AZ496" i="3" s="1"/>
  <c r="BA494" i="3"/>
  <c r="BA587" i="3"/>
  <c r="BA583" i="3"/>
  <c r="BA581" i="3"/>
  <c r="BA579" i="3"/>
  <c r="AZ579" i="3" s="1"/>
  <c r="BQ579" i="3"/>
  <c r="BL579" i="3" s="1"/>
  <c r="BA577" i="3"/>
  <c r="BA575" i="3"/>
  <c r="AZ575" i="3" s="1"/>
  <c r="BQ575" i="3"/>
  <c r="BL575" i="3" s="1"/>
  <c r="BA573" i="3"/>
  <c r="BA571" i="3"/>
  <c r="BQ571" i="3"/>
  <c r="BL571" i="3" s="1"/>
  <c r="AZ571" i="3" s="1"/>
  <c r="BA569" i="3"/>
  <c r="BA565" i="3"/>
  <c r="BA563" i="3"/>
  <c r="BA561" i="3"/>
  <c r="BA555" i="3"/>
  <c r="BA553" i="3"/>
  <c r="BA549" i="3"/>
  <c r="BA547" i="3"/>
  <c r="BA545" i="3"/>
  <c r="BA543" i="3"/>
  <c r="BA541" i="3"/>
  <c r="AZ541" i="3" s="1"/>
  <c r="BA537" i="3"/>
  <c r="BQ537" i="3"/>
  <c r="BL537" i="3" s="1"/>
  <c r="BA535" i="3"/>
  <c r="BA533" i="3"/>
  <c r="BA531" i="3"/>
  <c r="BA529" i="3"/>
  <c r="BQ529" i="3"/>
  <c r="BL529" i="3" s="1"/>
  <c r="AZ529" i="3" s="1"/>
  <c r="BA527" i="3"/>
  <c r="BA525" i="3"/>
  <c r="BA523" i="3"/>
  <c r="BA519" i="3"/>
  <c r="AZ519" i="3" s="1"/>
  <c r="BA517" i="3"/>
  <c r="BA515" i="3"/>
  <c r="BA513" i="3"/>
  <c r="BQ513" i="3"/>
  <c r="BL513" i="3" s="1"/>
  <c r="BA511" i="3"/>
  <c r="BA507" i="3"/>
  <c r="BA505" i="3"/>
  <c r="BA503" i="3"/>
  <c r="AZ503" i="3" s="1"/>
  <c r="BA501" i="3"/>
  <c r="BA499" i="3"/>
  <c r="BA497" i="3"/>
  <c r="BA495" i="3"/>
  <c r="BA493" i="3"/>
  <c r="G583" i="3"/>
  <c r="G581" i="3"/>
  <c r="G579" i="3"/>
  <c r="G577" i="3"/>
  <c r="G575" i="3"/>
  <c r="G573" i="3"/>
  <c r="G571" i="3"/>
  <c r="G569" i="3"/>
  <c r="G567" i="3"/>
  <c r="G565" i="3"/>
  <c r="G563" i="3"/>
  <c r="G561" i="3"/>
  <c r="BA557" i="3"/>
  <c r="BQ557" i="3"/>
  <c r="BL557" i="3"/>
  <c r="AZ557" i="3" s="1"/>
  <c r="AC557" i="3"/>
  <c r="G557" i="3" s="1"/>
  <c r="BQ583" i="3"/>
  <c r="BL583" i="3" s="1"/>
  <c r="BQ581" i="3"/>
  <c r="BL581" i="3" s="1"/>
  <c r="AZ581" i="3" s="1"/>
  <c r="BQ577" i="3"/>
  <c r="BL577" i="3" s="1"/>
  <c r="BQ573" i="3"/>
  <c r="BL573" i="3" s="1"/>
  <c r="BQ569" i="3"/>
  <c r="BL569" i="3" s="1"/>
  <c r="AZ569" i="3" s="1"/>
  <c r="BQ567" i="3"/>
  <c r="BL567" i="3" s="1"/>
  <c r="BQ565" i="3"/>
  <c r="BL565" i="3" s="1"/>
  <c r="BQ563" i="3"/>
  <c r="BL563" i="3" s="1"/>
  <c r="BQ561" i="3"/>
  <c r="BQ559" i="3"/>
  <c r="BL559" i="3" s="1"/>
  <c r="G559" i="3"/>
  <c r="G555" i="3"/>
  <c r="G553" i="3"/>
  <c r="G549" i="3"/>
  <c r="G547" i="3"/>
  <c r="G545" i="3"/>
  <c r="G543" i="3"/>
  <c r="G541" i="3"/>
  <c r="G539" i="3"/>
  <c r="G537" i="3"/>
  <c r="BQ555" i="3"/>
  <c r="BL555" i="3" s="1"/>
  <c r="BQ553" i="3"/>
  <c r="BL553" i="3" s="1"/>
  <c r="BQ551" i="3"/>
  <c r="BL551" i="3" s="1"/>
  <c r="BQ549" i="3"/>
  <c r="BL549" i="3" s="1"/>
  <c r="BQ547" i="3"/>
  <c r="BL547" i="3" s="1"/>
  <c r="AZ547" i="3" s="1"/>
  <c r="BQ545" i="3"/>
  <c r="BL545" i="3" s="1"/>
  <c r="BQ543" i="3"/>
  <c r="BL543" i="3"/>
  <c r="BQ541" i="3"/>
  <c r="BL541" i="3" s="1"/>
  <c r="BQ539" i="3"/>
  <c r="BL539" i="3" s="1"/>
  <c r="BQ535" i="3"/>
  <c r="BL535" i="3" s="1"/>
  <c r="BQ533" i="3"/>
  <c r="BL533" i="3" s="1"/>
  <c r="AZ533" i="3" s="1"/>
  <c r="BQ531" i="3"/>
  <c r="BL531" i="3" s="1"/>
  <c r="AZ531" i="3" s="1"/>
  <c r="BQ527" i="3"/>
  <c r="BL527" i="3" s="1"/>
  <c r="BQ525" i="3"/>
  <c r="BL525" i="3" s="1"/>
  <c r="BQ523" i="3"/>
  <c r="BL523" i="3" s="1"/>
  <c r="BA521" i="3"/>
  <c r="AZ521" i="3" s="1"/>
  <c r="AC521" i="3"/>
  <c r="G521" i="3" s="1"/>
  <c r="BQ521" i="3"/>
  <c r="BL521" i="3" s="1"/>
  <c r="BL520" i="3"/>
  <c r="G519" i="3"/>
  <c r="G517" i="3"/>
  <c r="G515" i="3"/>
  <c r="G513" i="3"/>
  <c r="G511" i="3"/>
  <c r="BQ519" i="3"/>
  <c r="BL519" i="3"/>
  <c r="BQ517" i="3"/>
  <c r="BL517" i="3" s="1"/>
  <c r="BQ515" i="3"/>
  <c r="BL515" i="3"/>
  <c r="BQ511" i="3"/>
  <c r="BL511" i="3" s="1"/>
  <c r="BA509" i="3"/>
  <c r="AC509" i="3"/>
  <c r="G509" i="3" s="1"/>
  <c r="BQ509" i="3"/>
  <c r="BL509" i="3" s="1"/>
  <c r="AZ509" i="3" s="1"/>
  <c r="BL508" i="3"/>
  <c r="AZ508" i="3" s="1"/>
  <c r="G507" i="3"/>
  <c r="G505" i="3"/>
  <c r="G503" i="3"/>
  <c r="G501" i="3"/>
  <c r="G499" i="3"/>
  <c r="G497" i="3"/>
  <c r="G495" i="3"/>
  <c r="BQ507" i="3"/>
  <c r="BQ505" i="3"/>
  <c r="BL505" i="3" s="1"/>
  <c r="AZ505" i="3" s="1"/>
  <c r="BQ503" i="3"/>
  <c r="BL503" i="3" s="1"/>
  <c r="BQ501" i="3"/>
  <c r="BL501" i="3" s="1"/>
  <c r="AZ501" i="3" s="1"/>
  <c r="BQ499" i="3"/>
  <c r="BL499" i="3" s="1"/>
  <c r="AZ499" i="3" s="1"/>
  <c r="BQ497" i="3"/>
  <c r="BL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S25" i="21" s="1"/>
  <c r="J25" i="21"/>
  <c r="AC25" i="21" s="1"/>
  <c r="E125" i="33"/>
  <c r="F125" i="33" s="1"/>
  <c r="G125" i="33" s="1"/>
  <c r="H43" i="33"/>
  <c r="H17" i="37"/>
  <c r="U17" i="37" s="1"/>
  <c r="U32" i="33"/>
  <c r="F39" i="33"/>
  <c r="AA39" i="33"/>
  <c r="E123" i="33"/>
  <c r="F123" i="33" s="1"/>
  <c r="G123" i="33" s="1"/>
  <c r="H123" i="33" s="1"/>
  <c r="I123" i="33" s="1"/>
  <c r="J123" i="33" s="1"/>
  <c r="K123" i="33" s="1"/>
  <c r="L123" i="33" s="1"/>
  <c r="M123" i="33" s="1"/>
  <c r="F42" i="33"/>
  <c r="AA42" i="33" s="1"/>
  <c r="H28" i="34"/>
  <c r="AB28" i="34" s="1"/>
  <c r="F14" i="36"/>
  <c r="AA14" i="36" s="1"/>
  <c r="F22" i="36"/>
  <c r="S22" i="36" s="1"/>
  <c r="F26" i="36"/>
  <c r="S26" i="36" s="1"/>
  <c r="H27" i="34"/>
  <c r="U27" i="34" s="1"/>
  <c r="H35" i="34"/>
  <c r="U35" i="34" s="1"/>
  <c r="F41" i="34"/>
  <c r="H41" i="34"/>
  <c r="U41" i="34" s="1"/>
  <c r="J41" i="34"/>
  <c r="AC41" i="34" s="1"/>
  <c r="F10" i="35"/>
  <c r="S10" i="35" s="1"/>
  <c r="F24" i="35"/>
  <c r="AA24" i="35" s="1"/>
  <c r="H24" i="35"/>
  <c r="AB24" i="35" s="1"/>
  <c r="H23" i="37"/>
  <c r="AB23" i="37"/>
  <c r="J32" i="37"/>
  <c r="AC32" i="37" s="1"/>
  <c r="F36" i="37"/>
  <c r="AA36" i="37" s="1"/>
  <c r="F37" i="37"/>
  <c r="AA37" i="37" s="1"/>
  <c r="F31" i="40"/>
  <c r="AA31" i="40" s="1"/>
  <c r="H31" i="40"/>
  <c r="U31" i="40" s="1"/>
  <c r="F32" i="40"/>
  <c r="AA32" i="40" s="1"/>
  <c r="H32" i="40"/>
  <c r="AB32" i="40" s="1"/>
  <c r="J36" i="40"/>
  <c r="W36" i="40"/>
  <c r="H19" i="37"/>
  <c r="AB19" i="37" s="1"/>
  <c r="H42" i="33"/>
  <c r="AB42" i="33"/>
  <c r="J43" i="33"/>
  <c r="AC43" i="33" s="1"/>
  <c r="S28" i="31"/>
  <c r="S27" i="31"/>
  <c r="S26" i="31"/>
  <c r="U14" i="40"/>
  <c r="W23" i="35"/>
  <c r="U39" i="37"/>
  <c r="U26" i="37"/>
  <c r="AA13" i="33"/>
  <c r="AC45" i="33"/>
  <c r="F43" i="33"/>
  <c r="AA43" i="33" s="1"/>
  <c r="AC15" i="34"/>
  <c r="W16" i="35"/>
  <c r="H107" i="37"/>
  <c r="I107" i="37"/>
  <c r="J107" i="37" s="1"/>
  <c r="K107" i="37" s="1"/>
  <c r="L107" i="37" s="1"/>
  <c r="M107" i="37" s="1"/>
  <c r="H19" i="34"/>
  <c r="AB19" i="34" s="1"/>
  <c r="F36" i="35"/>
  <c r="S36" i="35"/>
  <c r="J9" i="37"/>
  <c r="W9" i="37" s="1"/>
  <c r="H9" i="37"/>
  <c r="U9" i="37" s="1"/>
  <c r="F9" i="37"/>
  <c r="S9" i="37" s="1"/>
  <c r="J12" i="37"/>
  <c r="AC12" i="37" s="1"/>
  <c r="H12" i="37"/>
  <c r="AB12" i="37" s="1"/>
  <c r="F12" i="37"/>
  <c r="S12" i="37" s="1"/>
  <c r="E71" i="37"/>
  <c r="F71" i="37" s="1"/>
  <c r="G71" i="37" s="1"/>
  <c r="F15" i="37"/>
  <c r="AA15" i="37" s="1"/>
  <c r="F31" i="37"/>
  <c r="S31" i="37" s="1"/>
  <c r="F12" i="39"/>
  <c r="S12" i="39" s="1"/>
  <c r="J42" i="39"/>
  <c r="AC42" i="39" s="1"/>
  <c r="H21" i="40"/>
  <c r="AB21" i="40" s="1"/>
  <c r="F94" i="37"/>
  <c r="G94" i="37" s="1"/>
  <c r="H94" i="37" s="1"/>
  <c r="I94" i="37" s="1"/>
  <c r="J94" i="37" s="1"/>
  <c r="K94" i="37" s="1"/>
  <c r="L94" i="37" s="1"/>
  <c r="M94" i="37" s="1"/>
  <c r="H31" i="37"/>
  <c r="U31" i="37" s="1"/>
  <c r="J15" i="37"/>
  <c r="W15" i="37" s="1"/>
  <c r="AT6" i="3"/>
  <c r="H19" i="40"/>
  <c r="U19" i="40" s="1"/>
  <c r="F88" i="40"/>
  <c r="G88" i="40" s="1"/>
  <c r="F19" i="40"/>
  <c r="S19" i="40" s="1"/>
  <c r="S14" i="40"/>
  <c r="AC13" i="40"/>
  <c r="AB33" i="40"/>
  <c r="W23" i="39"/>
  <c r="AC43" i="39"/>
  <c r="W43" i="39"/>
  <c r="U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W35" i="40"/>
  <c r="J11" i="39"/>
  <c r="W11" i="39" s="1"/>
  <c r="F11" i="39"/>
  <c r="AA11" i="39" s="1"/>
  <c r="G4" i="4"/>
  <c r="I4" i="4"/>
  <c r="F61" i="43"/>
  <c r="AZ28" i="3"/>
  <c r="AZ497" i="3"/>
  <c r="AZ549" i="3"/>
  <c r="AZ494" i="3"/>
  <c r="AZ530" i="3"/>
  <c r="G546" i="3"/>
  <c r="G524" i="3"/>
  <c r="G303" i="3"/>
  <c r="BL304" i="3"/>
  <c r="G305" i="3"/>
  <c r="BL306" i="3"/>
  <c r="BA306" i="3"/>
  <c r="AZ306" i="3"/>
  <c r="BA308" i="3"/>
  <c r="AZ308" i="3" s="1"/>
  <c r="BA309" i="3"/>
  <c r="BL309" i="3"/>
  <c r="AZ309" i="3"/>
  <c r="G310" i="3"/>
  <c r="BA311" i="3"/>
  <c r="G319" i="3"/>
  <c r="BL320" i="3"/>
  <c r="G321" i="3"/>
  <c r="BL322" i="3"/>
  <c r="BA324" i="3"/>
  <c r="BA325" i="3"/>
  <c r="AZ325" i="3" s="1"/>
  <c r="BL325" i="3"/>
  <c r="G326" i="3"/>
  <c r="BA327" i="3"/>
  <c r="AZ327" i="3" s="1"/>
  <c r="G335" i="3"/>
  <c r="BL336" i="3"/>
  <c r="G337" i="3"/>
  <c r="BL338" i="3"/>
  <c r="BA340" i="3"/>
  <c r="BA341" i="3"/>
  <c r="BL341" i="3"/>
  <c r="BA343" i="3"/>
  <c r="BA345" i="3"/>
  <c r="BL355" i="3"/>
  <c r="G356" i="3"/>
  <c r="BL357" i="3"/>
  <c r="BA359" i="3"/>
  <c r="AZ359" i="3" s="1"/>
  <c r="BA360" i="3"/>
  <c r="BL360" i="3"/>
  <c r="G361" i="3"/>
  <c r="BA362" i="3"/>
  <c r="G370" i="3"/>
  <c r="BL371" i="3"/>
  <c r="G372" i="3"/>
  <c r="BL373" i="3"/>
  <c r="BA375" i="3"/>
  <c r="BA376" i="3"/>
  <c r="AZ376" i="3" s="1"/>
  <c r="BL376" i="3"/>
  <c r="G377" i="3"/>
  <c r="BA378" i="3"/>
  <c r="BL378" i="3"/>
  <c r="G379" i="3"/>
  <c r="BA380" i="3"/>
  <c r="G388" i="3"/>
  <c r="BL389" i="3"/>
  <c r="G390" i="3"/>
  <c r="BL391" i="3"/>
  <c r="BA393" i="3"/>
  <c r="BA394" i="3"/>
  <c r="AZ394" i="3" s="1"/>
  <c r="BL394" i="3"/>
  <c r="G113" i="3"/>
  <c r="BA115" i="3"/>
  <c r="BL116" i="3"/>
  <c r="G117" i="3"/>
  <c r="BA119" i="3"/>
  <c r="BL120" i="3"/>
  <c r="G121" i="3"/>
  <c r="BA123" i="3"/>
  <c r="BL124" i="3"/>
  <c r="G125" i="3"/>
  <c r="BA127" i="3"/>
  <c r="BL128" i="3"/>
  <c r="G129" i="3"/>
  <c r="BA131" i="3"/>
  <c r="BL132" i="3"/>
  <c r="G133" i="3"/>
  <c r="BA135" i="3"/>
  <c r="BL136" i="3"/>
  <c r="G137" i="3"/>
  <c r="BA139" i="3"/>
  <c r="BL140" i="3"/>
  <c r="AZ140" i="3" s="1"/>
  <c r="G141" i="3"/>
  <c r="BA143" i="3"/>
  <c r="BL144" i="3"/>
  <c r="AZ144" i="3" s="1"/>
  <c r="G145" i="3"/>
  <c r="BA147" i="3"/>
  <c r="BL148" i="3"/>
  <c r="G149" i="3"/>
  <c r="BA151" i="3"/>
  <c r="BL152" i="3"/>
  <c r="G153" i="3"/>
  <c r="BA155" i="3"/>
  <c r="BL156" i="3"/>
  <c r="G157" i="3"/>
  <c r="BA159" i="3"/>
  <c r="AZ159" i="3" s="1"/>
  <c r="BL160" i="3"/>
  <c r="G161" i="3"/>
  <c r="BA163" i="3"/>
  <c r="AZ163" i="3" s="1"/>
  <c r="BL164" i="3"/>
  <c r="G165" i="3"/>
  <c r="BA167" i="3"/>
  <c r="BL168" i="3"/>
  <c r="G169" i="3"/>
  <c r="BA171" i="3"/>
  <c r="AZ171" i="3" s="1"/>
  <c r="BL172" i="3"/>
  <c r="G173" i="3"/>
  <c r="BA175" i="3"/>
  <c r="BL176" i="3"/>
  <c r="G177" i="3"/>
  <c r="BA179" i="3"/>
  <c r="AZ179" i="3" s="1"/>
  <c r="BL180" i="3"/>
  <c r="G181" i="3"/>
  <c r="BA183" i="3"/>
  <c r="BL184" i="3"/>
  <c r="G185" i="3"/>
  <c r="BA187" i="3"/>
  <c r="BL188" i="3"/>
  <c r="G189" i="3"/>
  <c r="BA191" i="3"/>
  <c r="AZ191" i="3" s="1"/>
  <c r="BL192" i="3"/>
  <c r="G193" i="3"/>
  <c r="BA195" i="3"/>
  <c r="BL196" i="3"/>
  <c r="AZ196" i="3" s="1"/>
  <c r="G197" i="3"/>
  <c r="BA199" i="3"/>
  <c r="BL200" i="3"/>
  <c r="AZ200" i="3" s="1"/>
  <c r="G201" i="3"/>
  <c r="BA203" i="3"/>
  <c r="BL204" i="3"/>
  <c r="G534" i="3"/>
  <c r="G530" i="3"/>
  <c r="G522" i="3"/>
  <c r="G516" i="3"/>
  <c r="G512" i="3"/>
  <c r="G506" i="3"/>
  <c r="G498" i="3"/>
  <c r="G494" i="3"/>
  <c r="G16" i="3"/>
  <c r="G15" i="3"/>
  <c r="BA304" i="3"/>
  <c r="BA305" i="3"/>
  <c r="BL305" i="3"/>
  <c r="G306" i="3"/>
  <c r="G309" i="3"/>
  <c r="BL310" i="3"/>
  <c r="BA312" i="3"/>
  <c r="BA313" i="3"/>
  <c r="BL313" i="3"/>
  <c r="AZ313" i="3"/>
  <c r="G314" i="3"/>
  <c r="G317" i="3"/>
  <c r="BL318" i="3"/>
  <c r="BA320" i="3"/>
  <c r="AZ320" i="3" s="1"/>
  <c r="BA321" i="3"/>
  <c r="BL321" i="3"/>
  <c r="G322" i="3"/>
  <c r="G325" i="3"/>
  <c r="BL326" i="3"/>
  <c r="BA328" i="3"/>
  <c r="BA329" i="3"/>
  <c r="AZ329" i="3" s="1"/>
  <c r="BL329" i="3"/>
  <c r="G330" i="3"/>
  <c r="G333" i="3"/>
  <c r="BL334" i="3"/>
  <c r="BA336" i="3"/>
  <c r="AZ336" i="3" s="1"/>
  <c r="BA337" i="3"/>
  <c r="BL337" i="3"/>
  <c r="G338" i="3"/>
  <c r="G341" i="3"/>
  <c r="BA342" i="3"/>
  <c r="BL342" i="3"/>
  <c r="BA344" i="3"/>
  <c r="BL344" i="3"/>
  <c r="BA346" i="3"/>
  <c r="BA347" i="3"/>
  <c r="AZ347" i="3" s="1"/>
  <c r="BL347" i="3"/>
  <c r="G350" i="3"/>
  <c r="BA351" i="3"/>
  <c r="BL351" i="3"/>
  <c r="G352" i="3"/>
  <c r="G354" i="3"/>
  <c r="BA355" i="3"/>
  <c r="AZ355" i="3"/>
  <c r="BA356" i="3"/>
  <c r="BL356" i="3"/>
  <c r="G357" i="3"/>
  <c r="G360" i="3"/>
  <c r="BL361" i="3"/>
  <c r="BA363" i="3"/>
  <c r="BA364" i="3"/>
  <c r="BL364" i="3"/>
  <c r="AZ364" i="3" s="1"/>
  <c r="G365" i="3"/>
  <c r="G368" i="3"/>
  <c r="BL369" i="3"/>
  <c r="BA371" i="3"/>
  <c r="AZ371" i="3" s="1"/>
  <c r="BA372" i="3"/>
  <c r="BL372" i="3"/>
  <c r="G373" i="3"/>
  <c r="G376" i="3"/>
  <c r="BL377" i="3"/>
  <c r="BL379" i="3"/>
  <c r="BA381" i="3"/>
  <c r="AZ381" i="3" s="1"/>
  <c r="BA382" i="3"/>
  <c r="BL382" i="3"/>
  <c r="G383" i="3"/>
  <c r="G386" i="3"/>
  <c r="BL387" i="3"/>
  <c r="BA389" i="3"/>
  <c r="BA390" i="3"/>
  <c r="BL390" i="3"/>
  <c r="AZ390" i="3" s="1"/>
  <c r="G391" i="3"/>
  <c r="G394" i="3"/>
  <c r="AZ162" i="3"/>
  <c r="BA16" i="3"/>
  <c r="AZ16" i="3" s="1"/>
  <c r="BL303" i="3"/>
  <c r="G304" i="3"/>
  <c r="BL307" i="3"/>
  <c r="AZ307" i="3" s="1"/>
  <c r="G308" i="3"/>
  <c r="BA310" i="3"/>
  <c r="AZ310" i="3" s="1"/>
  <c r="BL311" i="3"/>
  <c r="AZ311" i="3" s="1"/>
  <c r="G312" i="3"/>
  <c r="BA314" i="3"/>
  <c r="BL315" i="3"/>
  <c r="AZ315" i="3" s="1"/>
  <c r="G316" i="3"/>
  <c r="BA318" i="3"/>
  <c r="AZ318" i="3" s="1"/>
  <c r="BL319" i="3"/>
  <c r="AZ319" i="3" s="1"/>
  <c r="G320" i="3"/>
  <c r="BA322" i="3"/>
  <c r="AZ322" i="3" s="1"/>
  <c r="BL323" i="3"/>
  <c r="G324" i="3"/>
  <c r="BA326" i="3"/>
  <c r="AZ326" i="3" s="1"/>
  <c r="BL327" i="3"/>
  <c r="G328" i="3"/>
  <c r="BA330" i="3"/>
  <c r="BL331" i="3"/>
  <c r="G332" i="3"/>
  <c r="BA334" i="3"/>
  <c r="AZ334" i="3" s="1"/>
  <c r="BL335" i="3"/>
  <c r="G336" i="3"/>
  <c r="BA338" i="3"/>
  <c r="BL339" i="3"/>
  <c r="G340" i="3"/>
  <c r="BL343" i="3"/>
  <c r="G344" i="3"/>
  <c r="G348" i="3"/>
  <c r="G355" i="3"/>
  <c r="G342" i="3"/>
  <c r="BL345" i="3"/>
  <c r="AZ345" i="3" s="1"/>
  <c r="G346" i="3"/>
  <c r="BL349" i="3"/>
  <c r="BL352" i="3"/>
  <c r="G353" i="3"/>
  <c r="BA357" i="3"/>
  <c r="BL358" i="3"/>
  <c r="G359" i="3"/>
  <c r="BA361" i="3"/>
  <c r="BL362" i="3"/>
  <c r="AZ362" i="3"/>
  <c r="G363" i="3"/>
  <c r="BA365" i="3"/>
  <c r="BL366" i="3"/>
  <c r="G367" i="3"/>
  <c r="BA369" i="3"/>
  <c r="AZ369" i="3" s="1"/>
  <c r="BL370" i="3"/>
  <c r="AZ370" i="3" s="1"/>
  <c r="G371" i="3"/>
  <c r="BA373" i="3"/>
  <c r="AZ373" i="3" s="1"/>
  <c r="BL374" i="3"/>
  <c r="AZ374" i="3" s="1"/>
  <c r="G375" i="3"/>
  <c r="BA377" i="3"/>
  <c r="AZ377" i="3" s="1"/>
  <c r="AZ233" i="3"/>
  <c r="AZ269" i="3"/>
  <c r="BA379" i="3"/>
  <c r="AZ379" i="3" s="1"/>
  <c r="BL380" i="3"/>
  <c r="G381" i="3"/>
  <c r="BA383" i="3"/>
  <c r="BL384" i="3"/>
  <c r="G385" i="3"/>
  <c r="BA387" i="3"/>
  <c r="BL388" i="3"/>
  <c r="AZ388" i="3" s="1"/>
  <c r="G389" i="3"/>
  <c r="BA391" i="3"/>
  <c r="BL392" i="3"/>
  <c r="G393" i="3"/>
  <c r="BO5" i="3"/>
  <c r="BM5" i="3"/>
  <c r="BJ5" i="3"/>
  <c r="AC5" i="3"/>
  <c r="G548" i="3"/>
  <c r="G538" i="3"/>
  <c r="G520" i="3"/>
  <c r="G502" i="3"/>
  <c r="BS5" i="3"/>
  <c r="BN5" i="3"/>
  <c r="BI5" i="3"/>
  <c r="BE5" i="3"/>
  <c r="BC5" i="3"/>
  <c r="G17" i="3"/>
  <c r="BA17" i="3"/>
  <c r="AZ17" i="3" s="1"/>
  <c r="BA15" i="3"/>
  <c r="AZ15" i="3" s="1"/>
  <c r="BR5" i="3"/>
  <c r="BL493" i="3"/>
  <c r="AZ493" i="3"/>
  <c r="U36" i="40"/>
  <c r="F83" i="43"/>
  <c r="H86" i="43" s="1"/>
  <c r="F50" i="43"/>
  <c r="H54" i="43" s="1"/>
  <c r="F72" i="43"/>
  <c r="H73" i="43" s="1"/>
  <c r="U17" i="39"/>
  <c r="S14" i="35"/>
  <c r="AC11" i="39"/>
  <c r="W37" i="37"/>
  <c r="W44" i="34"/>
  <c r="AC44" i="34"/>
  <c r="S15" i="37"/>
  <c r="U12" i="40"/>
  <c r="J37" i="33"/>
  <c r="AC37" i="33" s="1"/>
  <c r="G106" i="33"/>
  <c r="H106" i="33"/>
  <c r="I106" i="33" s="1"/>
  <c r="J106" i="33" s="1"/>
  <c r="K106" i="33" s="1"/>
  <c r="L106" i="33" s="1"/>
  <c r="M106" i="33" s="1"/>
  <c r="J34" i="33"/>
  <c r="W34" i="33" s="1"/>
  <c r="F33" i="34"/>
  <c r="AA33" i="34" s="1"/>
  <c r="W12" i="36"/>
  <c r="AC12" i="36"/>
  <c r="H20" i="36"/>
  <c r="AB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27" i="40"/>
  <c r="AB27" i="40" s="1"/>
  <c r="J27" i="40"/>
  <c r="AC27" i="40" s="1"/>
  <c r="F27" i="40"/>
  <c r="S27" i="40"/>
  <c r="J30" i="40"/>
  <c r="AC30" i="40" s="1"/>
  <c r="F30" i="40"/>
  <c r="AA30" i="40" s="1"/>
  <c r="AC21" i="40"/>
  <c r="S31" i="39"/>
  <c r="E98" i="40"/>
  <c r="F98" i="40" s="1"/>
  <c r="G98" i="40" s="1"/>
  <c r="H98" i="40" s="1"/>
  <c r="I98" i="40" s="1"/>
  <c r="J98" i="40" s="1"/>
  <c r="K98" i="40" s="1"/>
  <c r="L98" i="40" s="1"/>
  <c r="M98" i="40" s="1"/>
  <c r="F10" i="33"/>
  <c r="AA10" i="33" s="1"/>
  <c r="F34" i="33"/>
  <c r="S34" i="33" s="1"/>
  <c r="H34" i="33"/>
  <c r="AB34" i="33" s="1"/>
  <c r="F35" i="33"/>
  <c r="S35" i="33" s="1"/>
  <c r="F39" i="34"/>
  <c r="AA39" i="34" s="1"/>
  <c r="J39" i="34"/>
  <c r="W39" i="34" s="1"/>
  <c r="F40" i="34"/>
  <c r="AA40" i="34" s="1"/>
  <c r="F43" i="34"/>
  <c r="AA43" i="34" s="1"/>
  <c r="H44" i="34"/>
  <c r="U44" i="34" s="1"/>
  <c r="AC38" i="39"/>
  <c r="F39" i="39"/>
  <c r="S39" i="39" s="1"/>
  <c r="J39" i="39"/>
  <c r="AC39" i="39" s="1"/>
  <c r="E96" i="39"/>
  <c r="F96" i="39" s="1"/>
  <c r="G96" i="39" s="1"/>
  <c r="C40" i="11"/>
  <c r="F23" i="39"/>
  <c r="AA23" i="39" s="1"/>
  <c r="H27" i="36"/>
  <c r="U27" i="36" s="1"/>
  <c r="F27" i="36"/>
  <c r="AA27" i="36" s="1"/>
  <c r="H33" i="34"/>
  <c r="U33" i="34"/>
  <c r="F32" i="37"/>
  <c r="AA32" i="37" s="1"/>
  <c r="H96" i="37"/>
  <c r="I96" i="37"/>
  <c r="J96" i="37"/>
  <c r="K96" i="37" s="1"/>
  <c r="L96" i="37" s="1"/>
  <c r="M96" i="37" s="1"/>
  <c r="F20" i="36"/>
  <c r="AA20" i="36" s="1"/>
  <c r="J33" i="34"/>
  <c r="AC33" i="34" s="1"/>
  <c r="H23" i="39"/>
  <c r="U23" i="39" s="1"/>
  <c r="D48" i="9"/>
  <c r="M52" i="9" s="1"/>
  <c r="K9" i="1"/>
  <c r="M9" i="1" s="1"/>
  <c r="D93" i="9"/>
  <c r="O6" i="1"/>
  <c r="AC26" i="33"/>
  <c r="W26" i="33"/>
  <c r="W27" i="34"/>
  <c r="AC27" i="34"/>
  <c r="AB34" i="36"/>
  <c r="U34" i="36"/>
  <c r="AC12" i="39"/>
  <c r="W12" i="39"/>
  <c r="AC39" i="40"/>
  <c r="W39" i="40"/>
  <c r="W12" i="33"/>
  <c r="AC12" i="33"/>
  <c r="BL14" i="3"/>
  <c r="U30" i="33"/>
  <c r="AC13" i="34"/>
  <c r="AA47" i="34"/>
  <c r="S19" i="39"/>
  <c r="F12" i="33"/>
  <c r="H12" i="39"/>
  <c r="AB12" i="39" s="1"/>
  <c r="F39" i="40"/>
  <c r="BA14" i="3"/>
  <c r="AZ14" i="3" s="1"/>
  <c r="B12" i="1"/>
  <c r="E12" i="1" s="1"/>
  <c r="B10" i="1"/>
  <c r="E10" i="1"/>
  <c r="AZ88" i="3"/>
  <c r="K12" i="1"/>
  <c r="M12" i="1" s="1"/>
  <c r="O12" i="1"/>
  <c r="S13" i="1"/>
  <c r="T13" i="1" s="1"/>
  <c r="R13" i="1"/>
  <c r="AC34" i="33"/>
  <c r="AA34" i="33"/>
  <c r="AB37" i="40"/>
  <c r="S35" i="40"/>
  <c r="AC36" i="40"/>
  <c r="S17" i="40"/>
  <c r="AC17" i="40"/>
  <c r="AC15" i="40"/>
  <c r="S30" i="40"/>
  <c r="S28" i="40"/>
  <c r="AA27" i="40"/>
  <c r="U37" i="39"/>
  <c r="S43" i="39"/>
  <c r="U35" i="39"/>
  <c r="F32" i="39"/>
  <c r="F106" i="39"/>
  <c r="G106" i="39" s="1"/>
  <c r="H106" i="39" s="1"/>
  <c r="I106" i="39" s="1"/>
  <c r="J106" i="39" s="1"/>
  <c r="K106" i="39" s="1"/>
  <c r="L106" i="39" s="1"/>
  <c r="M106" i="39" s="1"/>
  <c r="U25" i="39"/>
  <c r="AB27" i="39"/>
  <c r="U31" i="39"/>
  <c r="J21" i="39"/>
  <c r="W21" i="39" s="1"/>
  <c r="F21" i="39"/>
  <c r="G94" i="39"/>
  <c r="H21" i="39"/>
  <c r="U21" i="39" s="1"/>
  <c r="W19" i="39"/>
  <c r="U19" i="39"/>
  <c r="S17" i="39"/>
  <c r="S15" i="39"/>
  <c r="S9" i="39"/>
  <c r="U14" i="39"/>
  <c r="U12" i="39"/>
  <c r="U13" i="36"/>
  <c r="U26" i="36"/>
  <c r="S33" i="36"/>
  <c r="AA26" i="36"/>
  <c r="AA34" i="36"/>
  <c r="AC26" i="36"/>
  <c r="AA22" i="36"/>
  <c r="W14" i="36"/>
  <c r="AB14" i="36"/>
  <c r="U22" i="36"/>
  <c r="S16" i="36"/>
  <c r="U24" i="36"/>
  <c r="U16" i="36"/>
  <c r="AA25" i="35"/>
  <c r="W24" i="35"/>
  <c r="AB13" i="35"/>
  <c r="U29" i="35"/>
  <c r="U28" i="35"/>
  <c r="AB27" i="35"/>
  <c r="U36" i="35"/>
  <c r="U32" i="35"/>
  <c r="AC30" i="35"/>
  <c r="S32" i="35"/>
  <c r="AA36" i="35"/>
  <c r="S28" i="35"/>
  <c r="AB16" i="35"/>
  <c r="U22" i="35"/>
  <c r="S20" i="35"/>
  <c r="AC20" i="35"/>
  <c r="S22" i="35"/>
  <c r="U14" i="35"/>
  <c r="AA11" i="35"/>
  <c r="AC9" i="35"/>
  <c r="W9" i="35"/>
  <c r="AC12" i="35"/>
  <c r="W13" i="35"/>
  <c r="F9" i="35"/>
  <c r="S9" i="35"/>
  <c r="H9" i="35"/>
  <c r="U9" i="35" s="1"/>
  <c r="AB40" i="37"/>
  <c r="W27" i="37"/>
  <c r="AC29" i="37"/>
  <c r="U29" i="37"/>
  <c r="W30" i="37"/>
  <c r="S36" i="37"/>
  <c r="AA38" i="37"/>
  <c r="U32" i="37"/>
  <c r="W38" i="37"/>
  <c r="AC35" i="37"/>
  <c r="W39" i="37"/>
  <c r="S30" i="37"/>
  <c r="S37" i="37"/>
  <c r="AC15" i="37"/>
  <c r="J17" i="37"/>
  <c r="W17" i="37" s="1"/>
  <c r="G73" i="37"/>
  <c r="F17" i="37"/>
  <c r="AA17" i="37" s="1"/>
  <c r="AB17" i="37"/>
  <c r="F75" i="37"/>
  <c r="G75" i="37" s="1"/>
  <c r="F19" i="37"/>
  <c r="S19" i="37" s="1"/>
  <c r="F79" i="37"/>
  <c r="F23" i="37"/>
  <c r="S23" i="37" s="1"/>
  <c r="U23" i="37"/>
  <c r="U15" i="37"/>
  <c r="AC13" i="37"/>
  <c r="AA13" i="37"/>
  <c r="H10" i="37"/>
  <c r="AB10" i="37" s="1"/>
  <c r="F63" i="37"/>
  <c r="F11" i="37"/>
  <c r="S11" i="37"/>
  <c r="W25" i="34"/>
  <c r="AB8" i="34"/>
  <c r="U43" i="34"/>
  <c r="AC39" i="34"/>
  <c r="W41" i="34"/>
  <c r="AC42" i="34"/>
  <c r="AB35" i="34"/>
  <c r="U39" i="34"/>
  <c r="S43" i="34"/>
  <c r="AA25" i="34"/>
  <c r="U28" i="34"/>
  <c r="S17" i="34"/>
  <c r="AA29" i="34"/>
  <c r="S23" i="34"/>
  <c r="U15" i="34"/>
  <c r="S13" i="34"/>
  <c r="H10" i="34"/>
  <c r="AB10" i="34" s="1"/>
  <c r="F11" i="34"/>
  <c r="F70" i="34"/>
  <c r="W42" i="33"/>
  <c r="AA35" i="33"/>
  <c r="S27" i="33"/>
  <c r="S32" i="33"/>
  <c r="AB29" i="33"/>
  <c r="W38" i="33"/>
  <c r="H41" i="33"/>
  <c r="F121" i="33"/>
  <c r="G121" i="33"/>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F91" i="33"/>
  <c r="H27" i="33"/>
  <c r="F87" i="33"/>
  <c r="H25" i="33"/>
  <c r="F25" i="33"/>
  <c r="J23" i="33"/>
  <c r="F85" i="33"/>
  <c r="H23" i="33"/>
  <c r="F81" i="33"/>
  <c r="G81" i="33" s="1"/>
  <c r="F19" i="33"/>
  <c r="S19" i="33" s="1"/>
  <c r="W19" i="33"/>
  <c r="J17" i="33"/>
  <c r="F79" i="33"/>
  <c r="G79" i="33" s="1"/>
  <c r="S15" i="33"/>
  <c r="W15" i="33"/>
  <c r="J10" i="33"/>
  <c r="W10" i="33" s="1"/>
  <c r="H10" i="33"/>
  <c r="U10" i="33" s="1"/>
  <c r="AC11" i="33"/>
  <c r="AB14" i="33"/>
  <c r="J15" i="21"/>
  <c r="W15" i="21" s="1"/>
  <c r="F23" i="21"/>
  <c r="S23" i="21" s="1"/>
  <c r="E85" i="21"/>
  <c r="F85" i="21"/>
  <c r="G85" i="21" s="1"/>
  <c r="AA14" i="21"/>
  <c r="BL17" i="3"/>
  <c r="J56" i="9"/>
  <c r="J57" i="9" s="1"/>
  <c r="J59" i="9" s="1"/>
  <c r="J61" i="9" s="1"/>
  <c r="A24" i="51"/>
  <c r="B18" i="72" s="1"/>
  <c r="U29" i="34"/>
  <c r="G1" i="68"/>
  <c r="K1" i="12"/>
  <c r="E19" i="69"/>
  <c r="E19" i="68"/>
  <c r="E19" i="11"/>
  <c r="E1" i="73"/>
  <c r="G22" i="69"/>
  <c r="G22" i="68"/>
  <c r="G26" i="12"/>
  <c r="G22" i="11"/>
  <c r="B19" i="53"/>
  <c r="B37" i="72" s="1"/>
  <c r="A4" i="51"/>
  <c r="B6" i="72" s="1"/>
  <c r="L20" i="6"/>
  <c r="B6" i="1"/>
  <c r="E6" i="1" s="1"/>
  <c r="K11" i="1"/>
  <c r="M11" i="1"/>
  <c r="O11" i="1"/>
  <c r="P11"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AA13" i="39"/>
  <c r="S13" i="39"/>
  <c r="S14" i="39"/>
  <c r="AA14" i="39"/>
  <c r="U43" i="39"/>
  <c r="AB43" i="39"/>
  <c r="AB11" i="39"/>
  <c r="U11" i="39"/>
  <c r="AA27" i="39"/>
  <c r="S27" i="39"/>
  <c r="W17" i="39"/>
  <c r="AC17" i="39"/>
  <c r="W31" i="39"/>
  <c r="AC31" i="39"/>
  <c r="S23" i="39"/>
  <c r="AA45" i="39"/>
  <c r="AB39" i="39"/>
  <c r="W34" i="39"/>
  <c r="U38" i="39"/>
  <c r="S8" i="39"/>
  <c r="AC25" i="36"/>
  <c r="W29" i="36"/>
  <c r="AC20" i="36"/>
  <c r="AB28" i="36"/>
  <c r="AA13" i="36"/>
  <c r="W22" i="36"/>
  <c r="AC25" i="35"/>
  <c r="U25" i="35"/>
  <c r="S24" i="35"/>
  <c r="U24" i="35"/>
  <c r="S35" i="35"/>
  <c r="W35" i="35"/>
  <c r="AA16" i="35"/>
  <c r="AA35" i="37"/>
  <c r="W36" i="37"/>
  <c r="S28" i="37"/>
  <c r="W32" i="37"/>
  <c r="U36" i="37"/>
  <c r="S40" i="37"/>
  <c r="U38" i="37"/>
  <c r="AB37" i="37"/>
  <c r="AC34" i="37"/>
  <c r="AB35" i="37"/>
  <c r="AA31" i="37"/>
  <c r="U19" i="37"/>
  <c r="AA29" i="37"/>
  <c r="U8" i="37"/>
  <c r="AB40" i="34"/>
  <c r="U19" i="34"/>
  <c r="W19" i="34"/>
  <c r="AB33" i="34"/>
  <c r="AA31" i="34"/>
  <c r="AA30"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W46" i="33"/>
  <c r="U39" i="33"/>
  <c r="U38" i="33"/>
  <c r="S33" i="33"/>
  <c r="U44" i="33"/>
  <c r="AB44" i="33"/>
  <c r="S30" i="33"/>
  <c r="AA30" i="33"/>
  <c r="AC30" i="33"/>
  <c r="W30" i="33"/>
  <c r="S31" i="33"/>
  <c r="AA31" i="33"/>
  <c r="W13" i="33"/>
  <c r="AC13" i="33"/>
  <c r="U15" i="33"/>
  <c r="S11" i="33"/>
  <c r="U37" i="33"/>
  <c r="AC28" i="33"/>
  <c r="S28" i="33"/>
  <c r="W8" i="33"/>
  <c r="AB31" i="21"/>
  <c r="U31" i="21"/>
  <c r="H15" i="21"/>
  <c r="U15" i="21" s="1"/>
  <c r="J17" i="21"/>
  <c r="W17" i="21" s="1"/>
  <c r="AC14" i="21"/>
  <c r="S46" i="21"/>
  <c r="H45" i="21"/>
  <c r="H9" i="21"/>
  <c r="AB9" i="21" s="1"/>
  <c r="AA31" i="21"/>
  <c r="K141" i="21"/>
  <c r="K144" i="21"/>
  <c r="K143" i="21"/>
  <c r="AB25" i="21"/>
  <c r="AA30" i="21"/>
  <c r="AC45" i="21"/>
  <c r="F10" i="21"/>
  <c r="AA10" i="21" s="1"/>
  <c r="K145" i="21"/>
  <c r="W25"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A32" i="39"/>
  <c r="S32" i="39"/>
  <c r="AB21" i="39"/>
  <c r="AC17" i="37"/>
  <c r="S17" i="37"/>
  <c r="J19" i="37"/>
  <c r="W19" i="37" s="1"/>
  <c r="AA19" i="37"/>
  <c r="J23" i="37"/>
  <c r="AC23" i="37" s="1"/>
  <c r="G79" i="37"/>
  <c r="J10" i="37"/>
  <c r="W10" i="37" s="1"/>
  <c r="G63" i="37"/>
  <c r="H63" i="37" s="1"/>
  <c r="I63" i="37" s="1"/>
  <c r="J63" i="37" s="1"/>
  <c r="K63" i="37" s="1"/>
  <c r="L63" i="37" s="1"/>
  <c r="M63" i="37" s="1"/>
  <c r="H11" i="37"/>
  <c r="AB11" i="37"/>
  <c r="G70" i="34"/>
  <c r="H70" i="34" s="1"/>
  <c r="I70" i="34" s="1"/>
  <c r="J70" i="34" s="1"/>
  <c r="K70" i="34" s="1"/>
  <c r="L70" i="34" s="1"/>
  <c r="M70" i="34" s="1"/>
  <c r="H11" i="34"/>
  <c r="U11" i="34" s="1"/>
  <c r="J10" i="34"/>
  <c r="AC10" i="34" s="1"/>
  <c r="AB41" i="33"/>
  <c r="U41" i="33"/>
  <c r="H111" i="33"/>
  <c r="I111" i="33" s="1"/>
  <c r="J111" i="33"/>
  <c r="K111" i="33" s="1"/>
  <c r="L111" i="33" s="1"/>
  <c r="M111" i="33" s="1"/>
  <c r="J36" i="33"/>
  <c r="W36" i="33" s="1"/>
  <c r="H36" i="33"/>
  <c r="U36" i="33" s="1"/>
  <c r="AC32" i="33"/>
  <c r="W32" i="33"/>
  <c r="G91" i="33"/>
  <c r="H91" i="33" s="1"/>
  <c r="I91" i="33" s="1"/>
  <c r="J91" i="33" s="1"/>
  <c r="K91" i="33" s="1"/>
  <c r="L91" i="33" s="1"/>
  <c r="M91" i="33" s="1"/>
  <c r="J27" i="33"/>
  <c r="U25" i="33"/>
  <c r="AB25" i="33"/>
  <c r="S25" i="33"/>
  <c r="AA25" i="33"/>
  <c r="G87" i="33"/>
  <c r="H87" i="33" s="1"/>
  <c r="I87" i="33" s="1"/>
  <c r="J87" i="33" s="1"/>
  <c r="K87" i="33" s="1"/>
  <c r="L87" i="33" s="1"/>
  <c r="M87" i="33" s="1"/>
  <c r="J25" i="33"/>
  <c r="AC25" i="33" s="1"/>
  <c r="AB23" i="33"/>
  <c r="U23" i="33"/>
  <c r="F23" i="33"/>
  <c r="AA23" i="33" s="1"/>
  <c r="G85" i="33"/>
  <c r="AA19" i="33"/>
  <c r="H19" i="33"/>
  <c r="U19" i="33" s="1"/>
  <c r="H17" i="33"/>
  <c r="U17" i="33" s="1"/>
  <c r="F17" i="33"/>
  <c r="S17" i="33" s="1"/>
  <c r="W17" i="33"/>
  <c r="AC17" i="33"/>
  <c r="J23" i="21"/>
  <c r="AC23" i="21" s="1"/>
  <c r="H23" i="21"/>
  <c r="AB23" i="21" s="1"/>
  <c r="U23" i="21"/>
  <c r="AP7" i="1"/>
  <c r="A18" i="62"/>
  <c r="B64" i="72" s="1"/>
  <c r="J11" i="37"/>
  <c r="AC11" i="37"/>
  <c r="J11" i="34"/>
  <c r="W11" i="34" s="1"/>
  <c r="AB36" i="33"/>
  <c r="W25" i="33"/>
  <c r="AA17" i="33"/>
  <c r="H109" i="9"/>
  <c r="H112" i="9"/>
  <c r="D21" i="53"/>
  <c r="B39" i="72" s="1"/>
  <c r="H111" i="9"/>
  <c r="D126" i="9" s="1"/>
  <c r="AD3" i="71"/>
  <c r="D24" i="71"/>
  <c r="U24" i="71"/>
  <c r="S24" i="71"/>
  <c r="T24" i="71"/>
  <c r="AB22" i="71"/>
  <c r="X20" i="71"/>
  <c r="X19" i="71"/>
  <c r="AA20" i="71"/>
  <c r="AA19" i="71"/>
  <c r="X23" i="71"/>
  <c r="Y19" i="71"/>
  <c r="Z19" i="71" s="1"/>
  <c r="AB20" i="71"/>
  <c r="AB19" i="71"/>
  <c r="F21" i="71"/>
  <c r="F20" i="71" s="1"/>
  <c r="F19" i="71" s="1"/>
  <c r="F18" i="71" s="1"/>
  <c r="F17" i="71" s="1"/>
  <c r="F16" i="71" s="1"/>
  <c r="F15" i="71" s="1"/>
  <c r="F14" i="71" s="1"/>
  <c r="F13" i="71" s="1"/>
  <c r="F12" i="71" s="1"/>
  <c r="F11" i="71" s="1"/>
  <c r="F10" i="71" s="1"/>
  <c r="F9" i="71" s="1"/>
  <c r="F8" i="71" s="1"/>
  <c r="F7" i="71" s="1"/>
  <c r="F6" i="71" s="1"/>
  <c r="F5" i="71" s="1"/>
  <c r="Y20" i="71"/>
  <c r="Z20" i="71"/>
  <c r="X3" i="71"/>
  <c r="F9" i="1"/>
  <c r="G9" i="1" s="1"/>
  <c r="F10" i="1"/>
  <c r="G10" i="1" s="1"/>
  <c r="F8" i="1"/>
  <c r="G8" i="1" s="1"/>
  <c r="S23" i="33"/>
  <c r="AB17" i="33"/>
  <c r="AB44" i="34"/>
  <c r="AZ382" i="3"/>
  <c r="AZ321" i="3"/>
  <c r="AZ343" i="3"/>
  <c r="AZ517" i="3"/>
  <c r="AZ562" i="3"/>
  <c r="AZ578" i="3"/>
  <c r="AC13" i="36"/>
  <c r="W13" i="36"/>
  <c r="AB31" i="33"/>
  <c r="U31" i="33"/>
  <c r="S15" i="34"/>
  <c r="AB33" i="35"/>
  <c r="U33" i="35"/>
  <c r="AB43" i="33"/>
  <c r="U43" i="33"/>
  <c r="AZ545" i="3"/>
  <c r="AZ555" i="3"/>
  <c r="AB33" i="37"/>
  <c r="U33" i="37"/>
  <c r="AB13" i="34"/>
  <c r="S41" i="34"/>
  <c r="AA41" i="34"/>
  <c r="AC14" i="37"/>
  <c r="W14" i="37"/>
  <c r="U28" i="37"/>
  <c r="AB28" i="37"/>
  <c r="W30" i="34"/>
  <c r="AC30" i="34"/>
  <c r="W46" i="21"/>
  <c r="AC46" i="21"/>
  <c r="BL507" i="3"/>
  <c r="AZ507" i="3" s="1"/>
  <c r="BQ5" i="3"/>
  <c r="F28" i="6" s="1"/>
  <c r="AB35" i="35"/>
  <c r="U35" i="35"/>
  <c r="S13" i="35"/>
  <c r="AA13" i="35"/>
  <c r="AB31" i="34"/>
  <c r="U31" i="34"/>
  <c r="AA12" i="34"/>
  <c r="J34" i="35"/>
  <c r="F34" i="35"/>
  <c r="J26" i="37"/>
  <c r="W26" i="37" s="1"/>
  <c r="F26" i="37"/>
  <c r="AA26" i="37" s="1"/>
  <c r="F40" i="40"/>
  <c r="AA40" i="40" s="1"/>
  <c r="G578" i="3"/>
  <c r="AZ439" i="3"/>
  <c r="AZ456" i="3"/>
  <c r="AZ467" i="3"/>
  <c r="W35" i="39"/>
  <c r="F27" i="34"/>
  <c r="C21" i="39"/>
  <c r="U14" i="37"/>
  <c r="H12" i="21"/>
  <c r="U12" i="21" s="1"/>
  <c r="G526" i="3"/>
  <c r="U23" i="40"/>
  <c r="AC16" i="36"/>
  <c r="AB12" i="33"/>
  <c r="C27" i="39"/>
  <c r="U40" i="40"/>
  <c r="AC9" i="40"/>
  <c r="W36" i="35"/>
  <c r="J12" i="21"/>
  <c r="AC12" i="21" s="1"/>
  <c r="B73" i="43"/>
  <c r="B76" i="43"/>
  <c r="F9" i="36"/>
  <c r="S9" i="36" s="1"/>
  <c r="J40" i="40"/>
  <c r="AC40" i="40" s="1"/>
  <c r="G562" i="3"/>
  <c r="BL485" i="3"/>
  <c r="AZ485" i="3" s="1"/>
  <c r="BL276" i="3"/>
  <c r="AZ276" i="3" s="1"/>
  <c r="BA472" i="3"/>
  <c r="G476" i="3"/>
  <c r="BA479" i="3"/>
  <c r="BA490" i="3"/>
  <c r="BL312" i="3"/>
  <c r="AZ312" i="3" s="1"/>
  <c r="G313" i="3"/>
  <c r="BA316" i="3"/>
  <c r="AZ316" i="3" s="1"/>
  <c r="BA317" i="3"/>
  <c r="BA323" i="3"/>
  <c r="AZ323" i="3"/>
  <c r="G327" i="3"/>
  <c r="BL330" i="3"/>
  <c r="AZ330" i="3"/>
  <c r="G331" i="3"/>
  <c r="BL333" i="3"/>
  <c r="AZ333" i="3" s="1"/>
  <c r="G334" i="3"/>
  <c r="G345" i="3"/>
  <c r="BL348" i="3"/>
  <c r="BA352" i="3"/>
  <c r="AZ352" i="3" s="1"/>
  <c r="BL354" i="3"/>
  <c r="AZ354" i="3" s="1"/>
  <c r="G378" i="3"/>
  <c r="G395" i="3"/>
  <c r="G208" i="3"/>
  <c r="G211" i="3"/>
  <c r="BA213" i="3"/>
  <c r="AZ213" i="3"/>
  <c r="BA215" i="3"/>
  <c r="G219" i="3"/>
  <c r="G230" i="3"/>
  <c r="BA232" i="3"/>
  <c r="BA234" i="3"/>
  <c r="AZ234" i="3" s="1"/>
  <c r="G248" i="3"/>
  <c r="BL268" i="3"/>
  <c r="G278" i="3"/>
  <c r="BA474" i="3"/>
  <c r="AZ474" i="3" s="1"/>
  <c r="BA475" i="3"/>
  <c r="AZ475" i="3"/>
  <c r="BL481" i="3"/>
  <c r="AZ481" i="3" s="1"/>
  <c r="BL482" i="3"/>
  <c r="AZ482" i="3"/>
  <c r="G483" i="3"/>
  <c r="BL486" i="3"/>
  <c r="G487" i="3"/>
  <c r="BA492" i="3"/>
  <c r="AZ492" i="3" s="1"/>
  <c r="BL363" i="3"/>
  <c r="AZ363" i="3"/>
  <c r="G369" i="3"/>
  <c r="BL393" i="3"/>
  <c r="AZ393" i="3" s="1"/>
  <c r="BL396" i="3"/>
  <c r="BL209" i="3"/>
  <c r="AZ209" i="3" s="1"/>
  <c r="G240" i="3"/>
  <c r="G242" i="3"/>
  <c r="G245" i="3"/>
  <c r="BL246" i="3"/>
  <c r="BL253" i="3"/>
  <c r="BA261" i="3"/>
  <c r="BA264" i="3"/>
  <c r="BA266" i="3"/>
  <c r="G272" i="3"/>
  <c r="G275" i="3"/>
  <c r="BL279" i="3"/>
  <c r="BL281" i="3"/>
  <c r="AZ281" i="3" s="1"/>
  <c r="BA285" i="3"/>
  <c r="BA287" i="3"/>
  <c r="BL153" i="3"/>
  <c r="BA289" i="3"/>
  <c r="AZ289" i="3"/>
  <c r="G293" i="3"/>
  <c r="G296" i="3"/>
  <c r="BL296" i="3"/>
  <c r="AZ296" i="3"/>
  <c r="G301" i="3"/>
  <c r="G114" i="3"/>
  <c r="BL114" i="3"/>
  <c r="BL117" i="3"/>
  <c r="G118" i="3"/>
  <c r="BL119" i="3"/>
  <c r="AZ119" i="3"/>
  <c r="G120" i="3"/>
  <c r="G124" i="3"/>
  <c r="BL129" i="3"/>
  <c r="BL131" i="3"/>
  <c r="AZ131" i="3" s="1"/>
  <c r="G132" i="3"/>
  <c r="G139" i="3"/>
  <c r="G142" i="3"/>
  <c r="BL142" i="3"/>
  <c r="BA158" i="3"/>
  <c r="BA161" i="3"/>
  <c r="AZ161" i="3" s="1"/>
  <c r="BA172" i="3"/>
  <c r="AZ172" i="3"/>
  <c r="BL288" i="3"/>
  <c r="BA292" i="3"/>
  <c r="BA295" i="3"/>
  <c r="AZ295" i="3" s="1"/>
  <c r="G298" i="3"/>
  <c r="BA299" i="3"/>
  <c r="BA300" i="3"/>
  <c r="AZ300" i="3" s="1"/>
  <c r="BA113" i="3"/>
  <c r="G119" i="3"/>
  <c r="G122" i="3"/>
  <c r="G131" i="3"/>
  <c r="BA136" i="3"/>
  <c r="AZ136" i="3" s="1"/>
  <c r="BA138" i="3"/>
  <c r="AZ138" i="3" s="1"/>
  <c r="BA141" i="3"/>
  <c r="BL145" i="3"/>
  <c r="BL147" i="3"/>
  <c r="AZ147" i="3" s="1"/>
  <c r="G148" i="3"/>
  <c r="BL151" i="3"/>
  <c r="AZ151" i="3"/>
  <c r="BA165" i="3"/>
  <c r="G168" i="3"/>
  <c r="BA170" i="3"/>
  <c r="BL174" i="3"/>
  <c r="AZ174" i="3" s="1"/>
  <c r="BL87" i="3"/>
  <c r="BL202" i="3"/>
  <c r="BL36" i="3"/>
  <c r="AZ36" i="3"/>
  <c r="BL104" i="3"/>
  <c r="G200" i="3"/>
  <c r="G207" i="3"/>
  <c r="BA23" i="3"/>
  <c r="BA24" i="3"/>
  <c r="BL26" i="3"/>
  <c r="AZ26" i="3" s="1"/>
  <c r="BL32" i="3"/>
  <c r="BA34" i="3"/>
  <c r="BA35" i="3"/>
  <c r="BL37" i="3"/>
  <c r="AZ37" i="3" s="1"/>
  <c r="BL42" i="3"/>
  <c r="BA44" i="3"/>
  <c r="BL46" i="3"/>
  <c r="AZ46" i="3" s="1"/>
  <c r="AZ60" i="3"/>
  <c r="BA206" i="3"/>
  <c r="BL22" i="3"/>
  <c r="BL33" i="3"/>
  <c r="BL43" i="3"/>
  <c r="BL78" i="3"/>
  <c r="BA83" i="3"/>
  <c r="G91" i="3"/>
  <c r="BL95" i="3"/>
  <c r="BL98" i="3"/>
  <c r="BL109" i="3"/>
  <c r="AB21" i="21"/>
  <c r="G77" i="3"/>
  <c r="G94" i="3"/>
  <c r="G97" i="3"/>
  <c r="G100" i="3"/>
  <c r="BA81" i="3"/>
  <c r="AZ81" i="3" s="1"/>
  <c r="BA85" i="3"/>
  <c r="BL89" i="3"/>
  <c r="BA107" i="3"/>
  <c r="AZ107" i="3"/>
  <c r="BA112" i="3"/>
  <c r="AC21" i="34"/>
  <c r="E27" i="71"/>
  <c r="E26" i="71" s="1"/>
  <c r="V28" i="71"/>
  <c r="BA76" i="3"/>
  <c r="BL80" i="3"/>
  <c r="BA93" i="3"/>
  <c r="BA96" i="3"/>
  <c r="BA99" i="3"/>
  <c r="U18" i="35"/>
  <c r="Y32" i="71"/>
  <c r="Z32" i="71" s="1"/>
  <c r="Y33" i="71"/>
  <c r="Z33" i="71" s="1"/>
  <c r="Y22" i="71"/>
  <c r="Z22" i="71"/>
  <c r="X24" i="71"/>
  <c r="AA22" i="71"/>
  <c r="X21" i="71"/>
  <c r="X17" i="71"/>
  <c r="AA17" i="71"/>
  <c r="Y11" i="71"/>
  <c r="Z11" i="71"/>
  <c r="S21" i="21"/>
  <c r="U18" i="36"/>
  <c r="X27" i="71"/>
  <c r="Y31" i="71"/>
  <c r="Z31" i="71"/>
  <c r="X10" i="71"/>
  <c r="AA24" i="71"/>
  <c r="Y23" i="71"/>
  <c r="Z23" i="71" s="1"/>
  <c r="Y21" i="71"/>
  <c r="Z21" i="71" s="1"/>
  <c r="AA11" i="71"/>
  <c r="Y17" i="71"/>
  <c r="Z17" i="71"/>
  <c r="AA26" i="71"/>
  <c r="AA32" i="71"/>
  <c r="AB29" i="71"/>
  <c r="AA33" i="71"/>
  <c r="AA29" i="71"/>
  <c r="X29" i="71"/>
  <c r="Y9" i="71"/>
  <c r="Z9" i="71"/>
  <c r="Y10" i="71"/>
  <c r="Z10" i="71" s="1"/>
  <c r="Y39" i="71"/>
  <c r="Z39" i="71"/>
  <c r="AB24" i="71"/>
  <c r="AB21" i="71"/>
  <c r="AB18" i="71"/>
  <c r="AB14" i="71"/>
  <c r="AA25" i="71"/>
  <c r="AA31" i="71"/>
  <c r="X30" i="71"/>
  <c r="AB30" i="71"/>
  <c r="Y34" i="71"/>
  <c r="Z34" i="71" s="1"/>
  <c r="Y36" i="71"/>
  <c r="Z36" i="7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I24" i="43"/>
  <c r="C24" i="43" s="1"/>
  <c r="S22" i="31"/>
  <c r="R22" i="31" s="1"/>
  <c r="D74" i="43"/>
  <c r="E50" i="43"/>
  <c r="B48" i="43" s="1"/>
  <c r="AC32" i="36"/>
  <c r="W31" i="36"/>
  <c r="AC34" i="36"/>
  <c r="AA31" i="36"/>
  <c r="S28" i="36"/>
  <c r="S30" i="36"/>
  <c r="S29" i="36"/>
  <c r="W8" i="36"/>
  <c r="AB8" i="36"/>
  <c r="W11" i="36"/>
  <c r="S8" i="36"/>
  <c r="AB11" i="36"/>
  <c r="AB10" i="35"/>
  <c r="U30" i="35"/>
  <c r="AA30" i="35"/>
  <c r="W32" i="35"/>
  <c r="W33" i="35"/>
  <c r="AA9" i="35"/>
  <c r="S8" i="35"/>
  <c r="AB9" i="35"/>
  <c r="U11" i="35"/>
  <c r="S33" i="37"/>
  <c r="AC9" i="37"/>
  <c r="W11" i="37"/>
  <c r="AA8" i="37"/>
  <c r="AA9" i="37"/>
  <c r="AA12" i="37"/>
  <c r="AB9" i="37"/>
  <c r="U11" i="37"/>
  <c r="U12" i="37"/>
  <c r="AC8" i="37"/>
  <c r="AB37" i="34"/>
  <c r="S9" i="34"/>
  <c r="AC11" i="34"/>
  <c r="AB13" i="33"/>
  <c r="S8" i="33"/>
  <c r="U8" i="33"/>
  <c r="C4" i="12"/>
  <c r="I4" i="6"/>
  <c r="G3" i="43"/>
  <c r="W10" i="36"/>
  <c r="U10" i="36"/>
  <c r="S10" i="36"/>
  <c r="AA10" i="35"/>
  <c r="W10" i="35"/>
  <c r="U10" i="37"/>
  <c r="S10" i="37"/>
  <c r="W10" i="34"/>
  <c r="U10" i="34"/>
  <c r="S10" i="34"/>
  <c r="AB10" i="33"/>
  <c r="U10" i="21"/>
  <c r="S10" i="21"/>
  <c r="AB27" i="36"/>
  <c r="S27" i="36"/>
  <c r="AC27" i="36"/>
  <c r="AC8" i="35"/>
  <c r="U8" i="35"/>
  <c r="H26" i="35"/>
  <c r="AB26" i="35" s="1"/>
  <c r="F26" i="35"/>
  <c r="AA26" i="35" s="1"/>
  <c r="J26" i="35"/>
  <c r="W33" i="37"/>
  <c r="AA11" i="37"/>
  <c r="W34" i="34"/>
  <c r="W37" i="34"/>
  <c r="S34" i="34"/>
  <c r="AB11" i="34"/>
  <c r="P74" i="67"/>
  <c r="D72" i="43"/>
  <c r="D76" i="43"/>
  <c r="D80" i="43"/>
  <c r="D61" i="43"/>
  <c r="P61" i="15"/>
  <c r="C21" i="69"/>
  <c r="J84" i="43"/>
  <c r="J85" i="43"/>
  <c r="J86" i="43"/>
  <c r="J87" i="43"/>
  <c r="J88" i="43"/>
  <c r="J89" i="43"/>
  <c r="J90" i="43"/>
  <c r="D83" i="43"/>
  <c r="E83" i="43" s="1"/>
  <c r="B81" i="43" s="1"/>
  <c r="D66" i="43"/>
  <c r="D64" i="43"/>
  <c r="D62" i="43"/>
  <c r="D67" i="43"/>
  <c r="D65" i="43"/>
  <c r="D63" i="43"/>
  <c r="D69" i="43"/>
  <c r="D73" i="43"/>
  <c r="D75" i="43"/>
  <c r="D79" i="43"/>
  <c r="D22" i="67"/>
  <c r="H90" i="43"/>
  <c r="I18" i="43"/>
  <c r="E17" i="43" s="1"/>
  <c r="C17" i="43"/>
  <c r="G26" i="43"/>
  <c r="H55" i="43"/>
  <c r="T35" i="4"/>
  <c r="A19" i="51" s="1"/>
  <c r="B14" i="72" s="1"/>
  <c r="K5" i="4"/>
  <c r="B47" i="48" s="1"/>
  <c r="AB8" i="71"/>
  <c r="B8" i="74"/>
  <c r="C8" i="74" s="1"/>
  <c r="H68" i="43"/>
  <c r="E44" i="43"/>
  <c r="C44" i="43"/>
  <c r="AC21" i="39"/>
  <c r="AB23" i="39"/>
  <c r="AB15" i="39"/>
  <c r="AC15" i="39"/>
  <c r="S25" i="39"/>
  <c r="W42" i="39"/>
  <c r="W14" i="39"/>
  <c r="S29" i="39"/>
  <c r="E11" i="43"/>
  <c r="E9" i="43"/>
  <c r="E10" i="43"/>
  <c r="E8" i="43"/>
  <c r="D23" i="67"/>
  <c r="G25" i="12"/>
  <c r="G41" i="11"/>
  <c r="G27" i="12"/>
  <c r="G41" i="68"/>
  <c r="K4" i="4"/>
  <c r="B46" i="48"/>
  <c r="B4" i="72" s="1"/>
  <c r="B4" i="62"/>
  <c r="B71" i="72" s="1"/>
  <c r="D9" i="53"/>
  <c r="B25" i="72" s="1"/>
  <c r="B24" i="72"/>
  <c r="Y16" i="71"/>
  <c r="Z16" i="71" s="1"/>
  <c r="Y15" i="71"/>
  <c r="Z15" i="71" s="1"/>
  <c r="AA16" i="71"/>
  <c r="AB3" i="71"/>
  <c r="X16" i="71"/>
  <c r="AB16" i="71"/>
  <c r="Y3" i="71"/>
  <c r="Z3" i="71" s="1"/>
  <c r="AF3" i="71"/>
  <c r="S26" i="37"/>
  <c r="W40" i="40"/>
  <c r="W12" i="21"/>
  <c r="AA27" i="34"/>
  <c r="S27" i="34"/>
  <c r="AC26" i="37"/>
  <c r="AA9" i="36"/>
  <c r="AA34" i="35"/>
  <c r="S34" i="35"/>
  <c r="S40" i="40"/>
  <c r="AC34" i="35"/>
  <c r="W34" i="35"/>
  <c r="C28" i="43"/>
  <c r="S26" i="35"/>
  <c r="AC26" i="35"/>
  <c r="W26" i="35"/>
  <c r="B7" i="74"/>
  <c r="AE11" i="1"/>
  <c r="AE9" i="1"/>
  <c r="AE7" i="1"/>
  <c r="AE8" i="1"/>
  <c r="AE12" i="1"/>
  <c r="AE10" i="1"/>
  <c r="AG11" i="1"/>
  <c r="AG9" i="1"/>
  <c r="AG10" i="1"/>
  <c r="AG8" i="1"/>
  <c r="AG12" i="1"/>
  <c r="AG7" i="1"/>
  <c r="AG6" i="1"/>
  <c r="S8" i="1"/>
  <c r="AR8" i="1" s="1"/>
  <c r="E8" i="70"/>
  <c r="S11" i="1"/>
  <c r="AR11" i="1" s="1"/>
  <c r="E11" i="70"/>
  <c r="S9" i="1"/>
  <c r="T9" i="1" s="1"/>
  <c r="S7" i="1"/>
  <c r="AQ7" i="1" s="1"/>
  <c r="E7" i="70"/>
  <c r="S10" i="1"/>
  <c r="T10" i="1" s="1"/>
  <c r="E10" i="70"/>
  <c r="S12" i="1"/>
  <c r="AQ12" i="1" s="1"/>
  <c r="B2" i="74"/>
  <c r="R7" i="1"/>
  <c r="E12" i="70"/>
  <c r="F34" i="11"/>
  <c r="F11" i="12"/>
  <c r="E9" i="70"/>
  <c r="R11" i="1"/>
  <c r="R9" i="1"/>
  <c r="R10" i="1"/>
  <c r="D7" i="74"/>
  <c r="R8" i="1"/>
  <c r="R12" i="1"/>
  <c r="B2" i="33"/>
  <c r="B2" i="36"/>
  <c r="B3" i="36" s="1"/>
  <c r="B2" i="35"/>
  <c r="B3" i="35" s="1"/>
  <c r="B2" i="37"/>
  <c r="B2" i="34"/>
  <c r="B6" i="74"/>
  <c r="D6" i="74" s="1"/>
  <c r="F39" i="21"/>
  <c r="AA39" i="21" s="1"/>
  <c r="S42" i="21"/>
  <c r="W41" i="21"/>
  <c r="S40" i="21"/>
  <c r="J39" i="21"/>
  <c r="AC39" i="21" s="1"/>
  <c r="F117" i="21"/>
  <c r="G117" i="21" s="1"/>
  <c r="AB39" i="21"/>
  <c r="G110" i="21"/>
  <c r="H110" i="21" s="1"/>
  <c r="I110" i="21" s="1"/>
  <c r="J110" i="21" s="1"/>
  <c r="K110" i="21" s="1"/>
  <c r="L110" i="21" s="1"/>
  <c r="M110" i="21" s="1"/>
  <c r="S35" i="21"/>
  <c r="G101" i="21"/>
  <c r="H101" i="21" s="1"/>
  <c r="I101" i="21" s="1"/>
  <c r="J101" i="21" s="1"/>
  <c r="K101" i="21" s="1"/>
  <c r="L101" i="21" s="1"/>
  <c r="M101" i="21" s="1"/>
  <c r="F29" i="21"/>
  <c r="AA29" i="21" s="1"/>
  <c r="W30" i="21"/>
  <c r="U30" i="21"/>
  <c r="F113" i="21"/>
  <c r="G113" i="21" s="1"/>
  <c r="H113" i="21" s="1"/>
  <c r="U38" i="21"/>
  <c r="S38" i="21"/>
  <c r="W38" i="21"/>
  <c r="AA15" i="21"/>
  <c r="S12" i="21"/>
  <c r="AA12" i="21"/>
  <c r="W10" i="21"/>
  <c r="J11" i="21"/>
  <c r="W11" i="21" s="1"/>
  <c r="AC35" i="21"/>
  <c r="U35" i="21"/>
  <c r="S34" i="21"/>
  <c r="U28" i="21"/>
  <c r="AA9" i="21"/>
  <c r="S9" i="21"/>
  <c r="J9" i="21"/>
  <c r="W9" i="21" s="1"/>
  <c r="U9" i="21"/>
  <c r="AB8" i="21"/>
  <c r="W8" i="21"/>
  <c r="AA8" i="21"/>
  <c r="H84" i="43"/>
  <c r="H93" i="43"/>
  <c r="H87" i="43"/>
  <c r="H58" i="43"/>
  <c r="H85" i="43"/>
  <c r="H69" i="43"/>
  <c r="J21" i="43"/>
  <c r="F38" i="43"/>
  <c r="H63" i="43"/>
  <c r="H88" i="43"/>
  <c r="H78" i="43"/>
  <c r="H67" i="43"/>
  <c r="X7" i="43"/>
  <c r="F37" i="43"/>
  <c r="H77" i="43"/>
  <c r="H62" i="43"/>
  <c r="C6" i="43"/>
  <c r="H116" i="43"/>
  <c r="C92" i="9"/>
  <c r="C40" i="69"/>
  <c r="C21" i="68"/>
  <c r="C40" i="68"/>
  <c r="E26" i="43"/>
  <c r="H26" i="43"/>
  <c r="J26" i="43"/>
  <c r="B116" i="43"/>
  <c r="AR13" i="1"/>
  <c r="AQ13" i="1"/>
  <c r="Z7" i="43"/>
  <c r="BL13" i="3"/>
  <c r="F29" i="6"/>
  <c r="T11" i="1"/>
  <c r="AQ11" i="1"/>
  <c r="O9" i="1"/>
  <c r="P9" i="1"/>
  <c r="O7" i="1"/>
  <c r="P7" i="1"/>
  <c r="O13" i="1"/>
  <c r="P13" i="1"/>
  <c r="O10" i="1"/>
  <c r="P10" i="1"/>
  <c r="O8" i="1"/>
  <c r="P8" i="1"/>
  <c r="AR12" i="1"/>
  <c r="P12" i="1"/>
  <c r="P6" i="1"/>
  <c r="X8" i="71"/>
  <c r="B37" i="48"/>
  <c r="B2" i="72"/>
  <c r="Y8" i="71"/>
  <c r="Z8" i="71"/>
  <c r="L1" i="73"/>
  <c r="C34" i="67"/>
  <c r="C34" i="15"/>
  <c r="C62" i="15"/>
  <c r="I54" i="67"/>
  <c r="K1" i="73"/>
  <c r="U42" i="21"/>
  <c r="U36" i="21"/>
  <c r="AC9" i="21"/>
  <c r="C61" i="67"/>
  <c r="C32" i="67"/>
  <c r="C33" i="67"/>
  <c r="C61" i="15"/>
  <c r="C32" i="15"/>
  <c r="C33" i="15"/>
  <c r="U32" i="21"/>
  <c r="O14" i="1"/>
  <c r="D3" i="21"/>
  <c r="C60" i="67"/>
  <c r="C60" i="15"/>
  <c r="P14" i="1"/>
  <c r="L46" i="67"/>
  <c r="C62" i="67"/>
  <c r="B7" i="76"/>
  <c r="M24" i="15"/>
  <c r="F38" i="15"/>
  <c r="F9" i="15"/>
  <c r="F9" i="67"/>
  <c r="F5" i="73"/>
  <c r="M27" i="15"/>
  <c r="M9" i="15"/>
  <c r="D4" i="73"/>
  <c r="F42" i="67"/>
  <c r="F37" i="67"/>
  <c r="M23" i="67"/>
  <c r="AO12" i="1"/>
  <c r="M22" i="15"/>
  <c r="E2" i="68"/>
  <c r="M24" i="67"/>
  <c r="M29" i="15"/>
  <c r="F41" i="15"/>
  <c r="D5" i="73"/>
  <c r="E2" i="69"/>
  <c r="J15" i="15"/>
  <c r="F35" i="15"/>
  <c r="F7" i="73"/>
  <c r="L47" i="15"/>
  <c r="D2" i="37"/>
  <c r="L48" i="15"/>
  <c r="AO11" i="1"/>
  <c r="M8" i="15"/>
  <c r="M6" i="67"/>
  <c r="M28" i="67"/>
  <c r="M6" i="15"/>
  <c r="D2" i="34"/>
  <c r="M26" i="15"/>
  <c r="F37" i="15"/>
  <c r="E12" i="76"/>
  <c r="D2" i="21"/>
  <c r="F7" i="67"/>
  <c r="B10" i="76"/>
  <c r="E13" i="76"/>
  <c r="M28" i="15"/>
  <c r="F6" i="73"/>
  <c r="C76" i="67"/>
  <c r="E8" i="76"/>
  <c r="E10" i="76"/>
  <c r="AO9" i="1"/>
  <c r="B12" i="76"/>
  <c r="F42" i="15"/>
  <c r="F36" i="15"/>
  <c r="F40" i="67"/>
  <c r="B8" i="76"/>
  <c r="M23" i="15"/>
  <c r="F7" i="15"/>
  <c r="B11" i="76"/>
  <c r="D6" i="73"/>
  <c r="E7" i="76"/>
  <c r="D2" i="36"/>
  <c r="F26" i="15"/>
  <c r="C76" i="15"/>
  <c r="F16" i="15"/>
  <c r="F8" i="67"/>
  <c r="F40" i="15"/>
  <c r="D34" i="9"/>
  <c r="AO10" i="1"/>
  <c r="B13" i="76"/>
  <c r="D35" i="9"/>
  <c r="D2" i="35"/>
  <c r="F13" i="67"/>
  <c r="E11" i="76"/>
  <c r="F8" i="15"/>
  <c r="F16" i="67"/>
  <c r="F6" i="15"/>
  <c r="M26" i="67"/>
  <c r="AO7" i="1"/>
  <c r="F36" i="67"/>
  <c r="M22" i="67"/>
  <c r="AO13" i="1"/>
  <c r="E9" i="76"/>
  <c r="M21" i="15"/>
  <c r="J15" i="67"/>
  <c r="M27" i="67"/>
  <c r="L47" i="67"/>
  <c r="D7" i="73"/>
  <c r="F4" i="73"/>
  <c r="F20" i="31"/>
  <c r="M8" i="67"/>
  <c r="F3" i="73"/>
  <c r="F43" i="15"/>
  <c r="M9" i="67"/>
  <c r="D2" i="33"/>
  <c r="D3" i="73"/>
  <c r="F13" i="15"/>
  <c r="B9" i="76"/>
  <c r="AO8" i="1"/>
  <c r="S21" i="39" l="1"/>
  <c r="AA21" i="39"/>
  <c r="AB13" i="21"/>
  <c r="U13" i="21"/>
  <c r="AZ93" i="3"/>
  <c r="F30" i="6"/>
  <c r="D8" i="74"/>
  <c r="AZ264" i="3"/>
  <c r="AB19" i="33"/>
  <c r="AZ561" i="3"/>
  <c r="AC23" i="36"/>
  <c r="W23" i="36"/>
  <c r="W39" i="39"/>
  <c r="AZ87" i="3"/>
  <c r="W23" i="33"/>
  <c r="AC23" i="33"/>
  <c r="U27" i="33"/>
  <c r="AB27" i="33"/>
  <c r="AA36" i="33"/>
  <c r="S36" i="33"/>
  <c r="D121" i="43"/>
  <c r="E121" i="43" s="1"/>
  <c r="F121" i="43" s="1"/>
  <c r="B120" i="43"/>
  <c r="C120" i="43" s="1"/>
  <c r="AC11" i="21"/>
  <c r="E72" i="43"/>
  <c r="B70" i="43" s="1"/>
  <c r="AC10" i="33"/>
  <c r="AZ206" i="3"/>
  <c r="AC32" i="39"/>
  <c r="W32" i="39"/>
  <c r="U45" i="21"/>
  <c r="AB45" i="21"/>
  <c r="AC35" i="33"/>
  <c r="W35" i="33"/>
  <c r="S11" i="34"/>
  <c r="AA11" i="34"/>
  <c r="AA28" i="34"/>
  <c r="S28" i="34"/>
  <c r="AZ112" i="3"/>
  <c r="AZ117" i="3"/>
  <c r="S39" i="34"/>
  <c r="D120" i="9"/>
  <c r="S40" i="34"/>
  <c r="U34" i="33"/>
  <c r="S10" i="33"/>
  <c r="U27" i="40"/>
  <c r="U20" i="36"/>
  <c r="S33" i="34"/>
  <c r="W37" i="33"/>
  <c r="AZ387" i="3"/>
  <c r="AZ305" i="3"/>
  <c r="AZ167" i="3"/>
  <c r="S32" i="40"/>
  <c r="AB27" i="34"/>
  <c r="AZ511" i="3"/>
  <c r="AZ518" i="3"/>
  <c r="AZ526" i="3"/>
  <c r="W17" i="34"/>
  <c r="U40" i="33"/>
  <c r="J29" i="21"/>
  <c r="H29" i="21"/>
  <c r="AC28" i="35"/>
  <c r="W28" i="35"/>
  <c r="H45" i="34"/>
  <c r="J45" i="34"/>
  <c r="H33" i="36"/>
  <c r="J33" i="36"/>
  <c r="AB9" i="39"/>
  <c r="U9" i="39"/>
  <c r="G552" i="3"/>
  <c r="AZ339" i="3"/>
  <c r="AZ535" i="3"/>
  <c r="AZ543" i="3"/>
  <c r="AZ565" i="3"/>
  <c r="BA586" i="3"/>
  <c r="BL585" i="3"/>
  <c r="F23" i="36"/>
  <c r="H23" i="36"/>
  <c r="H27" i="37"/>
  <c r="F27" i="37"/>
  <c r="J13" i="39"/>
  <c r="H13" i="39"/>
  <c r="W31" i="35"/>
  <c r="AC31" i="35"/>
  <c r="AZ22" i="3"/>
  <c r="AZ268" i="3"/>
  <c r="AB20" i="35"/>
  <c r="AB31" i="37"/>
  <c r="S14" i="36"/>
  <c r="AA12" i="39"/>
  <c r="AB19" i="40"/>
  <c r="AZ338" i="3"/>
  <c r="AZ372" i="3"/>
  <c r="AZ351" i="3"/>
  <c r="AZ342" i="3"/>
  <c r="AZ337" i="3"/>
  <c r="AZ304" i="3"/>
  <c r="AZ192" i="3"/>
  <c r="AZ378" i="3"/>
  <c r="AZ341" i="3"/>
  <c r="AZ527" i="3"/>
  <c r="AZ513" i="3"/>
  <c r="AZ523" i="3"/>
  <c r="AZ577" i="3"/>
  <c r="AZ583" i="3"/>
  <c r="AZ498" i="3"/>
  <c r="AZ522" i="3"/>
  <c r="AZ574" i="3"/>
  <c r="AZ584" i="3"/>
  <c r="AZ512" i="3"/>
  <c r="AA11" i="36"/>
  <c r="S11" i="36"/>
  <c r="AA29" i="35"/>
  <c r="F39" i="37"/>
  <c r="G587" i="3"/>
  <c r="G585" i="3"/>
  <c r="B72" i="43"/>
  <c r="C15" i="39"/>
  <c r="AC41" i="33"/>
  <c r="H9" i="33"/>
  <c r="J9" i="33"/>
  <c r="F9" i="33"/>
  <c r="J29" i="33"/>
  <c r="F29" i="33"/>
  <c r="H23" i="35"/>
  <c r="H9" i="36"/>
  <c r="J9" i="36"/>
  <c r="AC31" i="37"/>
  <c r="W31" i="37"/>
  <c r="F36" i="39"/>
  <c r="H36" i="39"/>
  <c r="AB36" i="39" s="1"/>
  <c r="J36" i="39"/>
  <c r="BL550" i="3"/>
  <c r="C23" i="12"/>
  <c r="AB12" i="21"/>
  <c r="C7" i="43"/>
  <c r="E61" i="43"/>
  <c r="B59" i="43" s="1"/>
  <c r="AC10" i="37"/>
  <c r="AC36" i="33"/>
  <c r="AZ104" i="3"/>
  <c r="AZ486" i="3"/>
  <c r="AC19" i="37"/>
  <c r="S43" i="33"/>
  <c r="AB41" i="34"/>
  <c r="U13" i="37"/>
  <c r="AZ361" i="3"/>
  <c r="AZ357" i="3"/>
  <c r="AZ389" i="3"/>
  <c r="AZ356" i="3"/>
  <c r="AZ391" i="3"/>
  <c r="AZ380" i="3"/>
  <c r="AC31" i="33"/>
  <c r="AZ538" i="3"/>
  <c r="AZ570" i="3"/>
  <c r="J28" i="34"/>
  <c r="U34" i="35"/>
  <c r="BL586" i="3"/>
  <c r="BK5" i="3"/>
  <c r="BA585" i="3"/>
  <c r="AZ585" i="3" s="1"/>
  <c r="F13" i="21"/>
  <c r="J13" i="21"/>
  <c r="F32" i="36"/>
  <c r="H32" i="36"/>
  <c r="AA38" i="39"/>
  <c r="S38" i="39"/>
  <c r="W31" i="40"/>
  <c r="AC31" i="40"/>
  <c r="S31" i="35"/>
  <c r="AA31" i="35"/>
  <c r="G586" i="3"/>
  <c r="J25" i="37"/>
  <c r="AC25" i="37" s="1"/>
  <c r="BA400" i="3"/>
  <c r="AZ400" i="3" s="1"/>
  <c r="BA401" i="3"/>
  <c r="BL401" i="3"/>
  <c r="BA404" i="3"/>
  <c r="BA406" i="3"/>
  <c r="AZ406" i="3" s="1"/>
  <c r="BA409" i="3"/>
  <c r="AZ409" i="3" s="1"/>
  <c r="BA413" i="3"/>
  <c r="AZ413" i="3" s="1"/>
  <c r="BA415" i="3"/>
  <c r="AZ415" i="3" s="1"/>
  <c r="BA416" i="3"/>
  <c r="BA418" i="3"/>
  <c r="AZ418" i="3" s="1"/>
  <c r="BA421" i="3"/>
  <c r="AZ421" i="3" s="1"/>
  <c r="BL424" i="3"/>
  <c r="BA427" i="3"/>
  <c r="AZ427" i="3" s="1"/>
  <c r="G430" i="3"/>
  <c r="BA432" i="3"/>
  <c r="AZ432" i="3" s="1"/>
  <c r="BL432" i="3"/>
  <c r="BA435" i="3"/>
  <c r="AZ435" i="3" s="1"/>
  <c r="BA440" i="3"/>
  <c r="AZ440" i="3" s="1"/>
  <c r="BA441" i="3"/>
  <c r="AZ441" i="3" s="1"/>
  <c r="BL441" i="3"/>
  <c r="BL483" i="3"/>
  <c r="BL324" i="3"/>
  <c r="AZ324" i="3" s="1"/>
  <c r="AZ454" i="3"/>
  <c r="BL587" i="3"/>
  <c r="AZ587" i="3" s="1"/>
  <c r="BF5" i="3"/>
  <c r="BA582" i="3"/>
  <c r="AZ582" i="3" s="1"/>
  <c r="BA567" i="3"/>
  <c r="AZ567" i="3" s="1"/>
  <c r="BL561" i="3"/>
  <c r="BL560" i="3"/>
  <c r="AZ560" i="3" s="1"/>
  <c r="BA560" i="3"/>
  <c r="BA559" i="3"/>
  <c r="G542" i="3"/>
  <c r="BA539" i="3"/>
  <c r="AZ539" i="3" s="1"/>
  <c r="BL538" i="3"/>
  <c r="BA536" i="3"/>
  <c r="AZ536" i="3" s="1"/>
  <c r="G535" i="3"/>
  <c r="BL400" i="3"/>
  <c r="BA410" i="3"/>
  <c r="BL412" i="3"/>
  <c r="AZ412" i="3" s="1"/>
  <c r="BL413" i="3"/>
  <c r="BL422" i="3"/>
  <c r="AZ422" i="3" s="1"/>
  <c r="BA429" i="3"/>
  <c r="BL429" i="3"/>
  <c r="BA484" i="3"/>
  <c r="BA227" i="3"/>
  <c r="BA405" i="3"/>
  <c r="BL405" i="3"/>
  <c r="BA408" i="3"/>
  <c r="BL408" i="3"/>
  <c r="BA417" i="3"/>
  <c r="BL417" i="3"/>
  <c r="BA420" i="3"/>
  <c r="BL420" i="3"/>
  <c r="BL430" i="3"/>
  <c r="BL431" i="3"/>
  <c r="AZ431" i="3" s="1"/>
  <c r="G432" i="3"/>
  <c r="BA434" i="3"/>
  <c r="BA437" i="3"/>
  <c r="AZ437" i="3" s="1"/>
  <c r="BA442" i="3"/>
  <c r="AZ442" i="3" s="1"/>
  <c r="BA443" i="3"/>
  <c r="BA448" i="3"/>
  <c r="AZ448" i="3" s="1"/>
  <c r="BA483" i="3"/>
  <c r="BA491" i="3"/>
  <c r="AZ491" i="3" s="1"/>
  <c r="BL434" i="3"/>
  <c r="BA436" i="3"/>
  <c r="AZ436" i="3" s="1"/>
  <c r="BA438" i="3"/>
  <c r="AZ438" i="3" s="1"/>
  <c r="BL442" i="3"/>
  <c r="BA444" i="3"/>
  <c r="AZ444" i="3" s="1"/>
  <c r="BL444" i="3"/>
  <c r="BL446" i="3"/>
  <c r="BL450" i="3"/>
  <c r="AZ450" i="3" s="1"/>
  <c r="BL453" i="3"/>
  <c r="G455" i="3"/>
  <c r="BA460" i="3"/>
  <c r="AZ460" i="3" s="1"/>
  <c r="BL465" i="3"/>
  <c r="G466" i="3"/>
  <c r="BL468" i="3"/>
  <c r="BA469" i="3"/>
  <c r="AZ469" i="3" s="1"/>
  <c r="BA470" i="3"/>
  <c r="BL472" i="3"/>
  <c r="AZ472" i="3" s="1"/>
  <c r="G474" i="3"/>
  <c r="BL477" i="3"/>
  <c r="G478" i="3"/>
  <c r="BL487" i="3"/>
  <c r="BL488" i="3"/>
  <c r="G489" i="3"/>
  <c r="G490" i="3"/>
  <c r="BL490" i="3"/>
  <c r="AZ490" i="3" s="1"/>
  <c r="G307" i="3"/>
  <c r="BA331" i="3"/>
  <c r="AZ331" i="3" s="1"/>
  <c r="G339" i="3"/>
  <c r="G343" i="3"/>
  <c r="BL346" i="3"/>
  <c r="AZ346" i="3" s="1"/>
  <c r="BL353" i="3"/>
  <c r="BL385" i="3"/>
  <c r="BA396" i="3"/>
  <c r="AZ396" i="3" s="1"/>
  <c r="BL211" i="3"/>
  <c r="BA218" i="3"/>
  <c r="BA219" i="3"/>
  <c r="BA222" i="3"/>
  <c r="AZ222" i="3" s="1"/>
  <c r="BA223" i="3"/>
  <c r="BA226" i="3"/>
  <c r="AZ226" i="3" s="1"/>
  <c r="G233" i="3"/>
  <c r="BL235" i="3"/>
  <c r="BA237" i="3"/>
  <c r="AZ237" i="3" s="1"/>
  <c r="BL244" i="3"/>
  <c r="BA255" i="3"/>
  <c r="BL261" i="3"/>
  <c r="AZ261" i="3" s="1"/>
  <c r="BL271" i="3"/>
  <c r="BA272" i="3"/>
  <c r="AZ272" i="3" s="1"/>
  <c r="BA291" i="3"/>
  <c r="BL302" i="3"/>
  <c r="BL113" i="3"/>
  <c r="AZ113" i="3" s="1"/>
  <c r="BA114" i="3"/>
  <c r="AZ114" i="3" s="1"/>
  <c r="BA118" i="3"/>
  <c r="BL121" i="3"/>
  <c r="BL146" i="3"/>
  <c r="BA148" i="3"/>
  <c r="AZ148" i="3" s="1"/>
  <c r="BA153" i="3"/>
  <c r="AZ153" i="3" s="1"/>
  <c r="BL167" i="3"/>
  <c r="BA168" i="3"/>
  <c r="AZ168" i="3" s="1"/>
  <c r="BL170" i="3"/>
  <c r="AZ170" i="3" s="1"/>
  <c r="G174" i="3"/>
  <c r="BA446" i="3"/>
  <c r="BA447" i="3"/>
  <c r="AZ447" i="3" s="1"/>
  <c r="BA449" i="3"/>
  <c r="AZ449" i="3" s="1"/>
  <c r="BL449" i="3"/>
  <c r="BA451" i="3"/>
  <c r="BL454" i="3"/>
  <c r="BL455" i="3"/>
  <c r="BA457" i="3"/>
  <c r="BL457" i="3"/>
  <c r="BA459" i="3"/>
  <c r="BL462" i="3"/>
  <c r="AZ462" i="3" s="1"/>
  <c r="BL463" i="3"/>
  <c r="AZ463" i="3" s="1"/>
  <c r="BA466" i="3"/>
  <c r="BA468" i="3"/>
  <c r="AZ468" i="3" s="1"/>
  <c r="BL471" i="3"/>
  <c r="AZ471" i="3" s="1"/>
  <c r="BA478" i="3"/>
  <c r="BL478" i="3"/>
  <c r="BL484" i="3"/>
  <c r="BA489" i="3"/>
  <c r="AZ489" i="3" s="1"/>
  <c r="BA303" i="3"/>
  <c r="AZ303" i="3" s="1"/>
  <c r="BL314" i="3"/>
  <c r="AZ314" i="3" s="1"/>
  <c r="BL328" i="3"/>
  <c r="AZ328" i="3" s="1"/>
  <c r="BA335" i="3"/>
  <c r="AZ335" i="3" s="1"/>
  <c r="BA339" i="3"/>
  <c r="BA348" i="3"/>
  <c r="AZ348" i="3" s="1"/>
  <c r="BA350" i="3"/>
  <c r="BA353" i="3"/>
  <c r="AZ353" i="3" s="1"/>
  <c r="BL367" i="3"/>
  <c r="AZ367" i="3" s="1"/>
  <c r="BA368" i="3"/>
  <c r="BL375" i="3"/>
  <c r="AZ375" i="3" s="1"/>
  <c r="BL383" i="3"/>
  <c r="AZ383" i="3" s="1"/>
  <c r="BA385" i="3"/>
  <c r="AZ385" i="3" s="1"/>
  <c r="BL395" i="3"/>
  <c r="BA211" i="3"/>
  <c r="BL214" i="3"/>
  <c r="BA217" i="3"/>
  <c r="AZ217" i="3" s="1"/>
  <c r="BL221" i="3"/>
  <c r="AZ221" i="3" s="1"/>
  <c r="BL222" i="3"/>
  <c r="BL225" i="3"/>
  <c r="AZ225" i="3" s="1"/>
  <c r="BL226" i="3"/>
  <c r="BL227" i="3"/>
  <c r="BL230" i="3"/>
  <c r="BA231" i="3"/>
  <c r="AZ231" i="3" s="1"/>
  <c r="BA235" i="3"/>
  <c r="BL243" i="3"/>
  <c r="BL248" i="3"/>
  <c r="AZ248" i="3" s="1"/>
  <c r="BL250" i="3"/>
  <c r="AZ250" i="3" s="1"/>
  <c r="BA253" i="3"/>
  <c r="AZ253" i="3" s="1"/>
  <c r="BA263" i="3"/>
  <c r="AZ263" i="3" s="1"/>
  <c r="BA271" i="3"/>
  <c r="AZ271" i="3" s="1"/>
  <c r="BL273" i="3"/>
  <c r="AZ273" i="3" s="1"/>
  <c r="BA284" i="3"/>
  <c r="BL127" i="3"/>
  <c r="AZ127" i="3" s="1"/>
  <c r="BA130" i="3"/>
  <c r="AZ130" i="3" s="1"/>
  <c r="BA134" i="3"/>
  <c r="AZ134" i="3" s="1"/>
  <c r="BA188" i="3"/>
  <c r="AZ188" i="3" s="1"/>
  <c r="BL189" i="3"/>
  <c r="AZ189" i="3" s="1"/>
  <c r="BA398" i="3"/>
  <c r="BL398" i="3"/>
  <c r="BL403" i="3"/>
  <c r="AZ403" i="3" s="1"/>
  <c r="BL404" i="3"/>
  <c r="G405" i="3"/>
  <c r="BL407" i="3"/>
  <c r="AZ407" i="3" s="1"/>
  <c r="G409" i="3"/>
  <c r="BL410" i="3"/>
  <c r="G411" i="3"/>
  <c r="BA414" i="3"/>
  <c r="AZ414" i="3" s="1"/>
  <c r="BL414" i="3"/>
  <c r="BL419" i="3"/>
  <c r="AZ419" i="3" s="1"/>
  <c r="G421" i="3"/>
  <c r="BA423" i="3"/>
  <c r="AZ423" i="3" s="1"/>
  <c r="BA424" i="3"/>
  <c r="AZ424" i="3" s="1"/>
  <c r="BA426" i="3"/>
  <c r="AZ426" i="3" s="1"/>
  <c r="BL426" i="3"/>
  <c r="BA428" i="3"/>
  <c r="AZ428" i="3" s="1"/>
  <c r="BA430" i="3"/>
  <c r="AZ430" i="3" s="1"/>
  <c r="G433" i="3"/>
  <c r="BL433" i="3"/>
  <c r="AZ433" i="3" s="1"/>
  <c r="G435" i="3"/>
  <c r="G437" i="3"/>
  <c r="BL438" i="3"/>
  <c r="G439" i="3"/>
  <c r="G445" i="3"/>
  <c r="BL445" i="3"/>
  <c r="AZ445" i="3" s="1"/>
  <c r="G447" i="3"/>
  <c r="BA452" i="3"/>
  <c r="AZ452" i="3" s="1"/>
  <c r="BA455" i="3"/>
  <c r="AZ455" i="3" s="1"/>
  <c r="BL460" i="3"/>
  <c r="G461" i="3"/>
  <c r="BA464" i="3"/>
  <c r="AZ464" i="3" s="1"/>
  <c r="BA465" i="3"/>
  <c r="AZ465" i="3" s="1"/>
  <c r="BL470" i="3"/>
  <c r="G471" i="3"/>
  <c r="BA473" i="3"/>
  <c r="BL473" i="3"/>
  <c r="BA477" i="3"/>
  <c r="BL479" i="3"/>
  <c r="AZ479" i="3" s="1"/>
  <c r="G480" i="3"/>
  <c r="G481" i="3"/>
  <c r="BA486" i="3"/>
  <c r="BA488" i="3"/>
  <c r="BL317" i="3"/>
  <c r="AZ317" i="3" s="1"/>
  <c r="G323" i="3"/>
  <c r="BL332" i="3"/>
  <c r="BL340" i="3"/>
  <c r="AZ340" i="3" s="1"/>
  <c r="BA349" i="3"/>
  <c r="AZ349" i="3" s="1"/>
  <c r="BL350" i="3"/>
  <c r="G351" i="3"/>
  <c r="BA358" i="3"/>
  <c r="AZ358" i="3" s="1"/>
  <c r="G362" i="3"/>
  <c r="BL365" i="3"/>
  <c r="AZ365" i="3" s="1"/>
  <c r="G366" i="3"/>
  <c r="G374" i="3"/>
  <c r="BA384" i="3"/>
  <c r="AZ384" i="3" s="1"/>
  <c r="BL397" i="3"/>
  <c r="BA210" i="3"/>
  <c r="BL212" i="3"/>
  <c r="AZ212" i="3" s="1"/>
  <c r="G224" i="3"/>
  <c r="G225" i="3"/>
  <c r="G227" i="3"/>
  <c r="BL228" i="3"/>
  <c r="BA229" i="3"/>
  <c r="AZ229" i="3" s="1"/>
  <c r="BA230" i="3"/>
  <c r="AZ230" i="3" s="1"/>
  <c r="G238" i="3"/>
  <c r="G239" i="3"/>
  <c r="BL239" i="3"/>
  <c r="G241" i="3"/>
  <c r="BL241" i="3"/>
  <c r="AZ241" i="3" s="1"/>
  <c r="BA243" i="3"/>
  <c r="AZ243" i="3" s="1"/>
  <c r="BA244" i="3"/>
  <c r="G246" i="3"/>
  <c r="BL247" i="3"/>
  <c r="BL249" i="3"/>
  <c r="G250" i="3"/>
  <c r="BL251" i="3"/>
  <c r="AZ251" i="3" s="1"/>
  <c r="G257" i="3"/>
  <c r="BA275" i="3"/>
  <c r="AZ275" i="3" s="1"/>
  <c r="BL278" i="3"/>
  <c r="BA282" i="3"/>
  <c r="AZ282" i="3" s="1"/>
  <c r="G286" i="3"/>
  <c r="BL291" i="3"/>
  <c r="G292" i="3"/>
  <c r="BL292" i="3"/>
  <c r="AZ292" i="3" s="1"/>
  <c r="BA293" i="3"/>
  <c r="G297" i="3"/>
  <c r="BL297" i="3"/>
  <c r="AZ297" i="3" s="1"/>
  <c r="BA298" i="3"/>
  <c r="BL122" i="3"/>
  <c r="G123" i="3"/>
  <c r="BL123" i="3"/>
  <c r="AZ123" i="3" s="1"/>
  <c r="BA124" i="3"/>
  <c r="AZ124" i="3" s="1"/>
  <c r="BA137" i="3"/>
  <c r="BL139" i="3"/>
  <c r="AZ139" i="3" s="1"/>
  <c r="G155" i="3"/>
  <c r="BL155" i="3"/>
  <c r="AZ155" i="3" s="1"/>
  <c r="BA156" i="3"/>
  <c r="AZ156" i="3" s="1"/>
  <c r="BL158" i="3"/>
  <c r="AZ158" i="3" s="1"/>
  <c r="G176" i="3"/>
  <c r="BA177" i="3"/>
  <c r="AZ177" i="3" s="1"/>
  <c r="BA186" i="3"/>
  <c r="AZ186" i="3" s="1"/>
  <c r="BL190" i="3"/>
  <c r="AZ190" i="3" s="1"/>
  <c r="BL193" i="3"/>
  <c r="BA194" i="3"/>
  <c r="AZ194" i="3" s="1"/>
  <c r="BA20" i="3"/>
  <c r="AZ20" i="3" s="1"/>
  <c r="BA245" i="3"/>
  <c r="AZ245" i="3" s="1"/>
  <c r="BA249" i="3"/>
  <c r="G254" i="3"/>
  <c r="BL254" i="3"/>
  <c r="AZ254" i="3" s="1"/>
  <c r="BL255" i="3"/>
  <c r="G256" i="3"/>
  <c r="BL256" i="3"/>
  <c r="AZ256" i="3" s="1"/>
  <c r="BL257" i="3"/>
  <c r="AZ257" i="3" s="1"/>
  <c r="G258" i="3"/>
  <c r="BL258" i="3"/>
  <c r="AZ258" i="3" s="1"/>
  <c r="BL259" i="3"/>
  <c r="AZ259" i="3" s="1"/>
  <c r="G260" i="3"/>
  <c r="BL260" i="3"/>
  <c r="AZ260" i="3" s="1"/>
  <c r="G265" i="3"/>
  <c r="G266" i="3"/>
  <c r="BL266" i="3"/>
  <c r="AZ266" i="3" s="1"/>
  <c r="BA268" i="3"/>
  <c r="BA270" i="3"/>
  <c r="AZ270" i="3" s="1"/>
  <c r="G277" i="3"/>
  <c r="BA279" i="3"/>
  <c r="AZ279" i="3" s="1"/>
  <c r="BL285" i="3"/>
  <c r="AZ285" i="3" s="1"/>
  <c r="BL286" i="3"/>
  <c r="AZ286" i="3" s="1"/>
  <c r="G287" i="3"/>
  <c r="BL287" i="3"/>
  <c r="AZ287" i="3" s="1"/>
  <c r="BA288" i="3"/>
  <c r="AZ288" i="3" s="1"/>
  <c r="BA290" i="3"/>
  <c r="AZ290" i="3" s="1"/>
  <c r="BL293" i="3"/>
  <c r="G294" i="3"/>
  <c r="BL299" i="3"/>
  <c r="AZ299" i="3" s="1"/>
  <c r="BL301" i="3"/>
  <c r="G302" i="3"/>
  <c r="BL115" i="3"/>
  <c r="AZ115" i="3" s="1"/>
  <c r="G116" i="3"/>
  <c r="BA117" i="3"/>
  <c r="BA121" i="3"/>
  <c r="AZ121" i="3" s="1"/>
  <c r="BA122" i="3"/>
  <c r="AZ122" i="3" s="1"/>
  <c r="BL125" i="3"/>
  <c r="BL126" i="3"/>
  <c r="G127" i="3"/>
  <c r="BA129" i="3"/>
  <c r="AZ129" i="3" s="1"/>
  <c r="BA133" i="3"/>
  <c r="AZ133" i="3" s="1"/>
  <c r="BL137" i="3"/>
  <c r="BL141" i="3"/>
  <c r="AZ141" i="3" s="1"/>
  <c r="BA142" i="3"/>
  <c r="AZ142" i="3" s="1"/>
  <c r="BL149" i="3"/>
  <c r="AZ149" i="3" s="1"/>
  <c r="G150" i="3"/>
  <c r="G151" i="3"/>
  <c r="BA152" i="3"/>
  <c r="AZ152" i="3" s="1"/>
  <c r="BL157" i="3"/>
  <c r="AZ157" i="3" s="1"/>
  <c r="BA164" i="3"/>
  <c r="AZ164" i="3" s="1"/>
  <c r="BL169" i="3"/>
  <c r="BA176" i="3"/>
  <c r="AZ176" i="3" s="1"/>
  <c r="BA180" i="3"/>
  <c r="AZ180" i="3" s="1"/>
  <c r="BA182" i="3"/>
  <c r="BA185" i="3"/>
  <c r="AZ185" i="3" s="1"/>
  <c r="BL187" i="3"/>
  <c r="AZ187" i="3" s="1"/>
  <c r="G190" i="3"/>
  <c r="BA193" i="3"/>
  <c r="AZ193" i="3" s="1"/>
  <c r="BL203" i="3"/>
  <c r="AZ203" i="3" s="1"/>
  <c r="BA204" i="3"/>
  <c r="AZ204" i="3" s="1"/>
  <c r="BA205" i="3"/>
  <c r="BL206" i="3"/>
  <c r="BL18" i="3"/>
  <c r="BA19" i="3"/>
  <c r="AZ19" i="3" s="1"/>
  <c r="BL21" i="3"/>
  <c r="AZ21" i="3" s="1"/>
  <c r="BA33" i="3"/>
  <c r="AZ33" i="3" s="1"/>
  <c r="BA40" i="3"/>
  <c r="AZ40" i="3" s="1"/>
  <c r="BL264" i="3"/>
  <c r="BA265" i="3"/>
  <c r="AZ265" i="3" s="1"/>
  <c r="BA267" i="3"/>
  <c r="AZ267" i="3" s="1"/>
  <c r="BL272" i="3"/>
  <c r="G273" i="3"/>
  <c r="G274" i="3"/>
  <c r="BL274" i="3"/>
  <c r="AZ274" i="3" s="1"/>
  <c r="G276" i="3"/>
  <c r="BA277" i="3"/>
  <c r="AZ277" i="3" s="1"/>
  <c r="BA278" i="3"/>
  <c r="BA280" i="3"/>
  <c r="AZ280" i="3" s="1"/>
  <c r="G283" i="3"/>
  <c r="BL283" i="3"/>
  <c r="AZ283" i="3" s="1"/>
  <c r="BL284" i="3"/>
  <c r="G285" i="3"/>
  <c r="BA294" i="3"/>
  <c r="AZ294" i="3" s="1"/>
  <c r="BL298" i="3"/>
  <c r="G299" i="3"/>
  <c r="BA302" i="3"/>
  <c r="AZ302" i="3" s="1"/>
  <c r="G115" i="3"/>
  <c r="BA116" i="3"/>
  <c r="AZ116" i="3" s="1"/>
  <c r="BA120" i="3"/>
  <c r="AZ120" i="3" s="1"/>
  <c r="BA128" i="3"/>
  <c r="AZ128" i="3" s="1"/>
  <c r="BA132" i="3"/>
  <c r="AZ132" i="3" s="1"/>
  <c r="BL135" i="3"/>
  <c r="AZ135" i="3" s="1"/>
  <c r="G136" i="3"/>
  <c r="G140" i="3"/>
  <c r="BL143" i="3"/>
  <c r="AZ143" i="3" s="1"/>
  <c r="G144" i="3"/>
  <c r="BA145" i="3"/>
  <c r="AZ145" i="3" s="1"/>
  <c r="BA146" i="3"/>
  <c r="AZ146" i="3" s="1"/>
  <c r="BA150" i="3"/>
  <c r="AZ150" i="3" s="1"/>
  <c r="G154" i="3"/>
  <c r="BL154" i="3"/>
  <c r="AZ154" i="3" s="1"/>
  <c r="BA160" i="3"/>
  <c r="AZ160" i="3" s="1"/>
  <c r="BL165" i="3"/>
  <c r="AZ165" i="3" s="1"/>
  <c r="G166" i="3"/>
  <c r="BL166" i="3"/>
  <c r="AZ166" i="3" s="1"/>
  <c r="BA173" i="3"/>
  <c r="AZ173" i="3" s="1"/>
  <c r="BL175" i="3"/>
  <c r="AZ175" i="3" s="1"/>
  <c r="BL177" i="3"/>
  <c r="BA178" i="3"/>
  <c r="AZ178" i="3" s="1"/>
  <c r="BL181" i="3"/>
  <c r="AZ181" i="3" s="1"/>
  <c r="BL182" i="3"/>
  <c r="BL183" i="3"/>
  <c r="AZ183" i="3" s="1"/>
  <c r="BA184" i="3"/>
  <c r="AZ184" i="3" s="1"/>
  <c r="BL194" i="3"/>
  <c r="G195" i="3"/>
  <c r="G203" i="3"/>
  <c r="BA22" i="3"/>
  <c r="BL24" i="3"/>
  <c r="AZ24" i="3" s="1"/>
  <c r="G26" i="3"/>
  <c r="BL34" i="3"/>
  <c r="AZ34" i="3" s="1"/>
  <c r="G35" i="3"/>
  <c r="G43" i="3"/>
  <c r="AZ49" i="3"/>
  <c r="G21" i="3"/>
  <c r="G22" i="3"/>
  <c r="G28" i="3"/>
  <c r="G29" i="3"/>
  <c r="BL29" i="3"/>
  <c r="AZ29" i="3" s="1"/>
  <c r="BA30" i="3"/>
  <c r="AZ30" i="3" s="1"/>
  <c r="BA31" i="3"/>
  <c r="AZ31" i="3" s="1"/>
  <c r="BL35" i="3"/>
  <c r="AZ35" i="3" s="1"/>
  <c r="G38" i="3"/>
  <c r="BL39" i="3"/>
  <c r="AZ39" i="3" s="1"/>
  <c r="BL41" i="3"/>
  <c r="AZ41" i="3" s="1"/>
  <c r="BA52" i="3"/>
  <c r="AZ52" i="3" s="1"/>
  <c r="G56" i="3"/>
  <c r="G57" i="3"/>
  <c r="BL62" i="3"/>
  <c r="G68" i="3"/>
  <c r="BA69" i="3"/>
  <c r="AZ69" i="3" s="1"/>
  <c r="BA78" i="3"/>
  <c r="AZ78" i="3" s="1"/>
  <c r="BL82" i="3"/>
  <c r="G83" i="3"/>
  <c r="BL90" i="3"/>
  <c r="G92" i="3"/>
  <c r="BL97" i="3"/>
  <c r="AZ97" i="3" s="1"/>
  <c r="G99" i="3"/>
  <c r="BA104" i="3"/>
  <c r="N67" i="71"/>
  <c r="B66" i="71"/>
  <c r="D87" i="71"/>
  <c r="C86" i="71"/>
  <c r="D86" i="71" s="1"/>
  <c r="E26" i="77"/>
  <c r="E29" i="77"/>
  <c r="BA50" i="3"/>
  <c r="G55" i="3"/>
  <c r="BL55" i="3"/>
  <c r="BA56" i="3"/>
  <c r="AZ56" i="3" s="1"/>
  <c r="BA57" i="3"/>
  <c r="BA59" i="3"/>
  <c r="BL63" i="3"/>
  <c r="G65" i="3"/>
  <c r="AZ65" i="3"/>
  <c r="BL67" i="3"/>
  <c r="BL76" i="3"/>
  <c r="AZ76" i="3" s="1"/>
  <c r="BL77" i="3"/>
  <c r="AZ77" i="3" s="1"/>
  <c r="BA82" i="3"/>
  <c r="BL85" i="3"/>
  <c r="AZ85" i="3" s="1"/>
  <c r="BA90" i="3"/>
  <c r="AZ90" i="3" s="1"/>
  <c r="BL93" i="3"/>
  <c r="G95" i="3"/>
  <c r="BA110" i="3"/>
  <c r="F3" i="35"/>
  <c r="G178" i="3"/>
  <c r="G179" i="3"/>
  <c r="G180" i="3"/>
  <c r="G183" i="3"/>
  <c r="G187" i="3"/>
  <c r="BA192" i="3"/>
  <c r="BL195" i="3"/>
  <c r="AZ195" i="3" s="1"/>
  <c r="BL197" i="3"/>
  <c r="AZ197" i="3" s="1"/>
  <c r="BL198" i="3"/>
  <c r="AZ198" i="3" s="1"/>
  <c r="BL199" i="3"/>
  <c r="AZ199" i="3" s="1"/>
  <c r="BA201" i="3"/>
  <c r="AZ201" i="3" s="1"/>
  <c r="BA202" i="3"/>
  <c r="AZ202" i="3" s="1"/>
  <c r="G206" i="3"/>
  <c r="BA207" i="3"/>
  <c r="AZ207" i="3" s="1"/>
  <c r="BA18" i="3"/>
  <c r="BL23" i="3"/>
  <c r="AZ23" i="3" s="1"/>
  <c r="BA25" i="3"/>
  <c r="AZ25" i="3" s="1"/>
  <c r="BA27" i="3"/>
  <c r="AZ27" i="3" s="1"/>
  <c r="G30" i="3"/>
  <c r="G31" i="3"/>
  <c r="BL31" i="3"/>
  <c r="G32" i="3"/>
  <c r="BA32" i="3"/>
  <c r="AZ32" i="3" s="1"/>
  <c r="BA43" i="3"/>
  <c r="AZ43" i="3" s="1"/>
  <c r="BL44" i="3"/>
  <c r="AZ44" i="3" s="1"/>
  <c r="BL45" i="3"/>
  <c r="AZ45" i="3" s="1"/>
  <c r="BL47" i="3"/>
  <c r="AZ47" i="3" s="1"/>
  <c r="BL50" i="3"/>
  <c r="BL51" i="3"/>
  <c r="AZ51" i="3" s="1"/>
  <c r="G53" i="3"/>
  <c r="BL53" i="3"/>
  <c r="BA54" i="3"/>
  <c r="AZ54" i="3" s="1"/>
  <c r="BL58" i="3"/>
  <c r="AZ58" i="3" s="1"/>
  <c r="BL59" i="3"/>
  <c r="G60" i="3"/>
  <c r="BA63" i="3"/>
  <c r="AZ63" i="3" s="1"/>
  <c r="BA64" i="3"/>
  <c r="G69" i="3"/>
  <c r="G70" i="3"/>
  <c r="BL70" i="3"/>
  <c r="AZ70" i="3" s="1"/>
  <c r="BL72" i="3"/>
  <c r="AZ72" i="3" s="1"/>
  <c r="BL74" i="3"/>
  <c r="AZ74" i="3" s="1"/>
  <c r="BA79" i="3"/>
  <c r="BL83" i="3"/>
  <c r="AZ83" i="3" s="1"/>
  <c r="BA87" i="3"/>
  <c r="BL92" i="3"/>
  <c r="AZ92" i="3" s="1"/>
  <c r="G93" i="3"/>
  <c r="BA95" i="3"/>
  <c r="AZ95" i="3" s="1"/>
  <c r="BL100" i="3"/>
  <c r="G102" i="3"/>
  <c r="BL102" i="3"/>
  <c r="AZ102" i="3" s="1"/>
  <c r="BL103" i="3"/>
  <c r="AZ103" i="3" s="1"/>
  <c r="G104" i="3"/>
  <c r="BA109" i="3"/>
  <c r="AZ109" i="3" s="1"/>
  <c r="BL112" i="3"/>
  <c r="AC21" i="33"/>
  <c r="C29" i="39"/>
  <c r="B100" i="43"/>
  <c r="AA18" i="35"/>
  <c r="D28" i="71"/>
  <c r="U28" i="71" s="1"/>
  <c r="T28" i="71"/>
  <c r="C51" i="71"/>
  <c r="D51" i="71" s="1"/>
  <c r="B30" i="71"/>
  <c r="B31" i="71" s="1"/>
  <c r="AA28" i="71"/>
  <c r="X31" i="71"/>
  <c r="AB31" i="71"/>
  <c r="AB26" i="71"/>
  <c r="AA38" i="71"/>
  <c r="E63" i="71"/>
  <c r="E64" i="71" s="1"/>
  <c r="U64" i="71" s="1"/>
  <c r="F75" i="71"/>
  <c r="F74" i="71" s="1"/>
  <c r="B79" i="71"/>
  <c r="B78" i="71" s="1"/>
  <c r="C23" i="71"/>
  <c r="C29" i="77"/>
  <c r="R14" i="77"/>
  <c r="B15" i="78"/>
  <c r="S28" i="79"/>
  <c r="T8" i="79"/>
  <c r="W8" i="79" s="1"/>
  <c r="AA3" i="79"/>
  <c r="AD3" i="79" s="1"/>
  <c r="V14" i="79"/>
  <c r="T10" i="79"/>
  <c r="W10" i="79" s="1"/>
  <c r="S9" i="79"/>
  <c r="T32" i="79"/>
  <c r="W32" i="79" s="1"/>
  <c r="S15" i="79"/>
  <c r="R15" i="79"/>
  <c r="R6" i="79"/>
  <c r="V7" i="79"/>
  <c r="S31" i="79"/>
  <c r="U43" i="79"/>
  <c r="S43" i="79"/>
  <c r="AD31" i="79"/>
  <c r="J42" i="21"/>
  <c r="S21" i="37"/>
  <c r="AA21" i="34"/>
  <c r="P27" i="6"/>
  <c r="D55" i="71"/>
  <c r="C43" i="71"/>
  <c r="X34" i="71"/>
  <c r="AA36" i="71"/>
  <c r="B43" i="71"/>
  <c r="B44" i="71" s="1"/>
  <c r="S44" i="71" s="1"/>
  <c r="P68" i="71"/>
  <c r="D88" i="71"/>
  <c r="C5" i="68"/>
  <c r="S11" i="79"/>
  <c r="T12" i="79"/>
  <c r="W12" i="79" s="1"/>
  <c r="R14" i="79"/>
  <c r="S14" i="79"/>
  <c r="M3" i="79"/>
  <c r="P3" i="79" s="1"/>
  <c r="V3" i="79"/>
  <c r="T31" i="79"/>
  <c r="W31" i="79" s="1"/>
  <c r="L3" i="79"/>
  <c r="Y3" i="79"/>
  <c r="U31" i="79"/>
  <c r="U39" i="79"/>
  <c r="E93" i="43"/>
  <c r="B91" i="43" s="1"/>
  <c r="AD32" i="79"/>
  <c r="D56" i="78"/>
  <c r="D58" i="78" s="1"/>
  <c r="D62" i="78" s="1"/>
  <c r="C62" i="78" s="1"/>
  <c r="T3" i="79"/>
  <c r="W3" i="79" s="1"/>
  <c r="BL106" i="3"/>
  <c r="AZ106" i="3" s="1"/>
  <c r="G111" i="3"/>
  <c r="G112" i="3"/>
  <c r="AA21" i="33"/>
  <c r="S25" i="40"/>
  <c r="D27" i="71"/>
  <c r="U68" i="71"/>
  <c r="Y38" i="71"/>
  <c r="Z38" i="71" s="1"/>
  <c r="B51" i="71"/>
  <c r="B52" i="71" s="1"/>
  <c r="S52" i="71" s="1"/>
  <c r="B55" i="71"/>
  <c r="B56" i="71" s="1"/>
  <c r="S56" i="71" s="1"/>
  <c r="B23" i="71"/>
  <c r="B22" i="71" s="1"/>
  <c r="B21" i="71" s="1"/>
  <c r="B20" i="71" s="1"/>
  <c r="C18" i="78"/>
  <c r="P17" i="79"/>
  <c r="V8" i="79"/>
  <c r="U13" i="79"/>
  <c r="S10" i="79"/>
  <c r="T17" i="79"/>
  <c r="W17" i="79" s="1"/>
  <c r="R10" i="79"/>
  <c r="V10" i="79"/>
  <c r="U8" i="79"/>
  <c r="R19" i="79"/>
  <c r="AA28" i="79"/>
  <c r="AD28" i="79" s="1"/>
  <c r="D16" i="53"/>
  <c r="M49" i="9"/>
  <c r="L65" i="9" s="1"/>
  <c r="M65" i="9" s="1"/>
  <c r="W27" i="33"/>
  <c r="AC27" i="33"/>
  <c r="AB32" i="39"/>
  <c r="U32" i="39"/>
  <c r="S29" i="21"/>
  <c r="B121" i="43"/>
  <c r="C121" i="43" s="1"/>
  <c r="S39" i="21"/>
  <c r="H110" i="9"/>
  <c r="C7" i="74" s="1"/>
  <c r="U26" i="35"/>
  <c r="AQ10" i="1"/>
  <c r="W23" i="37"/>
  <c r="AA23" i="37"/>
  <c r="S20" i="36"/>
  <c r="S32" i="37"/>
  <c r="AA19" i="40"/>
  <c r="H89" i="43"/>
  <c r="W12" i="37"/>
  <c r="U11" i="33"/>
  <c r="AZ563" i="3"/>
  <c r="AZ540" i="3"/>
  <c r="AA14" i="33"/>
  <c r="AZ559" i="3"/>
  <c r="U35" i="40"/>
  <c r="S11" i="39"/>
  <c r="AZ553" i="3"/>
  <c r="AC28" i="37"/>
  <c r="W28" i="37"/>
  <c r="S25" i="36"/>
  <c r="AA25" i="36"/>
  <c r="W11" i="35"/>
  <c r="AC11" i="35"/>
  <c r="S33" i="35"/>
  <c r="AA33" i="35"/>
  <c r="S23" i="40"/>
  <c r="AA23" i="40"/>
  <c r="F11" i="21"/>
  <c r="H11" i="21"/>
  <c r="F69" i="21"/>
  <c r="G69" i="21" s="1"/>
  <c r="H69" i="21" s="1"/>
  <c r="I69" i="21" s="1"/>
  <c r="J69" i="21" s="1"/>
  <c r="K69" i="21" s="1"/>
  <c r="L69" i="21" s="1"/>
  <c r="M69" i="21" s="1"/>
  <c r="H66" i="43"/>
  <c r="H64" i="43"/>
  <c r="AZ515" i="3"/>
  <c r="AZ525" i="3"/>
  <c r="AA38" i="40"/>
  <c r="S38" i="40"/>
  <c r="AZ344" i="3"/>
  <c r="AZ360" i="3"/>
  <c r="AZ537" i="3"/>
  <c r="AZ573" i="3"/>
  <c r="AZ544" i="3"/>
  <c r="AC47" i="34"/>
  <c r="W47" i="34"/>
  <c r="AC44" i="33"/>
  <c r="W44" i="33"/>
  <c r="AC40" i="37"/>
  <c r="W40" i="37"/>
  <c r="U26" i="33"/>
  <c r="AB26" i="33"/>
  <c r="AA23" i="35"/>
  <c r="AA37" i="39"/>
  <c r="W11" i="40"/>
  <c r="AA21" i="40"/>
  <c r="J40" i="21"/>
  <c r="H9" i="34"/>
  <c r="J38" i="40"/>
  <c r="G570" i="3"/>
  <c r="BA551" i="3"/>
  <c r="AZ551" i="3" s="1"/>
  <c r="U21" i="40"/>
  <c r="S11" i="40"/>
  <c r="AA12" i="40"/>
  <c r="AC36" i="34"/>
  <c r="S35" i="39"/>
  <c r="AA17" i="21"/>
  <c r="AA14" i="37"/>
  <c r="H25" i="36"/>
  <c r="F45" i="34"/>
  <c r="J14" i="33"/>
  <c r="H46" i="21"/>
  <c r="H14" i="21"/>
  <c r="W30" i="36"/>
  <c r="S44" i="39"/>
  <c r="AC12" i="34"/>
  <c r="W25" i="37"/>
  <c r="J45" i="39"/>
  <c r="H40" i="21"/>
  <c r="B75" i="43"/>
  <c r="U36" i="39"/>
  <c r="F45" i="21"/>
  <c r="J31" i="21"/>
  <c r="H44" i="21"/>
  <c r="AB17" i="34"/>
  <c r="F24" i="36"/>
  <c r="AB8" i="39"/>
  <c r="AB39" i="40"/>
  <c r="W40" i="39"/>
  <c r="AB41" i="21"/>
  <c r="J9" i="34"/>
  <c r="F12" i="35"/>
  <c r="F25" i="37"/>
  <c r="H38" i="40"/>
  <c r="BD5" i="3"/>
  <c r="BP5" i="3"/>
  <c r="G29" i="6" s="1"/>
  <c r="E29" i="6" s="1"/>
  <c r="K15" i="1" s="1"/>
  <c r="BT5" i="3"/>
  <c r="G28" i="6" s="1"/>
  <c r="BH5" i="3"/>
  <c r="AZ425" i="3"/>
  <c r="AZ443" i="3"/>
  <c r="AZ451" i="3"/>
  <c r="AZ453" i="3"/>
  <c r="AZ459" i="3"/>
  <c r="AZ466" i="3"/>
  <c r="AZ487" i="3"/>
  <c r="AZ211" i="3"/>
  <c r="G582" i="3"/>
  <c r="BA550" i="3"/>
  <c r="AZ550" i="3" s="1"/>
  <c r="BL548" i="3"/>
  <c r="AZ548" i="3" s="1"/>
  <c r="BG5" i="3"/>
  <c r="AZ416" i="3"/>
  <c r="AZ484" i="3"/>
  <c r="AZ488" i="3"/>
  <c r="AZ395" i="3"/>
  <c r="AZ332" i="3"/>
  <c r="AZ397" i="3"/>
  <c r="BA366" i="3"/>
  <c r="AZ366" i="3" s="1"/>
  <c r="BA216" i="3"/>
  <c r="AZ216" i="3" s="1"/>
  <c r="AZ278" i="3"/>
  <c r="AZ125" i="3"/>
  <c r="AZ137" i="3"/>
  <c r="BA392" i="3"/>
  <c r="AZ392" i="3" s="1"/>
  <c r="BL210" i="3"/>
  <c r="AZ210" i="3" s="1"/>
  <c r="BL215" i="3"/>
  <c r="AZ215" i="3" s="1"/>
  <c r="BL219" i="3"/>
  <c r="AZ219" i="3" s="1"/>
  <c r="BL223" i="3"/>
  <c r="AZ223" i="3" s="1"/>
  <c r="AZ228" i="3"/>
  <c r="BA238" i="3"/>
  <c r="AZ238" i="3" s="1"/>
  <c r="AZ239" i="3"/>
  <c r="BA240" i="3"/>
  <c r="AZ240" i="3" s="1"/>
  <c r="AZ244" i="3"/>
  <c r="AZ262" i="3"/>
  <c r="AZ301" i="3"/>
  <c r="AZ126" i="3"/>
  <c r="AZ169" i="3"/>
  <c r="BL368" i="3"/>
  <c r="AZ368" i="3" s="1"/>
  <c r="BL386" i="3"/>
  <c r="AZ386" i="3" s="1"/>
  <c r="BL208" i="3"/>
  <c r="AZ208" i="3" s="1"/>
  <c r="BA214" i="3"/>
  <c r="G217" i="3"/>
  <c r="BL218" i="3"/>
  <c r="BL220" i="3"/>
  <c r="AZ220" i="3" s="1"/>
  <c r="BL224" i="3"/>
  <c r="AZ224" i="3" s="1"/>
  <c r="BL232" i="3"/>
  <c r="AZ232" i="3" s="1"/>
  <c r="BA236" i="3"/>
  <c r="AZ236" i="3" s="1"/>
  <c r="BA242" i="3"/>
  <c r="AZ242" i="3" s="1"/>
  <c r="BA246" i="3"/>
  <c r="AZ246" i="3" s="1"/>
  <c r="AZ247" i="3"/>
  <c r="AZ298" i="3"/>
  <c r="AZ118" i="3"/>
  <c r="AZ205" i="3"/>
  <c r="G37" i="3"/>
  <c r="BA38" i="3"/>
  <c r="AZ38" i="3" s="1"/>
  <c r="G41" i="3"/>
  <c r="G47" i="3"/>
  <c r="BA53" i="3"/>
  <c r="AZ53" i="3" s="1"/>
  <c r="BA61" i="3"/>
  <c r="BA62" i="3"/>
  <c r="G66" i="3"/>
  <c r="BL66" i="3"/>
  <c r="AZ66" i="3" s="1"/>
  <c r="BL68" i="3"/>
  <c r="AZ68" i="3" s="1"/>
  <c r="BL71" i="3"/>
  <c r="G72" i="3"/>
  <c r="BL73" i="3"/>
  <c r="G74" i="3"/>
  <c r="BL75" i="3"/>
  <c r="G76" i="3"/>
  <c r="BL84" i="3"/>
  <c r="G85" i="3"/>
  <c r="BA86" i="3"/>
  <c r="AZ86" i="3" s="1"/>
  <c r="BA89" i="3"/>
  <c r="AZ89" i="3" s="1"/>
  <c r="BA91" i="3"/>
  <c r="AZ91" i="3" s="1"/>
  <c r="BA98" i="3"/>
  <c r="AZ98" i="3" s="1"/>
  <c r="BL105" i="3"/>
  <c r="G106" i="3"/>
  <c r="BL110" i="3"/>
  <c r="AZ110" i="3" s="1"/>
  <c r="BA94" i="3"/>
  <c r="AZ94" i="3" s="1"/>
  <c r="BL99" i="3"/>
  <c r="AZ99" i="3" s="1"/>
  <c r="BL101" i="3"/>
  <c r="AZ101" i="3" s="1"/>
  <c r="BA111" i="3"/>
  <c r="AZ111" i="3" s="1"/>
  <c r="G39" i="3"/>
  <c r="G44" i="3"/>
  <c r="G49" i="3"/>
  <c r="BA55" i="3"/>
  <c r="AZ55" i="3" s="1"/>
  <c r="BL61" i="3"/>
  <c r="G62" i="3"/>
  <c r="BA67" i="3"/>
  <c r="AZ67" i="3" s="1"/>
  <c r="BA71" i="3"/>
  <c r="BA73" i="3"/>
  <c r="AZ73" i="3" s="1"/>
  <c r="BA75" i="3"/>
  <c r="BL79" i="3"/>
  <c r="AZ79" i="3" s="1"/>
  <c r="BA84" i="3"/>
  <c r="AZ84" i="3" s="1"/>
  <c r="G88" i="3"/>
  <c r="BL96" i="3"/>
  <c r="AZ96" i="3" s="1"/>
  <c r="AZ100" i="3"/>
  <c r="BA105" i="3"/>
  <c r="AZ108" i="3"/>
  <c r="BA42" i="3"/>
  <c r="AZ42" i="3" s="1"/>
  <c r="BA48" i="3"/>
  <c r="AZ48" i="3" s="1"/>
  <c r="BL57" i="3"/>
  <c r="BL64" i="3"/>
  <c r="AZ64" i="3" s="1"/>
  <c r="BA80" i="3"/>
  <c r="AZ80" i="3" s="1"/>
  <c r="AC21" i="37"/>
  <c r="AC29" i="39"/>
  <c r="B34" i="71"/>
  <c r="B35" i="71" s="1"/>
  <c r="B36" i="71" s="1"/>
  <c r="S36" i="71" s="1"/>
  <c r="X33" i="71"/>
  <c r="D38" i="71"/>
  <c r="C39" i="71"/>
  <c r="AB37" i="71"/>
  <c r="AB34" i="71"/>
  <c r="AB39" i="71"/>
  <c r="AB35" i="71"/>
  <c r="AB32" i="71"/>
  <c r="AB33" i="71"/>
  <c r="Q67" i="71"/>
  <c r="F66" i="71"/>
  <c r="U21" i="34"/>
  <c r="T60" i="71"/>
  <c r="D60" i="71"/>
  <c r="B27" i="71"/>
  <c r="B26" i="71" s="1"/>
  <c r="S28" i="71"/>
  <c r="E47" i="71"/>
  <c r="E48" i="71" s="1"/>
  <c r="U48" i="71" s="1"/>
  <c r="D62" i="71"/>
  <c r="C63" i="71"/>
  <c r="E66" i="71"/>
  <c r="P67" i="71"/>
  <c r="T72" i="71"/>
  <c r="C71" i="71"/>
  <c r="D84" i="71"/>
  <c r="C83" i="71"/>
  <c r="E38" i="71"/>
  <c r="E39" i="71" s="1"/>
  <c r="E40" i="71" s="1"/>
  <c r="U40" i="71" s="1"/>
  <c r="AA37" i="71"/>
  <c r="AB38" i="71"/>
  <c r="F71" i="71"/>
  <c r="F70" i="71" s="1"/>
  <c r="E79" i="71"/>
  <c r="E78" i="71" s="1"/>
  <c r="U80" i="71"/>
  <c r="X25" i="71"/>
  <c r="C52" i="71"/>
  <c r="AA35" i="71"/>
  <c r="D30" i="71"/>
  <c r="C31" i="71"/>
  <c r="B32" i="71"/>
  <c r="S32" i="71" s="1"/>
  <c r="Y26" i="71"/>
  <c r="Z26" i="71" s="1"/>
  <c r="Y28" i="71"/>
  <c r="Z28" i="71" s="1"/>
  <c r="Y29" i="71"/>
  <c r="Z29" i="71" s="1"/>
  <c r="AB28" i="71"/>
  <c r="X32" i="71"/>
  <c r="AA30" i="71"/>
  <c r="AA34" i="71"/>
  <c r="AA27" i="71"/>
  <c r="X35" i="71"/>
  <c r="B38" i="71"/>
  <c r="B39" i="71" s="1"/>
  <c r="B40" i="71" s="1"/>
  <c r="S40" i="71" s="1"/>
  <c r="X36" i="71"/>
  <c r="F40" i="71"/>
  <c r="V40" i="71" s="1"/>
  <c r="D46" i="71"/>
  <c r="C47" i="71"/>
  <c r="D47" i="71" s="1"/>
  <c r="D56" i="71"/>
  <c r="T56" i="71"/>
  <c r="E59" i="71"/>
  <c r="E60" i="71" s="1"/>
  <c r="U60" i="71" s="1"/>
  <c r="D67" i="71"/>
  <c r="O67" i="71"/>
  <c r="C66" i="71"/>
  <c r="E32" i="77"/>
  <c r="Q32" i="43"/>
  <c r="M32" i="43"/>
  <c r="P32" i="43"/>
  <c r="R5" i="77"/>
  <c r="U5" i="77" s="1"/>
  <c r="C78" i="71"/>
  <c r="D78" i="71" s="1"/>
  <c r="T68" i="71"/>
  <c r="C35" i="71"/>
  <c r="R25" i="77"/>
  <c r="D26" i="77"/>
  <c r="D32" i="77" s="1"/>
  <c r="D38" i="77"/>
  <c r="D39" i="77" s="1"/>
  <c r="D29" i="77"/>
  <c r="G23" i="78"/>
  <c r="F24" i="78"/>
  <c r="AB27" i="71"/>
  <c r="E75" i="71"/>
  <c r="E74" i="71" s="1"/>
  <c r="E23" i="71"/>
  <c r="E22" i="71" s="1"/>
  <c r="E21" i="71" s="1"/>
  <c r="E20" i="71" s="1"/>
  <c r="N32" i="43"/>
  <c r="E38" i="77"/>
  <c r="E39" i="77" s="1"/>
  <c r="D11" i="77"/>
  <c r="U12" i="79"/>
  <c r="V12" i="79"/>
  <c r="R11" i="79"/>
  <c r="V9" i="79"/>
  <c r="R9" i="79"/>
  <c r="U14" i="79"/>
  <c r="U36" i="79"/>
  <c r="S35" i="79"/>
  <c r="S39" i="79"/>
  <c r="T39" i="79"/>
  <c r="W39" i="79" s="1"/>
  <c r="U16" i="79"/>
  <c r="O3" i="79"/>
  <c r="L28" i="79"/>
  <c r="U41" i="79"/>
  <c r="S44" i="79"/>
  <c r="U28" i="79"/>
  <c r="S41" i="79"/>
  <c r="T28" i="79"/>
  <c r="W28" i="79" s="1"/>
  <c r="U7" i="79"/>
  <c r="V5" i="79"/>
  <c r="U6" i="79"/>
  <c r="S32" i="79"/>
  <c r="R20" i="79"/>
  <c r="T34" i="79"/>
  <c r="W34" i="79" s="1"/>
  <c r="U40" i="79"/>
  <c r="S42" i="79"/>
  <c r="N12" i="43"/>
  <c r="R3" i="79"/>
  <c r="U11" i="79"/>
  <c r="S8" i="79"/>
  <c r="V11" i="79"/>
  <c r="T11" i="79"/>
  <c r="W11" i="79" s="1"/>
  <c r="R12" i="79"/>
  <c r="T16" i="79"/>
  <c r="W16" i="79" s="1"/>
  <c r="V13" i="79"/>
  <c r="R13" i="79"/>
  <c r="U10" i="79"/>
  <c r="U37" i="79"/>
  <c r="S38" i="79"/>
  <c r="T37" i="79"/>
  <c r="W37" i="79" s="1"/>
  <c r="T36" i="79"/>
  <c r="W36" i="79" s="1"/>
  <c r="S33" i="79"/>
  <c r="S7" i="79"/>
  <c r="V17" i="79"/>
  <c r="T15" i="79"/>
  <c r="W15" i="79" s="1"/>
  <c r="K3" i="79"/>
  <c r="S34" i="79"/>
  <c r="U42" i="79"/>
  <c r="U34" i="79"/>
  <c r="U17" i="79"/>
  <c r="R5" i="79"/>
  <c r="S6" i="79"/>
  <c r="T6" i="79"/>
  <c r="W6" i="79" s="1"/>
  <c r="U30" i="79"/>
  <c r="S30" i="79"/>
  <c r="G13" i="1"/>
  <c r="P39" i="79"/>
  <c r="R8" i="79"/>
  <c r="U9" i="79"/>
  <c r="U35" i="79"/>
  <c r="S37" i="79"/>
  <c r="S40" i="79"/>
  <c r="T38" i="79"/>
  <c r="W38" i="79" s="1"/>
  <c r="U3" i="79"/>
  <c r="S3" i="79"/>
  <c r="N3" i="79"/>
  <c r="T33" i="79"/>
  <c r="W33" i="79" s="1"/>
  <c r="U32" i="79"/>
  <c r="C18" i="9"/>
  <c r="D18" i="9" s="1"/>
  <c r="AC44" i="21"/>
  <c r="W44" i="21"/>
  <c r="F44" i="21"/>
  <c r="AA25" i="21"/>
  <c r="I89" i="21"/>
  <c r="J89" i="21" s="1"/>
  <c r="K89" i="21" s="1"/>
  <c r="L89" i="21" s="1"/>
  <c r="M89" i="21" s="1"/>
  <c r="J26" i="21"/>
  <c r="W26" i="21" s="1"/>
  <c r="H26" i="21"/>
  <c r="AB26" i="21" s="1"/>
  <c r="F26" i="21"/>
  <c r="S26" i="21" s="1"/>
  <c r="B34" i="72"/>
  <c r="D17" i="53"/>
  <c r="B36" i="72" s="1"/>
  <c r="D12" i="52"/>
  <c r="D127" i="9"/>
  <c r="D13" i="52" s="1"/>
  <c r="D124" i="9"/>
  <c r="D18" i="53"/>
  <c r="B35" i="72" s="1"/>
  <c r="A4" i="52"/>
  <c r="B41" i="72" s="1"/>
  <c r="D19" i="53"/>
  <c r="L67" i="9"/>
  <c r="M67" i="9" s="1"/>
  <c r="L63" i="9"/>
  <c r="M63" i="9" s="1"/>
  <c r="M69" i="9" s="1"/>
  <c r="N69" i="9" s="1"/>
  <c r="L66" i="9"/>
  <c r="M66" i="9" s="1"/>
  <c r="L68" i="9"/>
  <c r="M68" i="9" s="1"/>
  <c r="A2" i="9"/>
  <c r="L64" i="9"/>
  <c r="M64" i="9" s="1"/>
  <c r="A118" i="9"/>
  <c r="AC32" i="21"/>
  <c r="M20" i="67"/>
  <c r="F34" i="67"/>
  <c r="F62" i="67" s="1"/>
  <c r="B41" i="1"/>
  <c r="F32" i="67" s="1"/>
  <c r="F60" i="67" s="1"/>
  <c r="H5" i="3"/>
  <c r="G13" i="3"/>
  <c r="C33" i="21"/>
  <c r="H33" i="21" s="1"/>
  <c r="E32" i="6"/>
  <c r="M18" i="9"/>
  <c r="B118" i="9" s="1"/>
  <c r="T12" i="1"/>
  <c r="T7" i="1"/>
  <c r="AR7" i="1"/>
  <c r="BA13" i="3"/>
  <c r="BB5" i="3"/>
  <c r="O16" i="1"/>
  <c r="AB27" i="21"/>
  <c r="W27" i="21"/>
  <c r="AA43" i="21"/>
  <c r="S43" i="21"/>
  <c r="J43" i="21"/>
  <c r="F125" i="21"/>
  <c r="G125" i="21" s="1"/>
  <c r="H43" i="21"/>
  <c r="W39" i="21"/>
  <c r="W34" i="21"/>
  <c r="W36" i="21"/>
  <c r="S36" i="21"/>
  <c r="S32" i="21"/>
  <c r="AC28" i="21"/>
  <c r="S28" i="21"/>
  <c r="S27" i="21"/>
  <c r="AC26" i="21"/>
  <c r="W23" i="21"/>
  <c r="AA23" i="21"/>
  <c r="AC21" i="21"/>
  <c r="AA19" i="21"/>
  <c r="U19" i="21"/>
  <c r="U17" i="21"/>
  <c r="AC17" i="21"/>
  <c r="AB15" i="21"/>
  <c r="AC15" i="21"/>
  <c r="F34" i="15"/>
  <c r="F62" i="15" s="1"/>
  <c r="F28" i="67"/>
  <c r="M18" i="67"/>
  <c r="F52" i="9"/>
  <c r="F53" i="9"/>
  <c r="F28" i="15"/>
  <c r="F30" i="69"/>
  <c r="F48" i="69" s="1"/>
  <c r="C37" i="21"/>
  <c r="P16" i="1"/>
  <c r="C11" i="12" s="1"/>
  <c r="C12" i="12" s="1"/>
  <c r="I119" i="43"/>
  <c r="J119" i="43" s="1"/>
  <c r="K119" i="43" s="1"/>
  <c r="L119" i="43" s="1"/>
  <c r="M119" i="43" s="1"/>
  <c r="B122" i="43"/>
  <c r="C122" i="43" s="1"/>
  <c r="B118" i="43"/>
  <c r="C118" i="43" s="1"/>
  <c r="D120" i="43"/>
  <c r="E120" i="43" s="1"/>
  <c r="F120" i="43" s="1"/>
  <c r="G120" i="43" s="1"/>
  <c r="H120" i="43" s="1"/>
  <c r="I121" i="43"/>
  <c r="J121" i="43" s="1"/>
  <c r="K121" i="43" s="1"/>
  <c r="L121" i="43" s="1"/>
  <c r="M121" i="43" s="1"/>
  <c r="D119" i="43"/>
  <c r="E119" i="43" s="1"/>
  <c r="F119" i="43" s="1"/>
  <c r="G119" i="43" s="1"/>
  <c r="H119" i="43" s="1"/>
  <c r="AR9" i="1"/>
  <c r="AQ9" i="1"/>
  <c r="D122" i="43"/>
  <c r="E122" i="43" s="1"/>
  <c r="F122" i="43" s="1"/>
  <c r="G122" i="43" s="1"/>
  <c r="H122" i="43" s="1"/>
  <c r="G121" i="43"/>
  <c r="H121" i="43" s="1"/>
  <c r="AQ8" i="1"/>
  <c r="T8" i="1"/>
  <c r="F33" i="21"/>
  <c r="I118" i="43"/>
  <c r="J118" i="43" s="1"/>
  <c r="K118" i="43" s="1"/>
  <c r="L118" i="43" s="1"/>
  <c r="M118" i="43" s="1"/>
  <c r="B119" i="43"/>
  <c r="C119" i="43" s="1"/>
  <c r="I120" i="43"/>
  <c r="J120" i="43" s="1"/>
  <c r="K120" i="43" s="1"/>
  <c r="L120" i="43" s="1"/>
  <c r="M120" i="43" s="1"/>
  <c r="D118" i="43"/>
  <c r="E118" i="43" s="1"/>
  <c r="F118" i="43" s="1"/>
  <c r="G118" i="43" s="1"/>
  <c r="H118" i="43" s="1"/>
  <c r="I122" i="43"/>
  <c r="J122" i="43" s="1"/>
  <c r="K122" i="43" s="1"/>
  <c r="L122" i="43" s="1"/>
  <c r="M122" i="43" s="1"/>
  <c r="AR10" i="1"/>
  <c r="B14" i="74"/>
  <c r="B1" i="74" s="1"/>
  <c r="K6" i="1"/>
  <c r="H76" i="43"/>
  <c r="H101" i="43"/>
  <c r="H98" i="43"/>
  <c r="H75" i="43"/>
  <c r="H94" i="43"/>
  <c r="H74" i="43"/>
  <c r="H80" i="43"/>
  <c r="H96" i="43"/>
  <c r="H97" i="43"/>
  <c r="H72" i="43"/>
  <c r="H95" i="43"/>
  <c r="N370" i="46"/>
  <c r="F40" i="43"/>
  <c r="F41" i="43"/>
  <c r="H57" i="43"/>
  <c r="H53" i="43"/>
  <c r="H56" i="43"/>
  <c r="F39" i="43"/>
  <c r="S2" i="43"/>
  <c r="F26" i="43"/>
  <c r="D26" i="43" s="1"/>
  <c r="C25" i="43" s="1"/>
  <c r="I21" i="43"/>
  <c r="H65" i="43"/>
  <c r="K21" i="43"/>
  <c r="S4" i="43"/>
  <c r="C21" i="43"/>
  <c r="H61" i="43"/>
  <c r="H51" i="43"/>
  <c r="H50" i="43"/>
  <c r="L21" i="43"/>
  <c r="S3" i="43"/>
  <c r="C27" i="43"/>
  <c r="F42" i="43"/>
  <c r="N94" i="46"/>
  <c r="D21" i="43"/>
  <c r="H79" i="43"/>
  <c r="S5" i="43"/>
  <c r="H21" i="43"/>
  <c r="N21" i="43"/>
  <c r="M21" i="43"/>
  <c r="H83" i="43"/>
  <c r="H52" i="43"/>
  <c r="O21" i="43"/>
  <c r="C7" i="78"/>
  <c r="D7" i="78" s="1"/>
  <c r="C5" i="78"/>
  <c r="D5" i="78" s="1"/>
  <c r="C6" i="78"/>
  <c r="D6" i="78" s="1"/>
  <c r="B3" i="74"/>
  <c r="A18" i="51"/>
  <c r="B13" i="72" s="1"/>
  <c r="B2" i="1"/>
  <c r="C15" i="4"/>
  <c r="F6" i="1" s="1"/>
  <c r="C53" i="10"/>
  <c r="A15" i="51"/>
  <c r="B12" i="72" s="1"/>
  <c r="F11" i="49"/>
  <c r="H11" i="49" s="1"/>
  <c r="F14" i="49"/>
  <c r="H14" i="49" s="1"/>
  <c r="B8" i="49"/>
  <c r="D8" i="49" s="1"/>
  <c r="F9" i="49"/>
  <c r="H9" i="49" s="1"/>
  <c r="B4" i="49"/>
  <c r="D4" i="49" s="1"/>
  <c r="B13" i="49"/>
  <c r="D13" i="49" s="1"/>
  <c r="F5" i="49"/>
  <c r="H5" i="49" s="1"/>
  <c r="F8" i="49"/>
  <c r="H8" i="49" s="1"/>
  <c r="F15" i="49"/>
  <c r="H15" i="49" s="1"/>
  <c r="B6" i="49"/>
  <c r="D6" i="49" s="1"/>
  <c r="F6" i="49"/>
  <c r="H6" i="49" s="1"/>
  <c r="B14" i="49"/>
  <c r="D14" i="49" s="1"/>
  <c r="B9" i="49"/>
  <c r="D9" i="49" s="1"/>
  <c r="F12" i="49"/>
  <c r="H12" i="49" s="1"/>
  <c r="F4" i="49"/>
  <c r="H4" i="49" s="1"/>
  <c r="B11" i="49"/>
  <c r="D11" i="49" s="1"/>
  <c r="F13" i="49"/>
  <c r="H13" i="49" s="1"/>
  <c r="F7" i="49"/>
  <c r="H7" i="49" s="1"/>
  <c r="B10" i="49"/>
  <c r="D10" i="49" s="1"/>
  <c r="B5" i="49"/>
  <c r="D5" i="49" s="1"/>
  <c r="F10" i="49"/>
  <c r="H10" i="49" s="1"/>
  <c r="B12" i="49"/>
  <c r="D12" i="49" s="1"/>
  <c r="F51" i="67"/>
  <c r="B13" i="70"/>
  <c r="F50" i="15"/>
  <c r="M7" i="15"/>
  <c r="M17" i="15" s="1"/>
  <c r="F64" i="67"/>
  <c r="C27" i="67"/>
  <c r="B20" i="31"/>
  <c r="B21" i="31" s="1"/>
  <c r="F64" i="15"/>
  <c r="B11" i="70"/>
  <c r="C6" i="67"/>
  <c r="F31" i="67"/>
  <c r="F71" i="15"/>
  <c r="Q71" i="67"/>
  <c r="F63" i="15"/>
  <c r="M59" i="15"/>
  <c r="L58" i="15"/>
  <c r="L59" i="15"/>
  <c r="N59" i="15"/>
  <c r="B9" i="70"/>
  <c r="F31" i="15"/>
  <c r="C6" i="15"/>
  <c r="F68" i="67"/>
  <c r="F68" i="15"/>
  <c r="C27" i="15"/>
  <c r="I1" i="73"/>
  <c r="B39" i="1" s="1"/>
  <c r="Q71" i="15"/>
  <c r="J53" i="15"/>
  <c r="L56" i="15" s="1"/>
  <c r="J57" i="15"/>
  <c r="J55" i="15" s="1"/>
  <c r="J58" i="15" s="1"/>
  <c r="Q50" i="15" s="1"/>
  <c r="I54" i="15"/>
  <c r="F51" i="15"/>
  <c r="F65" i="15"/>
  <c r="J20" i="15"/>
  <c r="F65" i="67"/>
  <c r="B12" i="70"/>
  <c r="B10" i="70"/>
  <c r="F69" i="15"/>
  <c r="F66" i="15"/>
  <c r="B7" i="70"/>
  <c r="B8" i="70"/>
  <c r="F66" i="67"/>
  <c r="M7" i="67"/>
  <c r="J6" i="67" s="1"/>
  <c r="F50" i="67"/>
  <c r="C17" i="15"/>
  <c r="M29" i="67"/>
  <c r="C14" i="15"/>
  <c r="G1" i="73"/>
  <c r="L48" i="67"/>
  <c r="C16" i="15"/>
  <c r="F43" i="67"/>
  <c r="N65" i="71" l="1"/>
  <c r="N66" i="71"/>
  <c r="S13" i="21"/>
  <c r="AA13" i="21"/>
  <c r="S36" i="39"/>
  <c r="AA36" i="39"/>
  <c r="AB9" i="36"/>
  <c r="U9" i="36"/>
  <c r="AA9" i="33"/>
  <c r="S9" i="33"/>
  <c r="S39" i="37"/>
  <c r="AA39" i="37"/>
  <c r="AC13" i="39"/>
  <c r="W13" i="39"/>
  <c r="AA23" i="36"/>
  <c r="S23" i="36"/>
  <c r="W45" i="34"/>
  <c r="AC45" i="34"/>
  <c r="U29" i="21"/>
  <c r="AB29" i="21"/>
  <c r="J33" i="21"/>
  <c r="BL5" i="3"/>
  <c r="AZ218" i="3"/>
  <c r="AC42" i="21"/>
  <c r="W42" i="21"/>
  <c r="AZ18" i="3"/>
  <c r="AZ182" i="3"/>
  <c r="AZ249" i="3"/>
  <c r="AZ473" i="3"/>
  <c r="AZ398" i="3"/>
  <c r="AZ350" i="3"/>
  <c r="AZ483" i="3"/>
  <c r="AZ417" i="3"/>
  <c r="AZ405" i="3"/>
  <c r="AZ404" i="3"/>
  <c r="AB32" i="36"/>
  <c r="U32" i="36"/>
  <c r="W28" i="34"/>
  <c r="AC28" i="34"/>
  <c r="U23" i="35"/>
  <c r="AB23" i="35"/>
  <c r="W9" i="33"/>
  <c r="AC9" i="33"/>
  <c r="AA27" i="37"/>
  <c r="S27" i="37"/>
  <c r="AB45" i="34"/>
  <c r="U45" i="34"/>
  <c r="AC29" i="21"/>
  <c r="W29" i="21"/>
  <c r="K120" i="9"/>
  <c r="D121" i="9"/>
  <c r="D7" i="52" s="1"/>
  <c r="D6" i="52"/>
  <c r="B19" i="71"/>
  <c r="B18" i="71" s="1"/>
  <c r="B17" i="71" s="1"/>
  <c r="B16" i="71" s="1"/>
  <c r="S20" i="71"/>
  <c r="C44" i="71"/>
  <c r="D43" i="71"/>
  <c r="D23" i="71"/>
  <c r="C22" i="71"/>
  <c r="AZ82" i="3"/>
  <c r="AZ59" i="3"/>
  <c r="AZ446" i="3"/>
  <c r="AZ434" i="3"/>
  <c r="AZ227" i="3"/>
  <c r="S32" i="36"/>
  <c r="AA32" i="36"/>
  <c r="AC36" i="39"/>
  <c r="W36" i="39"/>
  <c r="S29" i="33"/>
  <c r="AA29" i="33"/>
  <c r="U9" i="33"/>
  <c r="AB9" i="33"/>
  <c r="AB27" i="37"/>
  <c r="U27" i="37"/>
  <c r="AZ586" i="3"/>
  <c r="W33" i="36"/>
  <c r="AC33" i="36"/>
  <c r="AZ62" i="3"/>
  <c r="AZ214" i="3"/>
  <c r="AZ57" i="3"/>
  <c r="AZ50" i="3"/>
  <c r="AZ293" i="3"/>
  <c r="AZ477" i="3"/>
  <c r="AZ284" i="3"/>
  <c r="AZ235" i="3"/>
  <c r="AZ478" i="3"/>
  <c r="AZ457" i="3"/>
  <c r="AZ291" i="3"/>
  <c r="AZ255" i="3"/>
  <c r="AZ470" i="3"/>
  <c r="AZ420" i="3"/>
  <c r="AZ408" i="3"/>
  <c r="AZ429" i="3"/>
  <c r="AZ410" i="3"/>
  <c r="AZ401" i="3"/>
  <c r="AC13" i="21"/>
  <c r="W13" i="21"/>
  <c r="AC9" i="36"/>
  <c r="W9" i="36"/>
  <c r="AC29" i="33"/>
  <c r="W29" i="33"/>
  <c r="AB13" i="39"/>
  <c r="U13" i="39"/>
  <c r="AB23" i="36"/>
  <c r="U23" i="36"/>
  <c r="AB33" i="36"/>
  <c r="U33" i="36"/>
  <c r="G30" i="6"/>
  <c r="G31" i="6" s="1"/>
  <c r="E28" i="6"/>
  <c r="D35" i="71"/>
  <c r="C36" i="71"/>
  <c r="T52" i="71"/>
  <c r="D52" i="71"/>
  <c r="C82" i="71"/>
  <c r="D82" i="71" s="1"/>
  <c r="D83" i="71"/>
  <c r="AZ75" i="3"/>
  <c r="S12" i="35"/>
  <c r="AA12" i="35"/>
  <c r="U44" i="21"/>
  <c r="AB44" i="21"/>
  <c r="U46" i="21"/>
  <c r="AB46" i="21"/>
  <c r="F25" i="78"/>
  <c r="G25" i="78" s="1"/>
  <c r="G24" i="78"/>
  <c r="P65" i="71"/>
  <c r="P66" i="71"/>
  <c r="AC9" i="34"/>
  <c r="W9" i="34"/>
  <c r="AC31" i="21"/>
  <c r="W31" i="21"/>
  <c r="AB40" i="21"/>
  <c r="U40" i="21"/>
  <c r="W14" i="33"/>
  <c r="AC14" i="33"/>
  <c r="AC38" i="40"/>
  <c r="W38" i="40"/>
  <c r="L19" i="6"/>
  <c r="L27" i="6" s="1"/>
  <c r="V20" i="71"/>
  <c r="E19" i="71"/>
  <c r="E18" i="71" s="1"/>
  <c r="E17" i="71" s="1"/>
  <c r="E16" i="71" s="1"/>
  <c r="O65" i="71"/>
  <c r="O66" i="71"/>
  <c r="D66" i="71"/>
  <c r="C70" i="71"/>
  <c r="D70" i="71" s="1"/>
  <c r="D71" i="71"/>
  <c r="C64" i="71"/>
  <c r="D63" i="71"/>
  <c r="Q66" i="71"/>
  <c r="Q65" i="71"/>
  <c r="D39" i="71"/>
  <c r="C40" i="71"/>
  <c r="AZ105" i="3"/>
  <c r="AZ71" i="3"/>
  <c r="AZ61" i="3"/>
  <c r="AB38" i="40"/>
  <c r="U38" i="40"/>
  <c r="AA24" i="36"/>
  <c r="S24" i="36"/>
  <c r="AA45" i="21"/>
  <c r="S45" i="21"/>
  <c r="W45" i="39"/>
  <c r="AC45" i="39"/>
  <c r="S45" i="34"/>
  <c r="AA45" i="34"/>
  <c r="AB9" i="34"/>
  <c r="U9" i="34"/>
  <c r="U11" i="21"/>
  <c r="AB11" i="21"/>
  <c r="G21" i="43"/>
  <c r="C20" i="43" s="1"/>
  <c r="D5" i="43" s="1"/>
  <c r="F30" i="68"/>
  <c r="F48" i="68" s="1"/>
  <c r="E11" i="77"/>
  <c r="E7" i="77" s="1"/>
  <c r="C27" i="77" s="1"/>
  <c r="D7" i="77"/>
  <c r="C26" i="77" s="1"/>
  <c r="C32" i="77" s="1"/>
  <c r="C38" i="77" s="1"/>
  <c r="C39" i="77" s="1"/>
  <c r="C40" i="77" s="1"/>
  <c r="D31" i="71"/>
  <c r="C32" i="71"/>
  <c r="AA25" i="37"/>
  <c r="S25" i="37"/>
  <c r="U14" i="21"/>
  <c r="AB14" i="21"/>
  <c r="AB25" i="36"/>
  <c r="U25" i="36"/>
  <c r="W40" i="21"/>
  <c r="AC40" i="21"/>
  <c r="S11" i="21"/>
  <c r="AA11" i="21"/>
  <c r="S44" i="21"/>
  <c r="AA44" i="21"/>
  <c r="U26" i="21"/>
  <c r="AA26" i="21"/>
  <c r="B38" i="72"/>
  <c r="D20" i="53"/>
  <c r="B40" i="72" s="1"/>
  <c r="D125" i="9"/>
  <c r="D11" i="52" s="1"/>
  <c r="D10" i="52"/>
  <c r="C15" i="12"/>
  <c r="M18" i="15"/>
  <c r="F30" i="11"/>
  <c r="F48" i="9"/>
  <c r="O52" i="9" s="1"/>
  <c r="F54" i="9"/>
  <c r="F31" i="12"/>
  <c r="D68" i="9"/>
  <c r="F32" i="15"/>
  <c r="F60" i="15" s="1"/>
  <c r="C15" i="15"/>
  <c r="C18" i="15"/>
  <c r="E14" i="6"/>
  <c r="E13" i="6"/>
  <c r="E10" i="6"/>
  <c r="E11" i="6"/>
  <c r="E5" i="6"/>
  <c r="E8" i="6"/>
  <c r="E12" i="6"/>
  <c r="E15" i="6"/>
  <c r="G5" i="3"/>
  <c r="B3" i="3" s="1"/>
  <c r="E13" i="3" s="1"/>
  <c r="BA5" i="3"/>
  <c r="E27" i="6" s="1"/>
  <c r="AZ13" i="3"/>
  <c r="AZ5" i="3" s="1"/>
  <c r="I37" i="21"/>
  <c r="J37" i="21" s="1"/>
  <c r="G37" i="21"/>
  <c r="H37" i="21" s="1"/>
  <c r="E37" i="21"/>
  <c r="F37" i="21" s="1"/>
  <c r="W43" i="21"/>
  <c r="AC43" i="21"/>
  <c r="AB43" i="21"/>
  <c r="U43" i="21"/>
  <c r="F71" i="67"/>
  <c r="AP6" i="1"/>
  <c r="C36" i="69" s="1"/>
  <c r="M6" i="1"/>
  <c r="H16" i="1"/>
  <c r="Q16" i="1"/>
  <c r="D116" i="43"/>
  <c r="U33" i="21"/>
  <c r="AB33" i="21"/>
  <c r="AA33" i="21"/>
  <c r="S33" i="21"/>
  <c r="AC33" i="21"/>
  <c r="W33" i="21"/>
  <c r="C5" i="43"/>
  <c r="L58" i="67"/>
  <c r="Q73" i="67" s="1"/>
  <c r="G6" i="1"/>
  <c r="G16" i="1" s="1"/>
  <c r="C7" i="36"/>
  <c r="C46" i="36" s="1"/>
  <c r="C42" i="1"/>
  <c r="C31" i="15" s="1"/>
  <c r="C7" i="39"/>
  <c r="C67" i="39" s="1"/>
  <c r="C7" i="33"/>
  <c r="C58" i="33" s="1"/>
  <c r="M47" i="9"/>
  <c r="C7" i="21"/>
  <c r="C58" i="21" s="1"/>
  <c r="G23" i="43"/>
  <c r="C7" i="35"/>
  <c r="C48" i="35" s="1"/>
  <c r="J51" i="67"/>
  <c r="L56" i="67" s="1"/>
  <c r="C7" i="37"/>
  <c r="C52" i="37" s="1"/>
  <c r="C7" i="40"/>
  <c r="C63" i="40" s="1"/>
  <c r="C7" i="34"/>
  <c r="C59" i="34" s="1"/>
  <c r="B40" i="1"/>
  <c r="F24" i="15" s="1"/>
  <c r="C24" i="15" s="1"/>
  <c r="F59" i="67"/>
  <c r="J6" i="15"/>
  <c r="C49" i="15"/>
  <c r="Q61" i="15"/>
  <c r="Q74" i="15"/>
  <c r="F59" i="15"/>
  <c r="Q60" i="15"/>
  <c r="Q73" i="15"/>
  <c r="C49" i="67"/>
  <c r="M17" i="67"/>
  <c r="M11" i="15"/>
  <c r="J10" i="15" s="1"/>
  <c r="F11" i="67"/>
  <c r="C53" i="67" s="1"/>
  <c r="M11" i="67"/>
  <c r="J10" i="67" s="1"/>
  <c r="J5" i="67" s="1"/>
  <c r="F11" i="15"/>
  <c r="F1" i="15"/>
  <c r="Q52" i="15"/>
  <c r="C16" i="67"/>
  <c r="T44" i="71" l="1"/>
  <c r="D44" i="71"/>
  <c r="C21" i="71"/>
  <c r="D22" i="71"/>
  <c r="B15" i="71"/>
  <c r="B14" i="71" s="1"/>
  <c r="B13" i="71" s="1"/>
  <c r="B12" i="71" s="1"/>
  <c r="S16" i="71"/>
  <c r="E15" i="71"/>
  <c r="E14" i="71" s="1"/>
  <c r="E13" i="71" s="1"/>
  <c r="E12" i="71" s="1"/>
  <c r="V16" i="71"/>
  <c r="D36" i="71"/>
  <c r="T36" i="71"/>
  <c r="B2" i="77"/>
  <c r="B3" i="77" s="1"/>
  <c r="C41" i="77"/>
  <c r="T40" i="71"/>
  <c r="D40" i="71"/>
  <c r="D64" i="71"/>
  <c r="T64" i="71"/>
  <c r="E30" i="6"/>
  <c r="K14" i="1"/>
  <c r="T32" i="71"/>
  <c r="D32" i="71"/>
  <c r="C19" i="15"/>
  <c r="C30" i="11"/>
  <c r="C48" i="11"/>
  <c r="E56" i="39"/>
  <c r="F27" i="6"/>
  <c r="F31" i="6" s="1"/>
  <c r="E51" i="40"/>
  <c r="E16" i="6"/>
  <c r="E58" i="40"/>
  <c r="E62" i="39"/>
  <c r="E286" i="3"/>
  <c r="E499" i="3"/>
  <c r="E484" i="3"/>
  <c r="E513" i="3"/>
  <c r="E205" i="3"/>
  <c r="E412" i="3"/>
  <c r="E376" i="3"/>
  <c r="E170" i="3"/>
  <c r="E566" i="3"/>
  <c r="E464" i="3"/>
  <c r="E413" i="3"/>
  <c r="E257" i="3"/>
  <c r="E546" i="3"/>
  <c r="E328" i="3"/>
  <c r="E169" i="3"/>
  <c r="AA6" i="3"/>
  <c r="E344" i="3"/>
  <c r="E444" i="3"/>
  <c r="E125" i="3"/>
  <c r="E358" i="3"/>
  <c r="E130" i="3"/>
  <c r="E61" i="3"/>
  <c r="E583" i="3"/>
  <c r="E99" i="3"/>
  <c r="E562" i="3"/>
  <c r="E279" i="3"/>
  <c r="E271" i="3"/>
  <c r="E414" i="3"/>
  <c r="E447" i="3"/>
  <c r="E384" i="3"/>
  <c r="E343" i="3"/>
  <c r="E410" i="3"/>
  <c r="E561" i="3"/>
  <c r="E216" i="3"/>
  <c r="E361" i="3"/>
  <c r="E350" i="3"/>
  <c r="E347" i="3"/>
  <c r="AK6" i="3"/>
  <c r="K6" i="3"/>
  <c r="E465" i="3"/>
  <c r="E454" i="3"/>
  <c r="E214" i="3"/>
  <c r="E227" i="3"/>
  <c r="E327" i="3"/>
  <c r="E400" i="3"/>
  <c r="E489" i="3"/>
  <c r="E211" i="3"/>
  <c r="E109" i="3"/>
  <c r="E322" i="3"/>
  <c r="E431" i="3"/>
  <c r="E514" i="3"/>
  <c r="E387" i="3"/>
  <c r="E69" i="3"/>
  <c r="E445" i="3"/>
  <c r="E191" i="3"/>
  <c r="E385" i="3"/>
  <c r="E200" i="3"/>
  <c r="E296" i="3"/>
  <c r="E219" i="3"/>
  <c r="E142" i="3"/>
  <c r="E238" i="3"/>
  <c r="E237" i="3"/>
  <c r="E426" i="3"/>
  <c r="E367" i="3"/>
  <c r="W6" i="3"/>
  <c r="E462" i="3"/>
  <c r="E222" i="3"/>
  <c r="E36" i="3"/>
  <c r="E419" i="3"/>
  <c r="E190" i="3"/>
  <c r="E308" i="3"/>
  <c r="E68" i="3"/>
  <c r="E258" i="3"/>
  <c r="E449" i="3"/>
  <c r="E241" i="3"/>
  <c r="E267" i="3"/>
  <c r="E502" i="3"/>
  <c r="E467" i="3"/>
  <c r="E281" i="3"/>
  <c r="E525" i="3"/>
  <c r="E324" i="3"/>
  <c r="J6" i="3"/>
  <c r="E325" i="3"/>
  <c r="E90" i="3"/>
  <c r="E436" i="3"/>
  <c r="E82" i="3"/>
  <c r="E357" i="3"/>
  <c r="E92" i="3"/>
  <c r="E574" i="3"/>
  <c r="E304" i="3"/>
  <c r="E156" i="3"/>
  <c r="E496" i="3"/>
  <c r="E236" i="3"/>
  <c r="E404" i="3"/>
  <c r="E553" i="3"/>
  <c r="E559" i="3"/>
  <c r="E395" i="3"/>
  <c r="E245" i="3"/>
  <c r="E253" i="3"/>
  <c r="E519" i="3"/>
  <c r="E450" i="3"/>
  <c r="E351" i="3"/>
  <c r="E107" i="3"/>
  <c r="E477" i="3"/>
  <c r="E162" i="3"/>
  <c r="E44" i="3"/>
  <c r="E305" i="3"/>
  <c r="E143" i="3"/>
  <c r="E538" i="3"/>
  <c r="E185" i="3"/>
  <c r="E180" i="3"/>
  <c r="E586" i="3"/>
  <c r="E77" i="3"/>
  <c r="E228" i="3"/>
  <c r="E560" i="3"/>
  <c r="E587" i="3"/>
  <c r="E106" i="3"/>
  <c r="E315" i="3"/>
  <c r="E368" i="3"/>
  <c r="Z6" i="3"/>
  <c r="E345" i="3"/>
  <c r="E28" i="3"/>
  <c r="E273" i="3"/>
  <c r="E217" i="3"/>
  <c r="AJ6" i="3"/>
  <c r="E247" i="3"/>
  <c r="E570" i="3"/>
  <c r="E335" i="3"/>
  <c r="E278" i="3"/>
  <c r="E535" i="3"/>
  <c r="E263" i="3"/>
  <c r="E246" i="3"/>
  <c r="E148" i="3"/>
  <c r="E275" i="3"/>
  <c r="E118" i="3"/>
  <c r="E139" i="3"/>
  <c r="E37" i="3"/>
  <c r="E492" i="3"/>
  <c r="E174" i="3"/>
  <c r="E329" i="3"/>
  <c r="E346" i="3"/>
  <c r="E364" i="3"/>
  <c r="E312" i="3"/>
  <c r="E39" i="3"/>
  <c r="E529" i="3"/>
  <c r="E379" i="3"/>
  <c r="AM6" i="3"/>
  <c r="E523" i="3"/>
  <c r="E221" i="3"/>
  <c r="E177" i="3"/>
  <c r="E256" i="3"/>
  <c r="AG6" i="3"/>
  <c r="E295" i="3"/>
  <c r="E516" i="3"/>
  <c r="E320" i="3"/>
  <c r="E260" i="3"/>
  <c r="E578" i="3"/>
  <c r="E314" i="3"/>
  <c r="E573" i="3"/>
  <c r="E433" i="3"/>
  <c r="E567" i="3"/>
  <c r="E585" i="3"/>
  <c r="AS6" i="3"/>
  <c r="E186" i="3"/>
  <c r="E441" i="3"/>
  <c r="E388" i="3"/>
  <c r="E270" i="3"/>
  <c r="E439" i="3"/>
  <c r="E528" i="3"/>
  <c r="E91" i="3"/>
  <c r="E495" i="3"/>
  <c r="E181" i="3"/>
  <c r="E277" i="3"/>
  <c r="E472" i="3"/>
  <c r="E577" i="3"/>
  <c r="E146" i="3"/>
  <c r="E362" i="3"/>
  <c r="E89" i="3"/>
  <c r="AO6" i="3"/>
  <c r="E557" i="3"/>
  <c r="E70" i="3"/>
  <c r="E377" i="3"/>
  <c r="E526" i="3"/>
  <c r="E509" i="3"/>
  <c r="E201" i="3"/>
  <c r="M6" i="3"/>
  <c r="E215" i="3"/>
  <c r="E563" i="3"/>
  <c r="E161" i="3"/>
  <c r="E423" i="3"/>
  <c r="X6" i="3"/>
  <c r="E119" i="3"/>
  <c r="E242" i="3"/>
  <c r="E240" i="3"/>
  <c r="E94" i="3"/>
  <c r="E369" i="3"/>
  <c r="E378" i="3"/>
  <c r="E152" i="3"/>
  <c r="E393" i="3"/>
  <c r="E66" i="3"/>
  <c r="E506" i="3"/>
  <c r="P6" i="3"/>
  <c r="E550" i="3"/>
  <c r="E150" i="3"/>
  <c r="E210" i="3"/>
  <c r="E231" i="3"/>
  <c r="E545" i="3"/>
  <c r="E171" i="3"/>
  <c r="E531" i="3"/>
  <c r="E579" i="3"/>
  <c r="E172" i="3"/>
  <c r="E132" i="3"/>
  <c r="E487" i="3"/>
  <c r="E437" i="3"/>
  <c r="E17" i="3"/>
  <c r="E53" i="3"/>
  <c r="E397" i="3"/>
  <c r="E195" i="3"/>
  <c r="E348" i="3"/>
  <c r="E540" i="3"/>
  <c r="E80" i="3"/>
  <c r="E86" i="3"/>
  <c r="E160" i="3"/>
  <c r="E442" i="3"/>
  <c r="E389" i="3"/>
  <c r="E67" i="3"/>
  <c r="E198" i="3"/>
  <c r="E34" i="3"/>
  <c r="E405" i="3"/>
  <c r="E115" i="3"/>
  <c r="E158" i="3"/>
  <c r="E422" i="3"/>
  <c r="E276" i="3"/>
  <c r="E234" i="3"/>
  <c r="E62" i="3"/>
  <c r="E58" i="3"/>
  <c r="E446" i="3"/>
  <c r="E584" i="3"/>
  <c r="E87" i="3"/>
  <c r="E224" i="3"/>
  <c r="E14" i="3"/>
  <c r="R6" i="3"/>
  <c r="E56" i="3"/>
  <c r="E425" i="3"/>
  <c r="E144" i="3"/>
  <c r="E332" i="3"/>
  <c r="E251" i="3"/>
  <c r="E469" i="3"/>
  <c r="E243" i="3"/>
  <c r="E83" i="3"/>
  <c r="E490" i="3"/>
  <c r="E333" i="3"/>
  <c r="E339" i="3"/>
  <c r="E218" i="3"/>
  <c r="E65" i="3"/>
  <c r="E209" i="3"/>
  <c r="E373" i="3"/>
  <c r="E167" i="3"/>
  <c r="E532" i="3"/>
  <c r="E120" i="3"/>
  <c r="E338" i="3"/>
  <c r="E291" i="3"/>
  <c r="E208" i="3"/>
  <c r="E266" i="3"/>
  <c r="E165" i="3"/>
  <c r="E226" i="3"/>
  <c r="E41" i="3"/>
  <c r="E482" i="3"/>
  <c r="E59" i="3"/>
  <c r="E554" i="3"/>
  <c r="E409" i="3"/>
  <c r="E233" i="3"/>
  <c r="AL6" i="3"/>
  <c r="E102" i="3"/>
  <c r="E408" i="3"/>
  <c r="E428" i="3"/>
  <c r="E16" i="3"/>
  <c r="AH6" i="3"/>
  <c r="L6" i="3"/>
  <c r="E392" i="3"/>
  <c r="E365" i="3"/>
  <c r="E24" i="3"/>
  <c r="E48" i="3"/>
  <c r="E374" i="3"/>
  <c r="E187" i="3"/>
  <c r="E474" i="3"/>
  <c r="E207" i="3"/>
  <c r="E541" i="3"/>
  <c r="E192" i="3"/>
  <c r="E103" i="3"/>
  <c r="E381" i="3"/>
  <c r="E75" i="3"/>
  <c r="E287" i="3"/>
  <c r="E360" i="3"/>
  <c r="E78" i="3"/>
  <c r="E223" i="3"/>
  <c r="E498" i="3"/>
  <c r="E52" i="3"/>
  <c r="E101" i="3"/>
  <c r="E51" i="3"/>
  <c r="E19" i="3"/>
  <c r="E259" i="3"/>
  <c r="E98" i="3"/>
  <c r="E288" i="3"/>
  <c r="E470" i="3"/>
  <c r="E520" i="3"/>
  <c r="E29" i="3"/>
  <c r="E230" i="3"/>
  <c r="E527" i="3"/>
  <c r="E533" i="3"/>
  <c r="E468" i="3"/>
  <c r="E485" i="3"/>
  <c r="E189" i="3"/>
  <c r="E248" i="3"/>
  <c r="E184" i="3"/>
  <c r="E372" i="3"/>
  <c r="E438" i="3"/>
  <c r="E303" i="3"/>
  <c r="E316" i="3"/>
  <c r="E293" i="3"/>
  <c r="E549" i="3"/>
  <c r="E530" i="3"/>
  <c r="E183" i="3"/>
  <c r="E133" i="3"/>
  <c r="E74" i="3"/>
  <c r="E182" i="3"/>
  <c r="E311" i="3"/>
  <c r="E135" i="3"/>
  <c r="E483" i="3"/>
  <c r="E43" i="3"/>
  <c r="E383" i="3"/>
  <c r="E176" i="3"/>
  <c r="E548" i="3"/>
  <c r="E330" i="3"/>
  <c r="E569" i="3"/>
  <c r="E511" i="3"/>
  <c r="E478" i="3"/>
  <c r="E555" i="3"/>
  <c r="E134" i="3"/>
  <c r="E406" i="3"/>
  <c r="E204" i="3"/>
  <c r="E572" i="3"/>
  <c r="AB6" i="3"/>
  <c r="AI6" i="3"/>
  <c r="E131" i="3"/>
  <c r="E353" i="3"/>
  <c r="S6" i="3"/>
  <c r="E71" i="3"/>
  <c r="E157" i="3"/>
  <c r="E323" i="3"/>
  <c r="E20" i="3"/>
  <c r="E507" i="3"/>
  <c r="E556" i="3"/>
  <c r="E494" i="3"/>
  <c r="E491" i="3"/>
  <c r="E536" i="3"/>
  <c r="E417" i="3"/>
  <c r="E64" i="3"/>
  <c r="E63" i="3"/>
  <c r="E18" i="3"/>
  <c r="E22" i="3"/>
  <c r="E497" i="3"/>
  <c r="E220" i="3"/>
  <c r="E105" i="3"/>
  <c r="E401" i="3"/>
  <c r="E473" i="3"/>
  <c r="E112" i="3"/>
  <c r="E141" i="3"/>
  <c r="E244" i="3"/>
  <c r="E149" i="3"/>
  <c r="E163" i="3"/>
  <c r="E127" i="3"/>
  <c r="E537" i="3"/>
  <c r="E510" i="3"/>
  <c r="I3" i="6"/>
  <c r="E363" i="3"/>
  <c r="E300" i="3"/>
  <c r="E264" i="3"/>
  <c r="E129" i="3"/>
  <c r="E140" i="3"/>
  <c r="E452" i="3"/>
  <c r="E342" i="3"/>
  <c r="E493" i="3"/>
  <c r="E40" i="3"/>
  <c r="E455" i="3"/>
  <c r="E147" i="3"/>
  <c r="E398" i="3"/>
  <c r="E421" i="3"/>
  <c r="E582" i="3"/>
  <c r="Y6" i="3"/>
  <c r="E122" i="3"/>
  <c r="E274" i="3"/>
  <c r="E476" i="3"/>
  <c r="E399" i="3"/>
  <c r="E268" i="3"/>
  <c r="E100" i="3"/>
  <c r="AE6" i="3"/>
  <c r="E159" i="3"/>
  <c r="E359" i="3"/>
  <c r="U6" i="3"/>
  <c r="E307" i="3"/>
  <c r="E110" i="3"/>
  <c r="E194" i="3"/>
  <c r="E430" i="3"/>
  <c r="E95" i="3"/>
  <c r="E173" i="3"/>
  <c r="E108" i="3"/>
  <c r="E500" i="3"/>
  <c r="E168" i="3"/>
  <c r="E23" i="3"/>
  <c r="E104" i="3"/>
  <c r="E137" i="3"/>
  <c r="E47" i="3"/>
  <c r="E84" i="3"/>
  <c r="E235" i="3"/>
  <c r="E460" i="3"/>
  <c r="E76" i="3"/>
  <c r="E534" i="3"/>
  <c r="E116" i="3"/>
  <c r="E310" i="3"/>
  <c r="E420" i="3"/>
  <c r="E38" i="3"/>
  <c r="E297" i="3"/>
  <c r="E199" i="3"/>
  <c r="E21" i="3"/>
  <c r="E370" i="3"/>
  <c r="E50" i="3"/>
  <c r="E488" i="3"/>
  <c r="E57" i="3"/>
  <c r="T6" i="3"/>
  <c r="E309" i="3"/>
  <c r="E49" i="3"/>
  <c r="E340" i="3"/>
  <c r="AD6" i="3"/>
  <c r="E435" i="3"/>
  <c r="E522" i="3"/>
  <c r="E486" i="3"/>
  <c r="E155" i="3"/>
  <c r="E306" i="3"/>
  <c r="E575" i="3"/>
  <c r="E543" i="3"/>
  <c r="E136" i="3"/>
  <c r="E202" i="3"/>
  <c r="I6" i="3"/>
  <c r="E31" i="3"/>
  <c r="E453" i="3"/>
  <c r="E407" i="3"/>
  <c r="E166" i="3"/>
  <c r="E73" i="3"/>
  <c r="E302" i="3"/>
  <c r="E317" i="3"/>
  <c r="E352" i="3"/>
  <c r="E250" i="3"/>
  <c r="E178" i="3"/>
  <c r="E512" i="3"/>
  <c r="E371" i="3"/>
  <c r="E396" i="3"/>
  <c r="E443" i="3"/>
  <c r="E481" i="3"/>
  <c r="E418" i="3"/>
  <c r="E432" i="3"/>
  <c r="E459" i="3"/>
  <c r="E265" i="3"/>
  <c r="E564" i="3"/>
  <c r="AF6" i="3"/>
  <c r="E292" i="3"/>
  <c r="E539" i="3"/>
  <c r="E46" i="3"/>
  <c r="E206" i="3"/>
  <c r="E35" i="3"/>
  <c r="E60" i="3"/>
  <c r="E521" i="3"/>
  <c r="E179" i="3"/>
  <c r="E93" i="3"/>
  <c r="E319" i="3"/>
  <c r="E565" i="3"/>
  <c r="Q6" i="3"/>
  <c r="E252" i="3"/>
  <c r="E334" i="3"/>
  <c r="E551" i="3"/>
  <c r="E382" i="3"/>
  <c r="E458" i="3"/>
  <c r="E269" i="3"/>
  <c r="E331" i="3"/>
  <c r="AR6" i="3"/>
  <c r="E301" i="3"/>
  <c r="E255" i="3"/>
  <c r="E72" i="3"/>
  <c r="E518" i="3"/>
  <c r="E151" i="3"/>
  <c r="E558" i="3"/>
  <c r="E424" i="3"/>
  <c r="E298" i="3"/>
  <c r="E547" i="3"/>
  <c r="E154" i="3"/>
  <c r="E552" i="3"/>
  <c r="E427" i="3"/>
  <c r="E113" i="3"/>
  <c r="E544" i="3"/>
  <c r="E282" i="3"/>
  <c r="E164" i="3"/>
  <c r="E434" i="3"/>
  <c r="E285" i="3"/>
  <c r="E196" i="3"/>
  <c r="E375" i="3"/>
  <c r="AQ6" i="3"/>
  <c r="E232" i="3"/>
  <c r="E391" i="3"/>
  <c r="AP6" i="3"/>
  <c r="E466" i="3"/>
  <c r="E33" i="3"/>
  <c r="E197" i="3"/>
  <c r="E188" i="3"/>
  <c r="E299" i="3"/>
  <c r="E416" i="3"/>
  <c r="E504" i="3"/>
  <c r="E411" i="3"/>
  <c r="O6" i="3"/>
  <c r="E254" i="3"/>
  <c r="E429" i="3"/>
  <c r="E448" i="3"/>
  <c r="E366" i="3"/>
  <c r="E294" i="3"/>
  <c r="E336" i="3"/>
  <c r="E571" i="3"/>
  <c r="E515" i="3"/>
  <c r="E175" i="3"/>
  <c r="E380" i="3"/>
  <c r="E124" i="3"/>
  <c r="E457" i="3"/>
  <c r="E290" i="3"/>
  <c r="N6" i="3"/>
  <c r="E576" i="3"/>
  <c r="E262" i="3"/>
  <c r="E97" i="3"/>
  <c r="E145" i="3"/>
  <c r="E542" i="3"/>
  <c r="E123" i="3"/>
  <c r="E326" i="3"/>
  <c r="E96" i="3"/>
  <c r="E517" i="3"/>
  <c r="E30" i="3"/>
  <c r="E394" i="3"/>
  <c r="E402" i="3"/>
  <c r="E501" i="3"/>
  <c r="E471" i="3"/>
  <c r="E138" i="3"/>
  <c r="E15" i="3"/>
  <c r="E26" i="3"/>
  <c r="E355" i="3"/>
  <c r="E479" i="3"/>
  <c r="E283" i="3"/>
  <c r="E451" i="3"/>
  <c r="E440" i="3"/>
  <c r="E289" i="3"/>
  <c r="E284" i="3"/>
  <c r="E313" i="3"/>
  <c r="E403" i="3"/>
  <c r="E390" i="3"/>
  <c r="E280" i="3"/>
  <c r="E203" i="3"/>
  <c r="E581" i="3"/>
  <c r="E239" i="3"/>
  <c r="E415" i="3"/>
  <c r="E85" i="3"/>
  <c r="E111" i="3"/>
  <c r="E505" i="3"/>
  <c r="E508" i="3"/>
  <c r="E261" i="3"/>
  <c r="E568" i="3"/>
  <c r="E32" i="3"/>
  <c r="E354" i="3"/>
  <c r="V6" i="3"/>
  <c r="E126" i="3"/>
  <c r="E456" i="3"/>
  <c r="E349" i="3"/>
  <c r="E524" i="3"/>
  <c r="E321" i="3"/>
  <c r="E229" i="3"/>
  <c r="E27" i="3"/>
  <c r="E54" i="3"/>
  <c r="E213" i="3"/>
  <c r="E25" i="3"/>
  <c r="E272" i="3"/>
  <c r="E121" i="3"/>
  <c r="E318" i="3"/>
  <c r="E212" i="3"/>
  <c r="E193" i="3"/>
  <c r="AN6" i="3"/>
  <c r="E79" i="3"/>
  <c r="E88" i="3"/>
  <c r="E461" i="3"/>
  <c r="E249" i="3"/>
  <c r="E42" i="3"/>
  <c r="E341" i="3"/>
  <c r="E128" i="3"/>
  <c r="E117" i="3"/>
  <c r="E337" i="3"/>
  <c r="E114" i="3"/>
  <c r="E153" i="3"/>
  <c r="E356" i="3"/>
  <c r="E55" i="3"/>
  <c r="E386" i="3"/>
  <c r="E225" i="3"/>
  <c r="E475" i="3"/>
  <c r="E580" i="3"/>
  <c r="E45" i="3"/>
  <c r="E503" i="3"/>
  <c r="E480" i="3"/>
  <c r="E81" i="3"/>
  <c r="E463" i="3"/>
  <c r="D19" i="12"/>
  <c r="C19" i="12" s="1"/>
  <c r="D9" i="68"/>
  <c r="C9" i="68" s="1"/>
  <c r="D9" i="69"/>
  <c r="C9" i="69" s="1"/>
  <c r="D9" i="11"/>
  <c r="C9" i="11" s="1"/>
  <c r="E59" i="40"/>
  <c r="E63" i="39"/>
  <c r="AY6" i="3"/>
  <c r="E3" i="6"/>
  <c r="R8" i="81" s="1"/>
  <c r="R9" i="81" s="1"/>
  <c r="E64" i="39"/>
  <c r="E60" i="40"/>
  <c r="E56" i="40"/>
  <c r="E60" i="39"/>
  <c r="K21" i="6"/>
  <c r="M21" i="6" s="1"/>
  <c r="I21" i="6" s="1"/>
  <c r="S21" i="6" s="1"/>
  <c r="K24" i="6"/>
  <c r="M24" i="6" s="1"/>
  <c r="I24" i="6" s="1"/>
  <c r="S24" i="6" s="1"/>
  <c r="E31" i="6"/>
  <c r="K19" i="6"/>
  <c r="K23" i="6"/>
  <c r="M23" i="6" s="1"/>
  <c r="I23" i="6" s="1"/>
  <c r="S23" i="6" s="1"/>
  <c r="K22" i="6"/>
  <c r="M22" i="6" s="1"/>
  <c r="I22" i="6" s="1"/>
  <c r="S22" i="6" s="1"/>
  <c r="K26" i="6"/>
  <c r="M26" i="6" s="1"/>
  <c r="I26" i="6" s="1"/>
  <c r="S26" i="6" s="1"/>
  <c r="K20" i="6"/>
  <c r="M20" i="6" s="1"/>
  <c r="I20" i="6" s="1"/>
  <c r="S20" i="6" s="1"/>
  <c r="K25" i="6"/>
  <c r="M25" i="6" s="1"/>
  <c r="I25" i="6" s="1"/>
  <c r="S25" i="6" s="1"/>
  <c r="E61" i="39"/>
  <c r="E57" i="40"/>
  <c r="J17" i="67"/>
  <c r="Q60" i="67"/>
  <c r="F24" i="67"/>
  <c r="C24" i="67" s="1"/>
  <c r="F22" i="11"/>
  <c r="S37" i="21"/>
  <c r="AA37" i="21"/>
  <c r="F22" i="68"/>
  <c r="F41" i="68" s="1"/>
  <c r="AC37" i="21"/>
  <c r="W37" i="21"/>
  <c r="U37" i="21"/>
  <c r="AB37" i="21"/>
  <c r="F27" i="11"/>
  <c r="F28" i="12"/>
  <c r="F27" i="68"/>
  <c r="F27" i="69"/>
  <c r="C65" i="40"/>
  <c r="D63" i="40"/>
  <c r="O23" i="43"/>
  <c r="P26" i="43"/>
  <c r="P28" i="43"/>
  <c r="B66" i="40" s="1"/>
  <c r="P27" i="43"/>
  <c r="B70" i="39" s="1"/>
  <c r="A1" i="79"/>
  <c r="P29" i="43"/>
  <c r="C23" i="43"/>
  <c r="P25" i="43"/>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C24" i="12"/>
  <c r="C31" i="12"/>
  <c r="C48" i="69"/>
  <c r="C36" i="11"/>
  <c r="C30" i="69"/>
  <c r="C13" i="12"/>
  <c r="C28" i="67"/>
  <c r="C28" i="15"/>
  <c r="C48" i="68"/>
  <c r="C77" i="9"/>
  <c r="C74" i="9" s="1"/>
  <c r="C30" i="68"/>
  <c r="C36" i="68"/>
  <c r="F22" i="69"/>
  <c r="C26" i="69" s="1"/>
  <c r="D22" i="69" s="1"/>
  <c r="C31" i="67"/>
  <c r="J18" i="67"/>
  <c r="J53" i="67"/>
  <c r="L59" i="67"/>
  <c r="J60" i="67"/>
  <c r="Q48" i="67" s="1"/>
  <c r="N59" i="67"/>
  <c r="J57" i="67"/>
  <c r="J55" i="67" s="1"/>
  <c r="J58" i="67" s="1"/>
  <c r="Q50" i="67" s="1"/>
  <c r="M59" i="67"/>
  <c r="J59" i="67"/>
  <c r="D46" i="36"/>
  <c r="E46" i="36" s="1"/>
  <c r="F46" i="36" s="1"/>
  <c r="G46" i="36" s="1"/>
  <c r="H46" i="36" s="1"/>
  <c r="I46" i="36" s="1"/>
  <c r="J46" i="36" s="1"/>
  <c r="K46" i="36" s="1"/>
  <c r="L46" i="36" s="1"/>
  <c r="M46" i="36" s="1"/>
  <c r="N46" i="36" s="1"/>
  <c r="O46" i="36" s="1"/>
  <c r="H7" i="36" s="1"/>
  <c r="F7" i="36"/>
  <c r="L60" i="67"/>
  <c r="C69" i="39"/>
  <c r="D67" i="39"/>
  <c r="F25" i="12"/>
  <c r="J19" i="67"/>
  <c r="J19" i="15"/>
  <c r="F7" i="34"/>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D58" i="33"/>
  <c r="E58" i="33" s="1"/>
  <c r="F58" i="33" s="1"/>
  <c r="G58" i="33" s="1"/>
  <c r="H58" i="33" s="1"/>
  <c r="I58" i="33" s="1"/>
  <c r="J58" i="33" s="1"/>
  <c r="K58" i="33" s="1"/>
  <c r="L58" i="33" s="1"/>
  <c r="M58" i="33" s="1"/>
  <c r="N58" i="33" s="1"/>
  <c r="O58" i="33" s="1"/>
  <c r="F7" i="33"/>
  <c r="F10" i="39"/>
  <c r="J10" i="39"/>
  <c r="F10" i="40"/>
  <c r="J10" i="40"/>
  <c r="H10" i="40"/>
  <c r="H10" i="39"/>
  <c r="L57" i="67"/>
  <c r="L36" i="43"/>
  <c r="M36" i="43" s="1"/>
  <c r="J18" i="15"/>
  <c r="J5" i="15"/>
  <c r="J24" i="15" s="1"/>
  <c r="J17" i="15"/>
  <c r="C59" i="15"/>
  <c r="J26" i="67"/>
  <c r="J24" i="67"/>
  <c r="C20" i="15"/>
  <c r="C23" i="15" s="1"/>
  <c r="C48" i="67"/>
  <c r="C59" i="67"/>
  <c r="C10" i="15"/>
  <c r="C5" i="15" s="1"/>
  <c r="C53" i="15"/>
  <c r="C48" i="15" s="1"/>
  <c r="C10" i="67"/>
  <c r="C5" i="67" s="1"/>
  <c r="F7" i="35" l="1"/>
  <c r="H7" i="33"/>
  <c r="H7" i="35"/>
  <c r="AB7" i="35" s="1"/>
  <c r="T38" i="35" s="1"/>
  <c r="G38" i="35" s="1"/>
  <c r="J7" i="34"/>
  <c r="AC7" i="34" s="1"/>
  <c r="V49" i="34" s="1"/>
  <c r="I49" i="34" s="1"/>
  <c r="D21" i="71"/>
  <c r="C20" i="71"/>
  <c r="S12" i="71"/>
  <c r="B11" i="71"/>
  <c r="B10" i="71" s="1"/>
  <c r="B9" i="71" s="1"/>
  <c r="B8" i="71" s="1"/>
  <c r="B7" i="71" s="1"/>
  <c r="B6" i="71" s="1"/>
  <c r="B5" i="71" s="1"/>
  <c r="H6" i="3"/>
  <c r="M14" i="1"/>
  <c r="M16" i="1" s="1"/>
  <c r="C34" i="69"/>
  <c r="K16" i="1"/>
  <c r="E11" i="71"/>
  <c r="E10" i="71" s="1"/>
  <c r="E9" i="71" s="1"/>
  <c r="E8" i="71" s="1"/>
  <c r="E7" i="71" s="1"/>
  <c r="E6" i="71" s="1"/>
  <c r="E5" i="71" s="1"/>
  <c r="V12" i="71"/>
  <c r="AY206" i="3"/>
  <c r="AY191" i="3"/>
  <c r="AY127" i="3"/>
  <c r="AY250" i="3"/>
  <c r="AY219" i="3"/>
  <c r="AY540" i="3"/>
  <c r="AY437" i="3"/>
  <c r="AY545" i="3"/>
  <c r="AY237" i="3"/>
  <c r="AY352" i="3"/>
  <c r="AY76" i="3"/>
  <c r="AY187" i="3"/>
  <c r="AY345" i="3"/>
  <c r="AY326" i="3"/>
  <c r="AY359" i="3"/>
  <c r="AY305" i="3"/>
  <c r="BQ6" i="3"/>
  <c r="AY120" i="3"/>
  <c r="AY157" i="3"/>
  <c r="AY110" i="3"/>
  <c r="AY53" i="3"/>
  <c r="AY360" i="3"/>
  <c r="AY15" i="3"/>
  <c r="AY518" i="3"/>
  <c r="AY339" i="3"/>
  <c r="AY422" i="3"/>
  <c r="AY350" i="3"/>
  <c r="AY252" i="3"/>
  <c r="AY180" i="3"/>
  <c r="AY493" i="3"/>
  <c r="AY522" i="3"/>
  <c r="AY253" i="3"/>
  <c r="AY17" i="3"/>
  <c r="AY404" i="3"/>
  <c r="AY78" i="3"/>
  <c r="AY200" i="3"/>
  <c r="AY211" i="3"/>
  <c r="AY362" i="3"/>
  <c r="AY59" i="3"/>
  <c r="AY407" i="3"/>
  <c r="AY342" i="3"/>
  <c r="AY418" i="3"/>
  <c r="AY491" i="3"/>
  <c r="AY538" i="3"/>
  <c r="AY441" i="3"/>
  <c r="AY480" i="3"/>
  <c r="AY226" i="3"/>
  <c r="AY221" i="3"/>
  <c r="AY152" i="3"/>
  <c r="AY476" i="3"/>
  <c r="AY377" i="3"/>
  <c r="AY369" i="3"/>
  <c r="AY356" i="3"/>
  <c r="AY86" i="3"/>
  <c r="AY501" i="3"/>
  <c r="AY386" i="3"/>
  <c r="AY190" i="3"/>
  <c r="AY447" i="3"/>
  <c r="AY199" i="3"/>
  <c r="BS6" i="3"/>
  <c r="AY259" i="3"/>
  <c r="AY294" i="3"/>
  <c r="AY43" i="3"/>
  <c r="AY445" i="3"/>
  <c r="AY162" i="3"/>
  <c r="AY301" i="3"/>
  <c r="AY563" i="3"/>
  <c r="AY314" i="3"/>
  <c r="AY255" i="3"/>
  <c r="AY521" i="3"/>
  <c r="AY450" i="3"/>
  <c r="AY321" i="3"/>
  <c r="AY295" i="3"/>
  <c r="AY186" i="3"/>
  <c r="AY389" i="3"/>
  <c r="AY82" i="3"/>
  <c r="AY36" i="3"/>
  <c r="AY488" i="3"/>
  <c r="AY472" i="3"/>
  <c r="AY372" i="3"/>
  <c r="AY170" i="3"/>
  <c r="AY457" i="3"/>
  <c r="AY18" i="3"/>
  <c r="AY72" i="3"/>
  <c r="BA6" i="3"/>
  <c r="AY293" i="3"/>
  <c r="AY160" i="3"/>
  <c r="AY80" i="3"/>
  <c r="AY322" i="3"/>
  <c r="AY213" i="3"/>
  <c r="AY216" i="3"/>
  <c r="AY585" i="3"/>
  <c r="AY499" i="3"/>
  <c r="AY551" i="3"/>
  <c r="AY526" i="3"/>
  <c r="AY46" i="3"/>
  <c r="AY408" i="3"/>
  <c r="AY572" i="3"/>
  <c r="AY79" i="3"/>
  <c r="AY70" i="3"/>
  <c r="AY60" i="3"/>
  <c r="AY136" i="3"/>
  <c r="AY176" i="3"/>
  <c r="AY212" i="3"/>
  <c r="AY145" i="3"/>
  <c r="AY384" i="3"/>
  <c r="AY179" i="3"/>
  <c r="AY451" i="3"/>
  <c r="AY446" i="3"/>
  <c r="AY406" i="3"/>
  <c r="AY490" i="3"/>
  <c r="AY477" i="3"/>
  <c r="AY489" i="3"/>
  <c r="AY320" i="3"/>
  <c r="AY546" i="3"/>
  <c r="AY498" i="3"/>
  <c r="AY568" i="3"/>
  <c r="AY468" i="3"/>
  <c r="AY374" i="3"/>
  <c r="AY289" i="3"/>
  <c r="AY40" i="3"/>
  <c r="AY55" i="3"/>
  <c r="AY41" i="3"/>
  <c r="AY512" i="3"/>
  <c r="AY554" i="3"/>
  <c r="AY387" i="3"/>
  <c r="BD6" i="3"/>
  <c r="BM6" i="3"/>
  <c r="AY459" i="3"/>
  <c r="AY430" i="3"/>
  <c r="AY383" i="3"/>
  <c r="AY504" i="3"/>
  <c r="AY473" i="3"/>
  <c r="AY558" i="3"/>
  <c r="AY466" i="3"/>
  <c r="AY228" i="3"/>
  <c r="AY111" i="3"/>
  <c r="AY559" i="3"/>
  <c r="AY256" i="3"/>
  <c r="AY318" i="3"/>
  <c r="AY116" i="3"/>
  <c r="AY511" i="3"/>
  <c r="AY529" i="3"/>
  <c r="AY429" i="3"/>
  <c r="AY390" i="3"/>
  <c r="AY394" i="3"/>
  <c r="AY112" i="3"/>
  <c r="AY427" i="3"/>
  <c r="AY452" i="3"/>
  <c r="AY195" i="3"/>
  <c r="AY278" i="3"/>
  <c r="AY536" i="3"/>
  <c r="AY283" i="3"/>
  <c r="AY241" i="3"/>
  <c r="AY103" i="3"/>
  <c r="AY292" i="3"/>
  <c r="AY142" i="3"/>
  <c r="AY556" i="3"/>
  <c r="AY400" i="3"/>
  <c r="AY509" i="3"/>
  <c r="AY508" i="3"/>
  <c r="AY281" i="3"/>
  <c r="AY463" i="3"/>
  <c r="AY547" i="3"/>
  <c r="AY113" i="3"/>
  <c r="AY155" i="3"/>
  <c r="AY328" i="3"/>
  <c r="AY217" i="3"/>
  <c r="AY14" i="3"/>
  <c r="AY541" i="3"/>
  <c r="AY517" i="3"/>
  <c r="AY257" i="3"/>
  <c r="AY431" i="3"/>
  <c r="AY310" i="3"/>
  <c r="AY192" i="3"/>
  <c r="AY94" i="3"/>
  <c r="AY302" i="3"/>
  <c r="BH6" i="3"/>
  <c r="AY188" i="3"/>
  <c r="AY35" i="3"/>
  <c r="AY364" i="3"/>
  <c r="AY335" i="3"/>
  <c r="AY143" i="3"/>
  <c r="AY577" i="3"/>
  <c r="AY453" i="3"/>
  <c r="AY438" i="3"/>
  <c r="AY65" i="3"/>
  <c r="AY107" i="3"/>
  <c r="AY156" i="3"/>
  <c r="AY98" i="3"/>
  <c r="AY96" i="3"/>
  <c r="AY122" i="3"/>
  <c r="AY168" i="3"/>
  <c r="AY535" i="3"/>
  <c r="AY380" i="3"/>
  <c r="AY575" i="3"/>
  <c r="AY409" i="3"/>
  <c r="AY194" i="3"/>
  <c r="AY582" i="3"/>
  <c r="AY523" i="3"/>
  <c r="AY174" i="3"/>
  <c r="AY231" i="3"/>
  <c r="AY38" i="3"/>
  <c r="AY220" i="3"/>
  <c r="AY303" i="3"/>
  <c r="AY20" i="3"/>
  <c r="AY471" i="3"/>
  <c r="AY74" i="3"/>
  <c r="AY313" i="3"/>
  <c r="AY26" i="3"/>
  <c r="BN6" i="3"/>
  <c r="AY63" i="3"/>
  <c r="AY553" i="3"/>
  <c r="AY531" i="3"/>
  <c r="AY87" i="3"/>
  <c r="AY458" i="3"/>
  <c r="AY584" i="3"/>
  <c r="AY230" i="3"/>
  <c r="AY105" i="3"/>
  <c r="AY436" i="3"/>
  <c r="AY425" i="3"/>
  <c r="AY108" i="3"/>
  <c r="AY121" i="3"/>
  <c r="AY564" i="3"/>
  <c r="AY299" i="3"/>
  <c r="AY543" i="3"/>
  <c r="AY330" i="3"/>
  <c r="AY411" i="3"/>
  <c r="AY62" i="3"/>
  <c r="AY291" i="3"/>
  <c r="AY88" i="3"/>
  <c r="AY565" i="3"/>
  <c r="AY37" i="3"/>
  <c r="AY348" i="3"/>
  <c r="AY346" i="3"/>
  <c r="BT6" i="3"/>
  <c r="AY57" i="3"/>
  <c r="AY562" i="3"/>
  <c r="AY344" i="3"/>
  <c r="AY361" i="3"/>
  <c r="AY290" i="3"/>
  <c r="AY238" i="3"/>
  <c r="BE6" i="3"/>
  <c r="AY578" i="3"/>
  <c r="AY442" i="3"/>
  <c r="AY570" i="3"/>
  <c r="AY548" i="3"/>
  <c r="AY233" i="3"/>
  <c r="AY134" i="3"/>
  <c r="AY29" i="3"/>
  <c r="AY242" i="3"/>
  <c r="AY381" i="3"/>
  <c r="AY223" i="3"/>
  <c r="AY434" i="3"/>
  <c r="AY371" i="3"/>
  <c r="AY494" i="3"/>
  <c r="AY412" i="3"/>
  <c r="AY23" i="3"/>
  <c r="AY272" i="3"/>
  <c r="AY50" i="3"/>
  <c r="AY167" i="3"/>
  <c r="AY376" i="3"/>
  <c r="AY91" i="3"/>
  <c r="AY263" i="3"/>
  <c r="AY240" i="3"/>
  <c r="AY269" i="3"/>
  <c r="AY576" i="3"/>
  <c r="AY286" i="3"/>
  <c r="AY414" i="3"/>
  <c r="AY215" i="3"/>
  <c r="AY271" i="3"/>
  <c r="AY298" i="3"/>
  <c r="AY423" i="3"/>
  <c r="AY181" i="3"/>
  <c r="AY247" i="3"/>
  <c r="AY109" i="3"/>
  <c r="AY249" i="3"/>
  <c r="AY150" i="3"/>
  <c r="BC6" i="3"/>
  <c r="AY114" i="3"/>
  <c r="AY148" i="3"/>
  <c r="AY357" i="3"/>
  <c r="AY566" i="3"/>
  <c r="AY175" i="3"/>
  <c r="AY324" i="3"/>
  <c r="AY119" i="3"/>
  <c r="AY415" i="3"/>
  <c r="AY571" i="3"/>
  <c r="AY579" i="3"/>
  <c r="AY549" i="3"/>
  <c r="AY47" i="3"/>
  <c r="AY201" i="3"/>
  <c r="AY432" i="3"/>
  <c r="AY69" i="3"/>
  <c r="AY527" i="3"/>
  <c r="AY500" i="3"/>
  <c r="AY135" i="3"/>
  <c r="AY530" i="3"/>
  <c r="AY351" i="3"/>
  <c r="AY131" i="3"/>
  <c r="AY205" i="3"/>
  <c r="AY208" i="3"/>
  <c r="AY516" i="3"/>
  <c r="AY354" i="3"/>
  <c r="AY413" i="3"/>
  <c r="AY486" i="3"/>
  <c r="AY89" i="3"/>
  <c r="AY353" i="3"/>
  <c r="AY58" i="3"/>
  <c r="AY243" i="3"/>
  <c r="AY163" i="3"/>
  <c r="AY83" i="3"/>
  <c r="AY44" i="3"/>
  <c r="AY267" i="3"/>
  <c r="BK6" i="3"/>
  <c r="AY327" i="3"/>
  <c r="AY139" i="3"/>
  <c r="AY182" i="3"/>
  <c r="AY42" i="3"/>
  <c r="AY297" i="3"/>
  <c r="AY420" i="3"/>
  <c r="AY537" i="3"/>
  <c r="AY16" i="3"/>
  <c r="AY503" i="3"/>
  <c r="AY456" i="3"/>
  <c r="AY236" i="3"/>
  <c r="AY519" i="3"/>
  <c r="AY464" i="3"/>
  <c r="AY316" i="3"/>
  <c r="AY189" i="3"/>
  <c r="AY141" i="3"/>
  <c r="D3" i="6"/>
  <c r="AY347" i="3"/>
  <c r="AY375" i="3"/>
  <c r="AY514" i="3"/>
  <c r="AY264" i="3"/>
  <c r="AY19" i="3"/>
  <c r="AY520" i="3"/>
  <c r="AY239" i="3"/>
  <c r="AY392" i="3"/>
  <c r="AY583" i="3"/>
  <c r="AY84" i="3"/>
  <c r="AY32" i="3"/>
  <c r="AY528" i="3"/>
  <c r="AY159" i="3"/>
  <c r="BO6" i="3"/>
  <c r="AY234" i="3"/>
  <c r="AY154" i="3"/>
  <c r="AY81" i="3"/>
  <c r="AY30" i="3"/>
  <c r="AY39" i="3"/>
  <c r="AY309" i="3"/>
  <c r="AY555" i="3"/>
  <c r="AY45" i="3"/>
  <c r="BL6" i="3"/>
  <c r="AY184" i="3"/>
  <c r="AY288" i="3"/>
  <c r="AY284" i="3"/>
  <c r="AY67" i="3"/>
  <c r="AY382" i="3"/>
  <c r="AY61" i="3"/>
  <c r="AY173" i="3"/>
  <c r="AY265" i="3"/>
  <c r="AY449" i="3"/>
  <c r="AY77" i="3"/>
  <c r="AY557" i="3"/>
  <c r="AY102" i="3"/>
  <c r="AY532" i="3"/>
  <c r="AY492" i="3"/>
  <c r="AY93" i="3"/>
  <c r="AY24" i="3"/>
  <c r="AY274" i="3"/>
  <c r="AY469" i="3"/>
  <c r="AY124" i="3"/>
  <c r="AY586" i="3"/>
  <c r="AY358" i="3"/>
  <c r="AY455" i="3"/>
  <c r="AY475" i="3"/>
  <c r="AY401" i="3"/>
  <c r="AY258" i="3"/>
  <c r="AY343" i="3"/>
  <c r="AY166" i="3"/>
  <c r="AY534" i="3"/>
  <c r="AY280" i="3"/>
  <c r="AY64" i="3"/>
  <c r="AY544" i="3"/>
  <c r="AY417" i="3"/>
  <c r="AY398" i="3"/>
  <c r="BG6" i="3"/>
  <c r="AY333" i="3"/>
  <c r="AY75" i="3"/>
  <c r="AY385" i="3"/>
  <c r="AY388" i="3"/>
  <c r="BP6" i="3"/>
  <c r="AY101" i="3"/>
  <c r="AY448" i="3"/>
  <c r="AY515" i="3"/>
  <c r="AY66" i="3"/>
  <c r="AY27" i="3"/>
  <c r="AY505" i="3"/>
  <c r="AY198" i="3"/>
  <c r="AY177" i="3"/>
  <c r="AY542" i="3"/>
  <c r="AY341" i="3"/>
  <c r="AY444" i="3"/>
  <c r="AY285" i="3"/>
  <c r="AY367" i="3"/>
  <c r="AY507" i="3"/>
  <c r="AY172" i="3"/>
  <c r="AY368" i="3"/>
  <c r="AY487" i="3"/>
  <c r="AY399" i="3"/>
  <c r="AY246" i="3"/>
  <c r="AY100" i="3"/>
  <c r="AY395" i="3"/>
  <c r="AY587" i="3"/>
  <c r="AY325" i="3"/>
  <c r="AY336" i="3"/>
  <c r="AY227" i="3"/>
  <c r="AY270" i="3"/>
  <c r="AY319" i="3"/>
  <c r="AY513" i="3"/>
  <c r="AY165" i="3"/>
  <c r="AY569" i="3"/>
  <c r="AY133" i="3"/>
  <c r="AY52" i="3"/>
  <c r="AY443" i="3"/>
  <c r="BF6" i="3"/>
  <c r="AY275" i="3"/>
  <c r="AY561" i="3"/>
  <c r="AY580" i="3"/>
  <c r="AY421" i="3"/>
  <c r="AY115" i="3"/>
  <c r="AY533" i="3"/>
  <c r="AY311" i="3"/>
  <c r="AY461" i="3"/>
  <c r="AY128" i="3"/>
  <c r="AY125" i="3"/>
  <c r="AY104" i="3"/>
  <c r="AY85" i="3"/>
  <c r="AY465" i="3"/>
  <c r="AY90" i="3"/>
  <c r="AY334" i="3"/>
  <c r="AY482" i="3"/>
  <c r="AY178" i="3"/>
  <c r="AY573" i="3"/>
  <c r="AY337" i="3"/>
  <c r="AY306" i="3"/>
  <c r="AY126" i="3"/>
  <c r="AY370" i="3"/>
  <c r="AY158" i="3"/>
  <c r="AY366" i="3"/>
  <c r="AY317" i="3"/>
  <c r="AY245" i="3"/>
  <c r="AY552" i="3"/>
  <c r="AY144" i="3"/>
  <c r="AY373" i="3"/>
  <c r="AY567" i="3"/>
  <c r="AY560" i="3"/>
  <c r="AY393" i="3"/>
  <c r="AY416" i="3"/>
  <c r="AY204" i="3"/>
  <c r="AY397" i="3"/>
  <c r="AY524" i="3"/>
  <c r="AY479" i="3"/>
  <c r="AY581" i="3"/>
  <c r="AY279" i="3"/>
  <c r="AY193" i="3"/>
  <c r="AY203" i="3"/>
  <c r="BI6" i="3"/>
  <c r="AY391" i="3"/>
  <c r="AY378" i="3"/>
  <c r="AY574" i="3"/>
  <c r="AY73" i="3"/>
  <c r="AY483" i="3"/>
  <c r="AY402" i="3"/>
  <c r="AY440" i="3"/>
  <c r="BJ6" i="3"/>
  <c r="AY312" i="3"/>
  <c r="AY484" i="3"/>
  <c r="AY146" i="3"/>
  <c r="AY31" i="3"/>
  <c r="AY410" i="3"/>
  <c r="AY140" i="3"/>
  <c r="AY268" i="3"/>
  <c r="AY308" i="3"/>
  <c r="AY244" i="3"/>
  <c r="AY197" i="3"/>
  <c r="AY460" i="3"/>
  <c r="AY300" i="3"/>
  <c r="AY276" i="3"/>
  <c r="AY433" i="3"/>
  <c r="AY48" i="3"/>
  <c r="BR6" i="3"/>
  <c r="AY164" i="3"/>
  <c r="AY202" i="3"/>
  <c r="AY496" i="3"/>
  <c r="AY161" i="3"/>
  <c r="AY209" i="3"/>
  <c r="AY51" i="3"/>
  <c r="AY185" i="3"/>
  <c r="AY331" i="3"/>
  <c r="AY439" i="3"/>
  <c r="AY277" i="3"/>
  <c r="AY132" i="3"/>
  <c r="AY138" i="3"/>
  <c r="AY235" i="3"/>
  <c r="AY323" i="3"/>
  <c r="AY254" i="3"/>
  <c r="AY454" i="3"/>
  <c r="AY232" i="3"/>
  <c r="AY355" i="3"/>
  <c r="AY248" i="3"/>
  <c r="AY106" i="3"/>
  <c r="AY419" i="3"/>
  <c r="AY467" i="3"/>
  <c r="AY349" i="3"/>
  <c r="AY426" i="3"/>
  <c r="AY502" i="3"/>
  <c r="AY435" i="3"/>
  <c r="AY478" i="3"/>
  <c r="AY33" i="3"/>
  <c r="AY470" i="3"/>
  <c r="AY129" i="3"/>
  <c r="BB6" i="3"/>
  <c r="AY25" i="3"/>
  <c r="AY130" i="3"/>
  <c r="AY99" i="3"/>
  <c r="AY510" i="3"/>
  <c r="AY49" i="3"/>
  <c r="AY225" i="3"/>
  <c r="AY405" i="3"/>
  <c r="AY363" i="3"/>
  <c r="AY338" i="3"/>
  <c r="AY147" i="3"/>
  <c r="AY307" i="3"/>
  <c r="AY296" i="3"/>
  <c r="AY71" i="3"/>
  <c r="AY34" i="3"/>
  <c r="AY266" i="3"/>
  <c r="AY56" i="3"/>
  <c r="AY214" i="3"/>
  <c r="AY424" i="3"/>
  <c r="AY92" i="3"/>
  <c r="AY137" i="3"/>
  <c r="AY282" i="3"/>
  <c r="AY379" i="3"/>
  <c r="AY304" i="3"/>
  <c r="AY68" i="3"/>
  <c r="AY229" i="3"/>
  <c r="AY474" i="3"/>
  <c r="AY149" i="3"/>
  <c r="AY196" i="3"/>
  <c r="AY28" i="3"/>
  <c r="AY153" i="3"/>
  <c r="AY497" i="3"/>
  <c r="AY207" i="3"/>
  <c r="AY222" i="3"/>
  <c r="AY218" i="3"/>
  <c r="AY428" i="3"/>
  <c r="AY117" i="3"/>
  <c r="AY550" i="3"/>
  <c r="AY210" i="3"/>
  <c r="AY495" i="3"/>
  <c r="AY365" i="3"/>
  <c r="AY287" i="3"/>
  <c r="AY340" i="3"/>
  <c r="AY332" i="3"/>
  <c r="AY315" i="3"/>
  <c r="AY273" i="3"/>
  <c r="AY462" i="3"/>
  <c r="AY224" i="3"/>
  <c r="AY183" i="3"/>
  <c r="AY525" i="3"/>
  <c r="AY261" i="3"/>
  <c r="AY251" i="3"/>
  <c r="AY97" i="3"/>
  <c r="AY169" i="3"/>
  <c r="AY506" i="3"/>
  <c r="AY22" i="3"/>
  <c r="AY539" i="3"/>
  <c r="AY151" i="3"/>
  <c r="AY118" i="3"/>
  <c r="AY262" i="3"/>
  <c r="AY21" i="3"/>
  <c r="AY13" i="3"/>
  <c r="AY481" i="3"/>
  <c r="AY54" i="3"/>
  <c r="AY95" i="3"/>
  <c r="AY260" i="3"/>
  <c r="AY396" i="3"/>
  <c r="AY171" i="3"/>
  <c r="AY403" i="3"/>
  <c r="AY329" i="3"/>
  <c r="AY485" i="3"/>
  <c r="AY123" i="3"/>
  <c r="AC6" i="3"/>
  <c r="E6" i="3" s="1"/>
  <c r="M19" i="6"/>
  <c r="S6" i="1"/>
  <c r="K27" i="6"/>
  <c r="C17" i="4"/>
  <c r="B4" i="52" s="1"/>
  <c r="B43" i="72" s="1"/>
  <c r="D3" i="34"/>
  <c r="B3" i="34" s="1"/>
  <c r="D19" i="11"/>
  <c r="C19" i="11" s="1"/>
  <c r="C20" i="11" s="1"/>
  <c r="C28" i="11" s="1"/>
  <c r="C27" i="11" s="1"/>
  <c r="D3" i="33"/>
  <c r="B3" i="33" s="1"/>
  <c r="E6" i="6"/>
  <c r="D37" i="11"/>
  <c r="C37" i="11" s="1"/>
  <c r="D3" i="37"/>
  <c r="B3" i="37" s="1"/>
  <c r="D14" i="12"/>
  <c r="E65" i="39"/>
  <c r="J7" i="33"/>
  <c r="J7" i="35"/>
  <c r="F7" i="21"/>
  <c r="AA7" i="21" s="1"/>
  <c r="R48" i="21" s="1"/>
  <c r="C44" i="11"/>
  <c r="D41" i="11" s="1"/>
  <c r="C26" i="11"/>
  <c r="D22" i="11" s="1"/>
  <c r="C23" i="11"/>
  <c r="C26" i="68"/>
  <c r="D22" i="68" s="1"/>
  <c r="O36" i="43"/>
  <c r="L37" i="43"/>
  <c r="N37" i="43" s="1"/>
  <c r="C44" i="68"/>
  <c r="D41" i="68" s="1"/>
  <c r="C23" i="68"/>
  <c r="Q36" i="43"/>
  <c r="J26" i="15"/>
  <c r="J29" i="15" s="1"/>
  <c r="N36" i="43"/>
  <c r="P36" i="43"/>
  <c r="C29" i="12"/>
  <c r="D28" i="12" s="1"/>
  <c r="C29" i="68"/>
  <c r="D27" i="68" s="1"/>
  <c r="C47" i="68"/>
  <c r="D45" i="68" s="1"/>
  <c r="F45" i="68"/>
  <c r="C47" i="11"/>
  <c r="D45" i="11" s="1"/>
  <c r="C29" i="11"/>
  <c r="D27" i="11" s="1"/>
  <c r="F45" i="69"/>
  <c r="C29" i="69"/>
  <c r="D27" i="69" s="1"/>
  <c r="C47" i="69"/>
  <c r="D45" i="69" s="1"/>
  <c r="F41" i="69"/>
  <c r="C44" i="69"/>
  <c r="D41" i="69" s="1"/>
  <c r="AB7" i="33"/>
  <c r="T48" i="33" s="1"/>
  <c r="G48" i="33" s="1"/>
  <c r="U7" i="33"/>
  <c r="S7" i="34"/>
  <c r="AA7" i="34"/>
  <c r="R49" i="34" s="1"/>
  <c r="Q57" i="67"/>
  <c r="Q66" i="67"/>
  <c r="AA7" i="33"/>
  <c r="R48" i="33" s="1"/>
  <c r="S7" i="33"/>
  <c r="C26" i="12"/>
  <c r="D25" i="12" s="1"/>
  <c r="AA7" i="36"/>
  <c r="R36" i="36" s="1"/>
  <c r="S7" i="36"/>
  <c r="H7" i="37"/>
  <c r="U10" i="40"/>
  <c r="AB10" i="40"/>
  <c r="AA10" i="39"/>
  <c r="S10" i="39"/>
  <c r="H7" i="34"/>
  <c r="E67" i="39"/>
  <c r="D69" i="39"/>
  <c r="J7" i="36"/>
  <c r="Q61" i="67"/>
  <c r="Q74" i="67"/>
  <c r="J7" i="21"/>
  <c r="J7" i="37"/>
  <c r="C41" i="43"/>
  <c r="C37" i="43"/>
  <c r="C42" i="43"/>
  <c r="T15" i="43"/>
  <c r="V15" i="43" s="1"/>
  <c r="T11" i="43"/>
  <c r="V11" i="43" s="1"/>
  <c r="T4" i="43"/>
  <c r="V4" i="43" s="1"/>
  <c r="T8" i="43"/>
  <c r="V8" i="43" s="1"/>
  <c r="T12" i="43"/>
  <c r="V12" i="43" s="1"/>
  <c r="T3" i="43"/>
  <c r="V3" i="43" s="1"/>
  <c r="C40" i="43"/>
  <c r="C39" i="43"/>
  <c r="T16" i="43"/>
  <c r="V16" i="43" s="1"/>
  <c r="T14" i="43"/>
  <c r="V14" i="43" s="1"/>
  <c r="C38" i="43"/>
  <c r="T9" i="43"/>
  <c r="V9" i="43" s="1"/>
  <c r="C33" i="43"/>
  <c r="T5" i="43"/>
  <c r="V5" i="43" s="1"/>
  <c r="T2" i="43"/>
  <c r="V2" i="43" s="1"/>
  <c r="T6" i="43"/>
  <c r="V6" i="43" s="1"/>
  <c r="T7" i="43"/>
  <c r="V7" i="43" s="1"/>
  <c r="T13" i="43"/>
  <c r="V13" i="43" s="1"/>
  <c r="T10" i="43"/>
  <c r="V10" i="43" s="1"/>
  <c r="D65" i="40"/>
  <c r="E63" i="40"/>
  <c r="S10" i="40"/>
  <c r="AA10" i="40"/>
  <c r="AA7" i="35"/>
  <c r="R38" i="35" s="1"/>
  <c r="S7" i="35"/>
  <c r="U7" i="36"/>
  <c r="AB7" i="36"/>
  <c r="T36" i="36" s="1"/>
  <c r="G36" i="36" s="1"/>
  <c r="AB10" i="39"/>
  <c r="U10" i="39"/>
  <c r="W10" i="39"/>
  <c r="AC10" i="39"/>
  <c r="U7" i="35"/>
  <c r="AC10" i="40"/>
  <c r="W10" i="40"/>
  <c r="W7" i="33"/>
  <c r="AC7" i="33"/>
  <c r="V48" i="33" s="1"/>
  <c r="I48" i="33" s="1"/>
  <c r="W7" i="35"/>
  <c r="AC7" i="35"/>
  <c r="V38" i="35" s="1"/>
  <c r="I38" i="35" s="1"/>
  <c r="Q52" i="67"/>
  <c r="F1" i="67"/>
  <c r="H7" i="21"/>
  <c r="F7" i="37"/>
  <c r="C26" i="15"/>
  <c r="C29" i="15" s="1"/>
  <c r="C38" i="15"/>
  <c r="C66" i="67"/>
  <c r="C66" i="15"/>
  <c r="C38" i="67"/>
  <c r="C14" i="67"/>
  <c r="AE6" i="1"/>
  <c r="C17" i="67"/>
  <c r="W7" i="34" l="1"/>
  <c r="C25" i="11"/>
  <c r="C19" i="71"/>
  <c r="T20" i="71"/>
  <c r="D20" i="71"/>
  <c r="U20" i="71" s="1"/>
  <c r="L16" i="1"/>
  <c r="C34" i="68"/>
  <c r="C34" i="11"/>
  <c r="N16" i="1"/>
  <c r="C35" i="69"/>
  <c r="C38" i="69"/>
  <c r="S7" i="21"/>
  <c r="C15" i="67"/>
  <c r="C18" i="67"/>
  <c r="D10" i="68"/>
  <c r="D10" i="69"/>
  <c r="D20" i="12"/>
  <c r="C20" i="12" s="1"/>
  <c r="C18" i="12" s="1"/>
  <c r="D10" i="11"/>
  <c r="C10" i="11" s="1"/>
  <c r="M27" i="6"/>
  <c r="I19" i="6"/>
  <c r="C14" i="12"/>
  <c r="C16" i="12" s="1"/>
  <c r="D17" i="12"/>
  <c r="C17" i="12" s="1"/>
  <c r="E6" i="70"/>
  <c r="E2" i="70" s="1"/>
  <c r="T6" i="1"/>
  <c r="T16" i="1" s="1"/>
  <c r="AR6" i="1"/>
  <c r="S16" i="1"/>
  <c r="AQ6" i="1"/>
  <c r="H26" i="6"/>
  <c r="D23" i="6"/>
  <c r="D22" i="6"/>
  <c r="D19" i="6"/>
  <c r="D24" i="6"/>
  <c r="D12" i="6"/>
  <c r="D11" i="6"/>
  <c r="D29" i="6"/>
  <c r="C18" i="4"/>
  <c r="D20" i="6"/>
  <c r="D14" i="6"/>
  <c r="H25" i="6"/>
  <c r="D26" i="6"/>
  <c r="R26" i="6" s="1"/>
  <c r="H23" i="6"/>
  <c r="D8" i="6"/>
  <c r="D9" i="6"/>
  <c r="H24" i="6"/>
  <c r="D21" i="6"/>
  <c r="D13" i="6"/>
  <c r="D15" i="6"/>
  <c r="H20" i="6"/>
  <c r="D28" i="6"/>
  <c r="H21" i="6"/>
  <c r="D10" i="6"/>
  <c r="E61" i="40"/>
  <c r="H22" i="6"/>
  <c r="D5" i="6"/>
  <c r="D25" i="6"/>
  <c r="R25" i="6" s="1"/>
  <c r="D6" i="6"/>
  <c r="C24" i="11"/>
  <c r="C22" i="11" s="1"/>
  <c r="C31" i="11" s="1"/>
  <c r="Q37" i="43"/>
  <c r="O37" i="43"/>
  <c r="P37" i="43"/>
  <c r="M37" i="43"/>
  <c r="AC7" i="21"/>
  <c r="V48" i="21" s="1"/>
  <c r="I48" i="21" s="1"/>
  <c r="W7" i="21"/>
  <c r="I53" i="34"/>
  <c r="J53" i="34" s="1"/>
  <c r="S7" i="37"/>
  <c r="AA7" i="37"/>
  <c r="R42" i="37" s="1"/>
  <c r="I52" i="33"/>
  <c r="J52" i="33" s="1"/>
  <c r="G43" i="35"/>
  <c r="H43" i="35" s="1"/>
  <c r="G42" i="35"/>
  <c r="H42" i="35" s="1"/>
  <c r="G40" i="36"/>
  <c r="H40" i="36" s="1"/>
  <c r="E38" i="43"/>
  <c r="G38" i="43"/>
  <c r="I38" i="43" s="1"/>
  <c r="G40" i="43"/>
  <c r="I40" i="43" s="1"/>
  <c r="E40" i="43"/>
  <c r="E37" i="43"/>
  <c r="G37" i="43"/>
  <c r="I37" i="43" s="1"/>
  <c r="E69" i="39"/>
  <c r="F67" i="39"/>
  <c r="R37" i="36"/>
  <c r="E36" i="36"/>
  <c r="G52" i="33"/>
  <c r="H52" i="33" s="1"/>
  <c r="G53" i="33"/>
  <c r="H53" i="33" s="1"/>
  <c r="G39" i="43"/>
  <c r="I39" i="43" s="1"/>
  <c r="E39" i="43"/>
  <c r="G42" i="43"/>
  <c r="I42" i="43" s="1"/>
  <c r="E42" i="43"/>
  <c r="AB7" i="21"/>
  <c r="T48" i="21" s="1"/>
  <c r="G48" i="21" s="1"/>
  <c r="U7" i="21"/>
  <c r="G41" i="43"/>
  <c r="I41" i="43" s="1"/>
  <c r="E41" i="43"/>
  <c r="AB7" i="34"/>
  <c r="T49" i="34" s="1"/>
  <c r="G49" i="34" s="1"/>
  <c r="U7" i="34"/>
  <c r="E48" i="33"/>
  <c r="R49" i="33"/>
  <c r="R50" i="34"/>
  <c r="E49" i="34"/>
  <c r="I54" i="34" s="1"/>
  <c r="J54" i="34" s="1"/>
  <c r="R39" i="35"/>
  <c r="E38" i="35"/>
  <c r="I43" i="35" s="1"/>
  <c r="J43" i="35" s="1"/>
  <c r="I42" i="35"/>
  <c r="J42" i="35" s="1"/>
  <c r="E48" i="21"/>
  <c r="F63" i="40"/>
  <c r="E65" i="40"/>
  <c r="C34" i="43"/>
  <c r="E34" i="43" s="1"/>
  <c r="E33" i="43"/>
  <c r="W7" i="37"/>
  <c r="AC7" i="37"/>
  <c r="V42" i="37" s="1"/>
  <c r="I42" i="37" s="1"/>
  <c r="AC7" i="36"/>
  <c r="V36" i="36" s="1"/>
  <c r="I36" i="36" s="1"/>
  <c r="W7" i="36"/>
  <c r="AB7" i="37"/>
  <c r="T42" i="37" s="1"/>
  <c r="G42" i="37" s="1"/>
  <c r="U7" i="37"/>
  <c r="C13" i="15"/>
  <c r="C37" i="15" s="1"/>
  <c r="J59" i="15"/>
  <c r="J60" i="15" s="1"/>
  <c r="L46" i="15" s="1"/>
  <c r="C57" i="15"/>
  <c r="C64" i="15" s="1"/>
  <c r="J14" i="15"/>
  <c r="J22" i="15" s="1"/>
  <c r="C36" i="15"/>
  <c r="Q49" i="15"/>
  <c r="C18" i="71" l="1"/>
  <c r="D19" i="71"/>
  <c r="C35" i="11"/>
  <c r="C38" i="11"/>
  <c r="C38" i="68"/>
  <c r="C35" i="68"/>
  <c r="F50" i="68"/>
  <c r="F50" i="69"/>
  <c r="F50" i="11"/>
  <c r="C19" i="67"/>
  <c r="C20" i="67" s="1"/>
  <c r="M19" i="9"/>
  <c r="C118" i="9" s="1"/>
  <c r="D27" i="6"/>
  <c r="C10" i="68"/>
  <c r="D19" i="68"/>
  <c r="D16" i="6"/>
  <c r="R22" i="6"/>
  <c r="D30" i="6"/>
  <c r="R21" i="6"/>
  <c r="R20" i="6"/>
  <c r="R23" i="6"/>
  <c r="C21" i="12"/>
  <c r="A10" i="51"/>
  <c r="B9" i="72" s="1"/>
  <c r="A7" i="51"/>
  <c r="B7" i="72" s="1"/>
  <c r="C4" i="52"/>
  <c r="B45" i="72" s="1"/>
  <c r="R24" i="6"/>
  <c r="H19" i="6"/>
  <c r="S19" i="6"/>
  <c r="S27" i="6" s="1"/>
  <c r="L18" i="9"/>
  <c r="I27" i="6"/>
  <c r="C10" i="69"/>
  <c r="C8" i="69" s="1"/>
  <c r="C5" i="69" s="1"/>
  <c r="C23" i="69" s="1"/>
  <c r="D19" i="69"/>
  <c r="F69" i="67"/>
  <c r="J29" i="67"/>
  <c r="R49" i="21"/>
  <c r="C49" i="21" s="1"/>
  <c r="F65" i="40"/>
  <c r="G63" i="40"/>
  <c r="C49" i="34"/>
  <c r="C50" i="34"/>
  <c r="G52" i="21"/>
  <c r="H52" i="21" s="1"/>
  <c r="G53" i="21"/>
  <c r="H53" i="21" s="1"/>
  <c r="C37" i="36"/>
  <c r="C36" i="36"/>
  <c r="R43" i="37"/>
  <c r="E42" i="37"/>
  <c r="I46" i="37"/>
  <c r="J46" i="37" s="1"/>
  <c r="G47" i="37"/>
  <c r="H47" i="37" s="1"/>
  <c r="G46" i="37"/>
  <c r="H46" i="37" s="1"/>
  <c r="G53" i="34"/>
  <c r="H53" i="34" s="1"/>
  <c r="G54" i="34"/>
  <c r="H54" i="34" s="1"/>
  <c r="C30" i="43"/>
  <c r="E53" i="21"/>
  <c r="F53" i="21" s="1"/>
  <c r="E52" i="21"/>
  <c r="F52" i="21" s="1"/>
  <c r="E43" i="35"/>
  <c r="F43" i="35" s="1"/>
  <c r="E42" i="35"/>
  <c r="F42" i="35" s="1"/>
  <c r="C49" i="33"/>
  <c r="C48" i="33"/>
  <c r="G67" i="39"/>
  <c r="F69" i="39"/>
  <c r="E54" i="34"/>
  <c r="F54" i="34" s="1"/>
  <c r="E53" i="34"/>
  <c r="F53" i="34" s="1"/>
  <c r="E40" i="36"/>
  <c r="F40" i="36" s="1"/>
  <c r="E41" i="36"/>
  <c r="F41" i="36" s="1"/>
  <c r="I40" i="36"/>
  <c r="J40" i="36" s="1"/>
  <c r="I41" i="36"/>
  <c r="J41" i="36" s="1"/>
  <c r="C31" i="43"/>
  <c r="C38" i="35"/>
  <c r="C39" i="35"/>
  <c r="M3" i="35" s="1"/>
  <c r="E52" i="33"/>
  <c r="F52" i="33" s="1"/>
  <c r="E53" i="33"/>
  <c r="F53" i="33" s="1"/>
  <c r="G41" i="36"/>
  <c r="H41" i="36" s="1"/>
  <c r="I53" i="33"/>
  <c r="J53" i="33" s="1"/>
  <c r="I53" i="21"/>
  <c r="J53" i="21" s="1"/>
  <c r="I52" i="21"/>
  <c r="J52" i="21" s="1"/>
  <c r="Q70" i="15"/>
  <c r="J13" i="15"/>
  <c r="J23" i="15" s="1"/>
  <c r="J16" i="15" s="1"/>
  <c r="J25" i="15" s="1"/>
  <c r="C30" i="15"/>
  <c r="C39" i="15" s="1"/>
  <c r="C40" i="15" s="1"/>
  <c r="C56" i="15"/>
  <c r="C65" i="15" s="1"/>
  <c r="C58" i="15" s="1"/>
  <c r="C67" i="15" s="1"/>
  <c r="C68" i="15" s="1"/>
  <c r="C71" i="15" s="1"/>
  <c r="C75" i="15"/>
  <c r="Q48" i="15"/>
  <c r="E6" i="76"/>
  <c r="D18" i="71" l="1"/>
  <c r="C17" i="71"/>
  <c r="C33" i="11"/>
  <c r="C26" i="67"/>
  <c r="C23" i="67"/>
  <c r="H27" i="6"/>
  <c r="R19" i="6"/>
  <c r="L19" i="9"/>
  <c r="C19" i="68"/>
  <c r="D37" i="68"/>
  <c r="C37" i="68" s="1"/>
  <c r="C33" i="68" s="1"/>
  <c r="C22" i="12"/>
  <c r="C30" i="12" s="1"/>
  <c r="C28" i="12" s="1"/>
  <c r="D31" i="6"/>
  <c r="C19" i="69"/>
  <c r="C24" i="69" s="1"/>
  <c r="D37" i="69"/>
  <c r="C37" i="69" s="1"/>
  <c r="C33" i="69" s="1"/>
  <c r="C48" i="21"/>
  <c r="E2" i="76"/>
  <c r="B2" i="43"/>
  <c r="G69" i="39"/>
  <c r="H67" i="39"/>
  <c r="E47" i="37"/>
  <c r="F47" i="37" s="1"/>
  <c r="E46" i="37"/>
  <c r="F46" i="37" s="1"/>
  <c r="C42" i="37"/>
  <c r="C43" i="37"/>
  <c r="G65" i="40"/>
  <c r="H63" i="40"/>
  <c r="B3" i="21"/>
  <c r="B2" i="21"/>
  <c r="I47" i="37"/>
  <c r="J47" i="37" s="1"/>
  <c r="C80" i="15"/>
  <c r="C79" i="15" s="1"/>
  <c r="C46" i="15"/>
  <c r="Q69" i="15"/>
  <c r="Q68" i="15" s="1"/>
  <c r="Q47" i="15"/>
  <c r="Q53" i="15" s="1"/>
  <c r="B2" i="15"/>
  <c r="B3" i="15" s="1"/>
  <c r="Q56" i="15"/>
  <c r="Q65" i="15"/>
  <c r="C43" i="15"/>
  <c r="C83" i="15"/>
  <c r="C82" i="15" s="1"/>
  <c r="B6" i="76"/>
  <c r="D20" i="9"/>
  <c r="L51" i="15"/>
  <c r="D19" i="9"/>
  <c r="D17" i="71" l="1"/>
  <c r="C16" i="71"/>
  <c r="Q67" i="15"/>
  <c r="L57" i="15"/>
  <c r="L60" i="15" s="1"/>
  <c r="Q57" i="15" s="1"/>
  <c r="Q62" i="15" s="1"/>
  <c r="C39" i="11"/>
  <c r="C42" i="11"/>
  <c r="C46" i="11"/>
  <c r="C45" i="11" s="1"/>
  <c r="C29" i="67"/>
  <c r="J14" i="67" s="1"/>
  <c r="J22" i="67" s="1"/>
  <c r="C27" i="12"/>
  <c r="C25" i="12" s="1"/>
  <c r="C32" i="12" s="1"/>
  <c r="B2" i="12" s="1"/>
  <c r="B3" i="12" s="1"/>
  <c r="C20" i="68"/>
  <c r="C24" i="68"/>
  <c r="C39" i="69"/>
  <c r="C43" i="69" s="1"/>
  <c r="C42" i="69"/>
  <c r="C20" i="69"/>
  <c r="R27" i="6"/>
  <c r="R6" i="1"/>
  <c r="I5" i="6"/>
  <c r="I6" i="6"/>
  <c r="C42" i="68"/>
  <c r="C39" i="68"/>
  <c r="B2" i="76"/>
  <c r="B3" i="76" s="1"/>
  <c r="D102" i="9"/>
  <c r="D21" i="9"/>
  <c r="D103" i="9"/>
  <c r="I63" i="40"/>
  <c r="H65" i="40"/>
  <c r="I67" i="39"/>
  <c r="H69" i="39"/>
  <c r="B3" i="43"/>
  <c r="M21" i="67"/>
  <c r="F35" i="67"/>
  <c r="C15" i="71" l="1"/>
  <c r="D16" i="71"/>
  <c r="U16" i="71" s="1"/>
  <c r="T16" i="71"/>
  <c r="Q66" i="15"/>
  <c r="Q75" i="15" s="1"/>
  <c r="Q49" i="67"/>
  <c r="C57" i="67"/>
  <c r="C64" i="67" s="1"/>
  <c r="C13" i="67"/>
  <c r="C56" i="67" s="1"/>
  <c r="C65" i="67" s="1"/>
  <c r="C36" i="67"/>
  <c r="J13" i="67"/>
  <c r="J23" i="67" s="1"/>
  <c r="J16" i="67" s="1"/>
  <c r="J25" i="67" s="1"/>
  <c r="C43" i="11"/>
  <c r="C41" i="11" s="1"/>
  <c r="C49" i="11" s="1"/>
  <c r="C51" i="11" s="1"/>
  <c r="C41" i="69"/>
  <c r="F63" i="67"/>
  <c r="J20" i="67"/>
  <c r="C43" i="68"/>
  <c r="C41" i="68" s="1"/>
  <c r="C46" i="68"/>
  <c r="C45" i="68" s="1"/>
  <c r="C25" i="69"/>
  <c r="C22" i="69" s="1"/>
  <c r="C28" i="69"/>
  <c r="C27" i="69" s="1"/>
  <c r="C25" i="68"/>
  <c r="C22" i="68" s="1"/>
  <c r="C28" i="68"/>
  <c r="C27" i="68" s="1"/>
  <c r="R16" i="1"/>
  <c r="C46" i="69"/>
  <c r="C45" i="69" s="1"/>
  <c r="I69" i="39"/>
  <c r="J67" i="39"/>
  <c r="J63" i="40"/>
  <c r="I65" i="40"/>
  <c r="C14" i="71" l="1"/>
  <c r="D15" i="71"/>
  <c r="C58" i="67"/>
  <c r="C67" i="67" s="1"/>
  <c r="C68" i="67" s="1"/>
  <c r="C71" i="67" s="1"/>
  <c r="C75" i="67"/>
  <c r="Q70" i="67"/>
  <c r="C37" i="67"/>
  <c r="C30" i="67" s="1"/>
  <c r="C39" i="67" s="1"/>
  <c r="Q69" i="67" s="1"/>
  <c r="C52" i="11"/>
  <c r="B2" i="11" s="1"/>
  <c r="B3" i="11" s="1"/>
  <c r="C49" i="69"/>
  <c r="C51" i="69" s="1"/>
  <c r="C49" i="68"/>
  <c r="C51" i="68" s="1"/>
  <c r="C31" i="68"/>
  <c r="C31" i="69"/>
  <c r="J69" i="39"/>
  <c r="K67" i="39"/>
  <c r="J65" i="40"/>
  <c r="K63" i="40"/>
  <c r="C13" i="71" l="1"/>
  <c r="D14" i="71"/>
  <c r="Q68" i="67"/>
  <c r="C80" i="67"/>
  <c r="C79" i="67" s="1"/>
  <c r="C40" i="67"/>
  <c r="Q56" i="67" s="1"/>
  <c r="Q62" i="67" s="1"/>
  <c r="C56" i="11"/>
  <c r="C57" i="11" s="1"/>
  <c r="C52" i="69"/>
  <c r="C57" i="69" s="1"/>
  <c r="C56" i="69" s="1"/>
  <c r="C52" i="68"/>
  <c r="B2" i="68" s="1"/>
  <c r="B3" i="68" s="1"/>
  <c r="L67" i="39"/>
  <c r="K69" i="39"/>
  <c r="L63" i="40"/>
  <c r="K65" i="40"/>
  <c r="L51" i="67"/>
  <c r="C12" i="71" l="1"/>
  <c r="D13" i="71"/>
  <c r="Q67" i="67"/>
  <c r="Q47" i="67"/>
  <c r="Q53" i="67" s="1"/>
  <c r="D2" i="67"/>
  <c r="B2" i="67" s="1"/>
  <c r="Q65" i="67"/>
  <c r="Q75" i="67" s="1"/>
  <c r="C45" i="67"/>
  <c r="C46" i="67" s="1"/>
  <c r="C43" i="67"/>
  <c r="C57" i="68"/>
  <c r="C56" i="68" s="1"/>
  <c r="C83" i="67"/>
  <c r="C82" i="67" s="1"/>
  <c r="B2" i="69"/>
  <c r="B3" i="69" s="1"/>
  <c r="L65" i="40"/>
  <c r="M63" i="40"/>
  <c r="M67" i="39"/>
  <c r="L69" i="39"/>
  <c r="AO6" i="1"/>
  <c r="C19" i="9"/>
  <c r="D12" i="71" l="1"/>
  <c r="U12" i="71" s="1"/>
  <c r="C11" i="71"/>
  <c r="T12" i="71"/>
  <c r="B3" i="67"/>
  <c r="B6" i="70"/>
  <c r="B2" i="70" s="1"/>
  <c r="B3" i="70" s="1"/>
  <c r="C21" i="9"/>
  <c r="C102" i="9"/>
  <c r="D22" i="9"/>
  <c r="G19" i="9"/>
  <c r="N67" i="39"/>
  <c r="M69" i="39"/>
  <c r="M65" i="40"/>
  <c r="N63" i="40"/>
  <c r="C20" i="9"/>
  <c r="C10" i="71" l="1"/>
  <c r="D11" i="71"/>
  <c r="C103" i="9"/>
  <c r="G20" i="9"/>
  <c r="G22" i="9" s="1"/>
  <c r="G23" i="9" s="1"/>
  <c r="G21" i="9"/>
  <c r="D14" i="74"/>
  <c r="O63" i="40"/>
  <c r="O65" i="40" s="1"/>
  <c r="N65" i="40"/>
  <c r="N69" i="39"/>
  <c r="O67" i="39"/>
  <c r="O69" i="39" s="1"/>
  <c r="C9" i="71" l="1"/>
  <c r="D10" i="71"/>
  <c r="C32" i="9"/>
  <c r="C35" i="9" s="1"/>
  <c r="C34" i="9" s="1"/>
  <c r="G28" i="9"/>
  <c r="G24" i="9"/>
  <c r="G25" i="9" s="1"/>
  <c r="H28" i="9" s="1"/>
  <c r="F14" i="74"/>
  <c r="B5" i="74"/>
  <c r="D5" i="74" s="1"/>
  <c r="E14" i="74"/>
  <c r="F7" i="39"/>
  <c r="J7" i="39"/>
  <c r="H7" i="39"/>
  <c r="H7" i="40"/>
  <c r="J7" i="40"/>
  <c r="F7" i="40"/>
  <c r="C8" i="71" l="1"/>
  <c r="D9" i="71"/>
  <c r="AB7" i="40"/>
  <c r="T42" i="40" s="1"/>
  <c r="G42" i="40" s="1"/>
  <c r="U7" i="40"/>
  <c r="AB7" i="39"/>
  <c r="T47" i="39" s="1"/>
  <c r="G47" i="39" s="1"/>
  <c r="U7" i="39"/>
  <c r="AA7" i="40"/>
  <c r="R42" i="40" s="1"/>
  <c r="S7" i="40"/>
  <c r="W7" i="39"/>
  <c r="AC7" i="39"/>
  <c r="V47" i="39" s="1"/>
  <c r="I47" i="39" s="1"/>
  <c r="W7" i="40"/>
  <c r="AC7" i="40"/>
  <c r="V42" i="40" s="1"/>
  <c r="I42" i="40" s="1"/>
  <c r="AA7" i="39"/>
  <c r="R47" i="39" s="1"/>
  <c r="S7" i="39"/>
  <c r="D8" i="71" l="1"/>
  <c r="C7" i="71"/>
  <c r="G52" i="39"/>
  <c r="H52" i="39" s="1"/>
  <c r="G51" i="39"/>
  <c r="H51" i="39" s="1"/>
  <c r="I51" i="39"/>
  <c r="J51" i="39" s="1"/>
  <c r="E47" i="39"/>
  <c r="I52" i="39" s="1"/>
  <c r="J52" i="39" s="1"/>
  <c r="R48" i="39"/>
  <c r="I46" i="40"/>
  <c r="J46" i="40" s="1"/>
  <c r="R43" i="40"/>
  <c r="E42" i="40"/>
  <c r="I47" i="40" s="1"/>
  <c r="J47" i="40" s="1"/>
  <c r="G46" i="40"/>
  <c r="H46" i="40" s="1"/>
  <c r="G47" i="40"/>
  <c r="H47" i="40" s="1"/>
  <c r="D7" i="71" l="1"/>
  <c r="C6" i="71"/>
  <c r="C47" i="39"/>
  <c r="C48" i="39"/>
  <c r="E46" i="40"/>
  <c r="F46" i="40" s="1"/>
  <c r="E47" i="40"/>
  <c r="F47" i="40" s="1"/>
  <c r="C43" i="40"/>
  <c r="C42" i="40"/>
  <c r="E52" i="39"/>
  <c r="F52" i="39" s="1"/>
  <c r="E51" i="39"/>
  <c r="F51" i="39" s="1"/>
  <c r="D6" i="71" l="1"/>
  <c r="C5" i="71"/>
  <c r="B63" i="39"/>
  <c r="F63" i="39" s="1"/>
  <c r="B57" i="39"/>
  <c r="F57" i="39" s="1"/>
  <c r="B64" i="39"/>
  <c r="F64" i="39" s="1"/>
  <c r="B56" i="39"/>
  <c r="F56" i="39" s="1"/>
  <c r="F65" i="39" s="1"/>
  <c r="B2" i="39" s="1"/>
  <c r="B3" i="39" s="1"/>
  <c r="B62" i="39"/>
  <c r="F62" i="39" s="1"/>
  <c r="B61" i="39"/>
  <c r="F61" i="39" s="1"/>
  <c r="B59" i="39"/>
  <c r="F59" i="39" s="1"/>
  <c r="B60" i="39"/>
  <c r="F60" i="39" s="1"/>
  <c r="B58" i="39"/>
  <c r="F58" i="39" s="1"/>
  <c r="B57" i="40"/>
  <c r="F57" i="40" s="1"/>
  <c r="B56" i="40"/>
  <c r="F56" i="40" s="1"/>
  <c r="B52" i="40"/>
  <c r="F52" i="40" s="1"/>
  <c r="B53" i="40"/>
  <c r="F53" i="40" s="1"/>
  <c r="B51" i="40"/>
  <c r="F51" i="40" s="1"/>
  <c r="B58" i="40"/>
  <c r="F58" i="40" s="1"/>
  <c r="B54" i="40"/>
  <c r="F54" i="40" s="1"/>
  <c r="B60" i="40"/>
  <c r="F60" i="40" s="1"/>
  <c r="F61" i="40"/>
  <c r="B2" i="40" s="1"/>
  <c r="B3" i="40" s="1"/>
  <c r="B59" i="40"/>
  <c r="F59" i="40" s="1"/>
  <c r="M24" i="43" l="1"/>
  <c r="D5" i="71"/>
  <c r="D52" i="9" l="1"/>
  <c r="D53" i="9"/>
  <c r="N60" i="9"/>
  <c r="N61" i="9"/>
  <c r="D9" i="52"/>
  <c r="B49" i="72"/>
  <c r="M48" i="9"/>
  <c r="B53" i="72"/>
  <c r="N59" i="9"/>
  <c r="P57" i="9"/>
  <c r="N58" i="9"/>
  <c r="B32" i="72"/>
  <c r="C6" i="74"/>
  <c r="B21" i="72"/>
  <c r="H4" i="52"/>
  <c r="C104" i="9"/>
  <c r="C68" i="9"/>
  <c r="D54" i="9"/>
  <c r="F4" i="52"/>
  <c r="B51" i="72"/>
  <c r="H119" i="9"/>
  <c r="H5" i="52"/>
  <c r="B30" i="72"/>
  <c r="D13" i="53"/>
  <c r="D14" i="53"/>
  <c r="E81" i="9"/>
  <c r="F119" i="9"/>
  <c r="F5" i="52"/>
  <c r="D7" i="53"/>
  <c r="C5" i="74"/>
  <c r="H102" i="9"/>
  <c r="C105" i="9"/>
  <c r="I4" i="52"/>
  <c r="C96" i="9"/>
  <c r="E96" i="9"/>
  <c r="E97" i="9"/>
  <c r="C93" i="9"/>
  <c r="C86" i="9"/>
  <c r="H108" i="9"/>
  <c r="D15" i="53"/>
  <c r="B31" i="72"/>
  <c r="B20" i="72"/>
  <c r="C81" i="9"/>
  <c r="C78" i="9"/>
  <c r="C73" i="9"/>
  <c r="D8" i="52"/>
  <c r="H107" i="9"/>
  <c r="D122" i="9"/>
  <c r="D123" i="9"/>
  <c r="D119" i="9"/>
  <c r="D5" i="52"/>
  <c r="E4" i="52"/>
  <c r="B48" i="72"/>
  <c r="F118" i="9"/>
  <c r="G118" i="9"/>
  <c r="G4" i="52"/>
  <c r="B52" i="72"/>
  <c r="C64" i="9"/>
  <c r="C63" i="9"/>
  <c r="C67" i="9"/>
  <c r="D59" i="9"/>
  <c r="M55" i="9"/>
  <c r="E118" i="9"/>
  <c r="D118" i="9"/>
  <c r="D4" i="52"/>
  <c r="B47" i="72"/>
  <c r="D5" i="53"/>
  <c r="D6" i="53"/>
  <c r="B22" i="72"/>
  <c r="C72" i="9"/>
  <c r="C79" i="9"/>
  <c r="C80" i="9"/>
  <c r="E80" i="9"/>
  <c r="C85" i="9"/>
  <c r="C95" i="9"/>
  <c r="C97" i="9"/>
  <c r="D58" i="9"/>
  <c r="D56" i="9"/>
  <c r="M54" i="9"/>
  <c r="I118" i="9"/>
  <c r="H118" i="9"/>
  <c r="H101" i="9"/>
  <c r="D45" i="9"/>
  <c r="D55" i="9"/>
  <c r="M53" i="9"/>
  <c r="N57"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0.2%-1%</t>
        </r>
        <r>
          <rPr>
            <sz val="9"/>
            <color indexed="81"/>
            <rFont val="宋体"/>
            <family val="3"/>
            <charset val="134"/>
          </rPr>
          <t xml:space="preserve">
</t>
        </r>
      </text>
    </comment>
    <comment ref="AL5" authorId="0" shape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<sst xmlns="http://schemas.openxmlformats.org/spreadsheetml/2006/main" count="8211" uniqueCount="3563">
  <si>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</si>
  <si>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</si>
  <si>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</si>
  <si>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</si>
  <si>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</si>
  <si>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</si>
  <si>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</si>
  <si>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</si>
  <si>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</si>
  <si>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</si>
  <si>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</si>
  <si>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</si>
  <si>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</si>
  <si>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</si>
  <si>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</si>
  <si>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</si>
  <si>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</si>
  <si>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</si>
  <si>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</si>
  <si>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</si>
  <si>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</si>
  <si>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</si>
  <si>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</si>
  <si>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</si>
  <si>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</si>
  <si>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</si>
  <si>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</si>
  <si>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</si>
  <si>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</si>
  <si>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</si>
  <si>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</si>
  <si>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</si>
  <si>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</si>
  <si>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</si>
  <si>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</si>
  <si>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</si>
  <si>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</si>
  <si>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</si>
  <si>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</si>
  <si>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</si>
  <si>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</si>
  <si>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</si>
  <si>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</si>
  <si>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</si>
  <si>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</si>
  <si>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</si>
  <si>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</si>
  <si>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</si>
  <si>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</si>
  <si>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</si>
  <si>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</si>
  <si>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</si>
  <si>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</si>
  <si>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</si>
  <si>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</si>
  <si>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</si>
  <si>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</si>
  <si>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</si>
  <si>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</si>
  <si>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</si>
  <si>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</si>
  <si>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</si>
  <si>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</si>
  <si>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</si>
  <si>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</si>
  <si>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</si>
  <si>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</si>
  <si>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</si>
  <si>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</si>
  <si>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</si>
  <si>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</si>
  <si>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</si>
  <si>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</si>
  <si>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</si>
  <si>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</si>
  <si>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</si>
  <si>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</si>
  <si>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</si>
  <si>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</si>
  <si>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</si>
  <si>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</si>
  <si>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</si>
  <si>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</si>
  <si>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</si>
  <si>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</si>
  <si>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</si>
  <si>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</si>
  <si>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</si>
  <si>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</si>
  <si>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</si>
  <si>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</si>
  <si>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</si>
  <si>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</si>
  <si>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</si>
  <si>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</si>
  <si>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</si>
  <si>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</si>
  <si>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</si>
  <si>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</si>
  <si>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</si>
  <si>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</si>
  <si>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</si>
  <si>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</si>
  <si>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</si>
  <si>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</si>
  <si>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</si>
  <si>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</si>
  <si>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</si>
  <si>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</si>
  <si>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</si>
  <si>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</si>
  <si>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</si>
  <si>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</si>
  <si>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</si>
  <si>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</si>
  <si>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</si>
  <si>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</si>
  <si>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</si>
  <si>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</si>
  <si>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</si>
  <si>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</si>
  <si>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</si>
  <si>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</si>
  <si>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</si>
  <si>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</si>
  <si>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</si>
  <si>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</si>
  <si>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</si>
  <si>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</si>
  <si>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</si>
  <si>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</si>
  <si>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</si>
  <si>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</si>
  <si>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</si>
  <si>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</si>
  <si>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</si>
  <si>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</si>
  <si>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</si>
  <si>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</si>
  <si>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</si>
  <si>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</si>
  <si>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</si>
  <si>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</si>
  <si>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</si>
  <si>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</si>
  <si>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</si>
  <si>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</si>
  <si>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</si>
  <si>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</si>
  <si>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</si>
  <si>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</si>
  <si>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</si>
  <si>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</si>
  <si>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</si>
  <si>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</si>
  <si>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</si>
  <si>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</si>
  <si>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</si>
  <si>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</si>
  <si>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</si>
  <si>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</si>
  <si>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</si>
  <si>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</si>
  <si>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</si>
  <si>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</si>
  <si>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</si>
  <si>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</si>
  <si>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</si>
  <si>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</si>
  <si>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</si>
  <si>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</si>
  <si>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</si>
  <si>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</si>
  <si>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</si>
  <si>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</si>
  <si>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</si>
  <si>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</si>
  <si>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</si>
  <si>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</si>
  <si>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</si>
  <si>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</si>
  <si>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</si>
  <si>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</si>
  <si>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</si>
  <si>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</si>
  <si>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</si>
  <si>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</si>
  <si>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</si>
  <si>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</si>
  <si>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</si>
  <si>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</si>
  <si>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</si>
  <si>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</si>
  <si>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</si>
  <si>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</si>
  <si>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</si>
  <si>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</si>
  <si>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</si>
  <si>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</si>
  <si>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</si>
  <si>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</si>
  <si>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</si>
  <si>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</si>
  <si>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</si>
  <si>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</si>
  <si>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</si>
  <si>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</si>
  <si>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</si>
  <si>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</si>
  <si>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</si>
  <si>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</si>
  <si>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</si>
  <si>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</si>
  <si>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</si>
  <si>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</si>
  <si>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</si>
  <si>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</si>
  <si>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</si>
  <si>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</si>
  <si>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</si>
  <si>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</si>
  <si>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</si>
  <si>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</si>
  <si>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</si>
  <si>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</si>
  <si>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</si>
  <si>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</si>
  <si>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</si>
  <si>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</si>
  <si>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</si>
  <si>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</si>
  <si>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</si>
  <si>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</si>
  <si>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</si>
  <si>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</si>
  <si>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</si>
  <si>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</si>
  <si>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</si>
  <si>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</si>
  <si>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</si>
  <si>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</si>
  <si>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</si>
  <si>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</si>
  <si>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</si>
  <si>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</si>
  <si>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</si>
  <si>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</si>
  <si>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</si>
  <si>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</si>
  <si>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</si>
  <si>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</si>
  <si>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</si>
  <si>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</si>
  <si>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</si>
  <si>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</si>
  <si>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</si>
  <si>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</si>
  <si>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</si>
  <si>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</si>
  <si>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</si>
  <si>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</si>
  <si>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</si>
  <si>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</si>
  <si>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</si>
  <si>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</si>
  <si>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</si>
  <si>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</si>
  <si>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</si>
  <si>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</si>
  <si>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</si>
  <si>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</si>
  <si>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</si>
  <si>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</si>
  <si>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</si>
  <si>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</si>
  <si>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</si>
  <si>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</si>
  <si>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</si>
  <si>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</si>
  <si>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</si>
  <si>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</si>
  <si>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</si>
  <si>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</si>
  <si>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</si>
  <si>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</si>
  <si>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</si>
  <si>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</si>
  <si>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</si>
  <si>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</si>
  <si>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</si>
  <si>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</si>
  <si>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</si>
  <si>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</si>
  <si>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</si>
  <si>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</si>
  <si>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</si>
  <si>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</si>
  <si>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</si>
  <si>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</si>
  <si>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</si>
  <si>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</si>
  <si>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</si>
  <si>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</si>
  <si>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</si>
  <si>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</si>
  <si>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</si>
  <si>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</si>
  <si>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</si>
  <si>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</si>
  <si>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</si>
  <si>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</si>
  <si>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</si>
  <si>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</si>
  <si>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</si>
  <si>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</si>
  <si>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</si>
  <si>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</si>
  <si>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</si>
  <si>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</si>
  <si>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</si>
  <si>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</si>
  <si>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</si>
  <si>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</si>
  <si>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</si>
  <si>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</si>
  <si>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</si>
  <si>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</si>
  <si>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</si>
  <si>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</si>
  <si>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</si>
  <si>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</si>
  <si>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</si>
  <si>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</si>
  <si>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</si>
  <si>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</si>
  <si>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</si>
  <si>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</si>
  <si>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</si>
  <si>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</si>
  <si>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</si>
  <si>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</si>
  <si>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</si>
  <si>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</si>
  <si>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</si>
  <si>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</si>
  <si>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</si>
  <si>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</si>
  <si>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</si>
  <si>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</si>
  <si>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</si>
  <si>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</si>
  <si>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</si>
  <si>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</si>
  <si>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</si>
  <si>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</si>
  <si>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</si>
  <si>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</si>
  <si>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</si>
  <si>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</si>
  <si>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</si>
  <si>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</si>
  <si>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</si>
  <si>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</si>
  <si>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</si>
  <si>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</si>
  <si>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</si>
  <si>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</si>
  <si>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</si>
  <si>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</si>
  <si>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</si>
  <si>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</si>
  <si>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</si>
  <si>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</si>
  <si>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</si>
  <si>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</si>
  <si>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</si>
  <si>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</si>
  <si>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</si>
  <si>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</si>
  <si>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</si>
  <si>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</si>
  <si>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</si>
  <si>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</si>
  <si>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</si>
  <si>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</si>
  <si>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</si>
  <si>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</si>
  <si>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</si>
  <si>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</si>
  <si>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</si>
  <si>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</si>
  <si>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</si>
  <si>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</si>
  <si>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</si>
  <si>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</si>
  <si>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</si>
  <si>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</si>
  <si>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</si>
  <si>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</si>
  <si>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</si>
  <si>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</si>
  <si>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</si>
  <si>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</si>
  <si>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</si>
  <si>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</si>
  <si>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</si>
  <si>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</si>
  <si>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</si>
  <si>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</si>
  <si>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</si>
  <si>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</si>
  <si>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</si>
  <si>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</si>
  <si>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</si>
  <si>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</si>
  <si>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</si>
  <si>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</si>
  <si>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</si>
  <si>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</si>
  <si>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</si>
  <si>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</si>
  <si>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</si>
  <si>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</si>
  <si>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</si>
  <si>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</si>
  <si>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</si>
  <si>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</si>
  <si>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</si>
  <si>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</si>
  <si>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</si>
  <si>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</si>
  <si>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</si>
  <si>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</si>
  <si>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</si>
  <si>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</si>
  <si>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</si>
  <si>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</si>
  <si>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</si>
  <si>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</si>
  <si>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</si>
  <si>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</si>
  <si>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</si>
  <si>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</si>
  <si>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</si>
  <si>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</si>
  <si>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</si>
  <si>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</si>
  <si>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</si>
  <si>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</si>
  <si>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</si>
  <si>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</si>
  <si>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</si>
  <si>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</si>
  <si>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</si>
  <si>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</si>
  <si>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</si>
  <si>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</si>
  <si>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</si>
  <si>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</si>
  <si>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</si>
  <si>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</si>
  <si>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</si>
  <si>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</si>
  <si>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</si>
  <si>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</si>
  <si>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</si>
  <si>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</si>
  <si>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</si>
  <si>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</si>
  <si>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</si>
  <si>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</si>
  <si>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</si>
  <si>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</si>
  <si>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</si>
  <si>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</si>
  <si>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</si>
  <si>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</si>
  <si>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</si>
  <si>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</si>
  <si>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</si>
  <si>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</si>
  <si>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</si>
  <si>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</si>
  <si>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</si>
  <si>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</si>
  <si>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</si>
  <si>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</si>
  <si>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</si>
  <si>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</si>
  <si>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</si>
  <si>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</si>
  <si>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</si>
  <si>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</si>
  <si>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</si>
  <si>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</si>
  <si>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</si>
  <si>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</si>
  <si>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</si>
  <si>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</si>
  <si>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</si>
  <si>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</si>
  <si>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</si>
  <si>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</si>
  <si>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</si>
  <si>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</si>
  <si>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</si>
  <si>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</si>
  <si>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</si>
  <si>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</si>
  <si>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</si>
  <si>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</si>
  <si>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</si>
  <si>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</si>
  <si>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</si>
  <si>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</si>
  <si>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</si>
  <si>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</si>
  <si>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</si>
  <si>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</si>
  <si>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</si>
  <si>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</si>
  <si>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</si>
  <si>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</si>
  <si>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</si>
  <si>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</si>
  <si>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</si>
  <si>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</si>
  <si>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</si>
  <si>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</si>
  <si>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</si>
  <si>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</si>
  <si>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</si>
  <si>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</si>
  <si>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</si>
  <si>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</si>
  <si>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</si>
  <si>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</si>
  <si>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</si>
  <si>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</si>
  <si>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</si>
  <si>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</si>
  <si>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</si>
  <si>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</si>
  <si>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</si>
  <si>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</si>
  <si>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</si>
  <si>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</si>
  <si>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</si>
  <si>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</si>
  <si>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</si>
  <si>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</si>
  <si>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</si>
  <si>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</si>
  <si>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</si>
  <si>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</si>
  <si>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</si>
  <si>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</si>
  <si>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</si>
  <si>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</si>
  <si>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</si>
  <si>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</si>
  <si>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</si>
  <si>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</si>
  <si>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</si>
  <si>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</si>
  <si>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</si>
  <si>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</si>
  <si>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</si>
  <si>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</si>
  <si>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</si>
  <si>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</si>
  <si>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</si>
  <si>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</si>
  <si>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</si>
  <si>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</si>
  <si>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</si>
  <si>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</si>
  <si>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</si>
  <si>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</si>
  <si>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</si>
  <si>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</si>
  <si>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</si>
  <si>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</si>
  <si>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</si>
  <si>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</si>
  <si>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</si>
  <si>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</si>
  <si>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</si>
  <si>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</si>
  <si>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</si>
  <si>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</si>
  <si>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</si>
  <si>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</si>
  <si>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</si>
  <si>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</si>
  <si>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</si>
  <si>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</si>
  <si>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</si>
  <si>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</si>
  <si>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</si>
  <si>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</si>
  <si>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</si>
  <si>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</si>
  <si>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</si>
  <si>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</si>
  <si>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</si>
  <si>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</si>
  <si>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</si>
  <si>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</si>
  <si>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</si>
  <si>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</si>
  <si>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</si>
  <si>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</si>
  <si>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</si>
  <si>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</si>
  <si>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</si>
  <si>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</si>
  <si>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</si>
  <si>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</si>
  <si>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</si>
  <si>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</si>
  <si>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</si>
  <si>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</si>
  <si>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</si>
  <si>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</si>
  <si>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</si>
  <si>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</si>
  <si>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</si>
  <si>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</si>
  <si>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</si>
  <si>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</si>
  <si>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</si>
  <si>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</si>
  <si>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</si>
  <si>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</si>
  <si>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</si>
  <si>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</si>
  <si>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</si>
  <si>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</si>
  <si>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</si>
  <si>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</si>
  <si>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</si>
  <si>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</si>
  <si>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</si>
  <si>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</si>
  <si>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</si>
  <si>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</si>
  <si>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</si>
  <si>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</si>
  <si>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</si>
  <si>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</si>
  <si>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</si>
  <si>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</si>
  <si>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</si>
  <si>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</si>
  <si>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</si>
  <si>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</si>
  <si>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</si>
  <si>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</si>
  <si>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</si>
  <si>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</si>
  <si>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</si>
  <si>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</si>
  <si>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</si>
  <si>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</si>
  <si>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</si>
  <si>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</si>
  <si>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</si>
  <si>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</si>
  <si>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</si>
  <si>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</si>
  <si>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</si>
  <si>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</si>
  <si>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</si>
  <si>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</si>
  <si>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</si>
  <si>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</si>
  <si>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</si>
  <si>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</si>
  <si>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</si>
  <si>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</si>
  <si>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</si>
  <si>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</si>
  <si>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</si>
  <si>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</si>
  <si>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</si>
  <si>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</si>
  <si>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</si>
  <si>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</si>
  <si>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</si>
  <si>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</si>
  <si>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</si>
  <si>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</si>
  <si>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</si>
  <si>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</si>
  <si>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</si>
  <si>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</si>
  <si>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</si>
  <si>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</si>
  <si>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</si>
  <si>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</si>
  <si>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</si>
  <si>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</si>
  <si>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</si>
  <si>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</si>
  <si>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</si>
  <si>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</si>
  <si>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</si>
  <si>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</si>
  <si>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</si>
  <si>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</si>
  <si>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</si>
  <si>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</si>
  <si>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</si>
  <si>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</si>
  <si>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</si>
  <si>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</si>
  <si>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</si>
  <si>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</si>
  <si>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</si>
  <si>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</si>
  <si>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</si>
  <si>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</si>
  <si>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</si>
  <si>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</si>
  <si>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</si>
  <si>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</si>
  <si>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</si>
  <si>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</si>
  <si>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</si>
  <si>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</si>
  <si>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</si>
  <si>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</si>
  <si>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</si>
  <si>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</si>
  <si>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</si>
  <si>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</si>
  <si>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</si>
  <si>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</si>
  <si>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</si>
  <si>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</si>
  <si>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</si>
  <si>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</si>
  <si>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</si>
  <si>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</si>
  <si>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</si>
  <si>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</si>
  <si>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</si>
  <si>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</si>
  <si>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</si>
  <si>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</si>
  <si>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</si>
  <si>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</si>
  <si>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</si>
  <si>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</si>
  <si>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</si>
  <si>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</si>
  <si>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</si>
  <si>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</si>
  <si>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</si>
  <si>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</si>
  <si>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</si>
  <si>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</si>
  <si>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</si>
  <si>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</si>
  <si>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</si>
  <si>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</si>
  <si>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</si>
  <si>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</si>
  <si>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</si>
  <si>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</si>
  <si>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</si>
  <si>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</si>
  <si>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</si>
  <si>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</si>
  <si>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</si>
  <si>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</si>
  <si>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</si>
  <si>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</si>
  <si>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</si>
  <si>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</si>
  <si>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</si>
  <si>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</si>
  <si>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</si>
  <si>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</si>
  <si>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</si>
  <si>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</si>
  <si>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</si>
  <si>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</si>
  <si>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</si>
  <si>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</si>
  <si>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</si>
  <si>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</si>
  <si>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</si>
  <si>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</si>
  <si>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</si>
  <si>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</si>
  <si>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</si>
  <si>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</si>
  <si>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</si>
  <si>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</si>
  <si>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</si>
  <si>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</si>
  <si>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</si>
  <si>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</si>
  <si>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</si>
  <si>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</si>
  <si>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</si>
  <si>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</si>
  <si>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</si>
  <si>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</si>
  <si>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</si>
  <si>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</si>
  <si>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</si>
  <si>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</si>
  <si>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</si>
  <si>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</si>
  <si>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</si>
  <si>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</si>
  <si>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</si>
  <si>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</si>
  <si>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</si>
  <si>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</si>
  <si>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</si>
  <si>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</si>
  <si>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</si>
  <si>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</si>
  <si>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</si>
  <si>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</si>
  <si>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</si>
  <si>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</si>
  <si>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</si>
  <si>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</si>
  <si>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</si>
  <si>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</si>
  <si>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</si>
  <si>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</si>
  <si>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</si>
  <si>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</si>
  <si>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</si>
  <si>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</si>
  <si>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</si>
  <si>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</si>
  <si>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</si>
  <si>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</si>
  <si>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</si>
  <si>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</si>
  <si>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</si>
  <si>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</si>
  <si>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</si>
  <si>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</si>
  <si>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</si>
  <si>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</si>
  <si>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</si>
  <si>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</si>
  <si>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</si>
  <si>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</si>
  <si>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</si>
  <si>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</si>
  <si>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</si>
  <si>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</si>
  <si>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</si>
  <si>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</si>
  <si>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</si>
  <si>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</si>
  <si>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</si>
  <si>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</si>
  <si>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</si>
  <si>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</si>
  <si>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</si>
  <si>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</si>
  <si>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</si>
  <si>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</si>
  <si>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</si>
  <si>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</si>
  <si>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</si>
  <si>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</si>
  <si>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</si>
  <si>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</si>
  <si>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</si>
  <si>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</si>
  <si>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</si>
  <si>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</si>
  <si>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</si>
  <si>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</si>
  <si>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</si>
  <si>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</si>
  <si>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</si>
  <si>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</si>
  <si>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</si>
  <si>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</si>
  <si>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</si>
  <si>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</si>
  <si>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</si>
  <si>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</si>
  <si>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</si>
  <si>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</si>
  <si>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</si>
  <si>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</si>
  <si>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</si>
  <si>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</si>
  <si>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</si>
  <si>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</si>
  <si>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</si>
  <si>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</si>
  <si>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</si>
  <si>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</si>
  <si>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</si>
  <si>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</si>
  <si>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</si>
  <si>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</si>
  <si>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</si>
  <si>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</si>
  <si>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</si>
  <si>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</si>
  <si>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</si>
  <si>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</si>
  <si>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</si>
  <si>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</si>
  <si>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</si>
  <si>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</si>
  <si>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</si>
  <si>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</si>
  <si>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</si>
  <si>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</si>
  <si>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</si>
  <si>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</si>
  <si>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</si>
  <si>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</si>
  <si>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</si>
  <si>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</si>
  <si>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</si>
  <si>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</si>
  <si>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</si>
  <si>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</si>
  <si>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</si>
  <si>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</si>
  <si>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</si>
  <si>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</si>
  <si>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</si>
  <si>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</si>
  <si>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</si>
  <si>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</si>
  <si>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</si>
  <si>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</si>
  <si>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</si>
  <si>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</si>
  <si>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</si>
  <si>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</si>
  <si>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</si>
  <si>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</si>
  <si>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</si>
  <si>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</si>
  <si>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</si>
  <si>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</si>
  <si>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</si>
  <si>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</si>
  <si>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</si>
  <si>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</si>
  <si>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</si>
  <si>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</si>
  <si>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</si>
  <si>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</si>
  <si>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</si>
  <si>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</si>
  <si>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</si>
  <si>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</si>
  <si>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</si>
  <si>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</si>
  <si>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</si>
  <si>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</si>
  <si>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</si>
  <si>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</si>
  <si>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</si>
  <si>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</si>
  <si>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</si>
  <si>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</si>
  <si>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</si>
  <si>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</si>
  <si>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</si>
  <si>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</si>
  <si>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</si>
  <si>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</si>
  <si>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</si>
  <si>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</si>
  <si>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</si>
  <si>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</si>
  <si>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</si>
  <si>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</si>
  <si>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</si>
  <si>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</si>
  <si>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</si>
  <si>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</si>
  <si>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</si>
  <si>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</si>
  <si>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</si>
  <si>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</si>
  <si>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</si>
  <si>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</si>
  <si>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</si>
  <si>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</si>
  <si>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</si>
  <si>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</si>
  <si>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</si>
  <si>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</si>
  <si>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</si>
  <si>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</si>
  <si>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</si>
  <si>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</si>
  <si>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</si>
  <si>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</si>
  <si>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</si>
  <si>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</si>
  <si>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</si>
  <si>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</si>
  <si>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</si>
  <si>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</si>
  <si>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</si>
  <si>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</si>
  <si>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</si>
  <si>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</si>
  <si>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</si>
  <si>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</si>
  <si>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</si>
  <si>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</si>
  <si>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</si>
  <si>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</si>
  <si>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</si>
  <si>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</si>
  <si>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</si>
  <si>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</si>
  <si>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</si>
  <si>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</si>
  <si>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</si>
  <si>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</si>
  <si>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</si>
  <si>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</si>
  <si>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</si>
  <si>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</si>
  <si>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</si>
  <si>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</si>
  <si>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</si>
  <si>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</si>
  <si>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</si>
  <si>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</si>
  <si>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</si>
  <si>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</si>
  <si>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</si>
  <si>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</si>
  <si>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</si>
  <si>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</si>
  <si>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</si>
  <si>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</si>
  <si>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</si>
  <si>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</si>
  <si>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</si>
  <si>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</si>
  <si>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</si>
  <si>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</si>
  <si>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</si>
  <si>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</si>
  <si>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</si>
  <si>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</si>
  <si>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</si>
  <si>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</si>
  <si>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</si>
  <si>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</si>
  <si>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</si>
  <si>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</si>
  <si>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</si>
  <si>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</si>
  <si>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</si>
  <si>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</si>
  <si>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</si>
  <si>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</si>
  <si>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</si>
  <si>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</si>
  <si>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</si>
  <si>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</si>
  <si>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</si>
  <si>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</si>
  <si>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</si>
  <si>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</si>
  <si>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</si>
  <si>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</si>
  <si>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</si>
  <si>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</si>
  <si>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</si>
  <si>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</si>
  <si>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</si>
  <si>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</si>
  <si>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</si>
  <si>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</si>
  <si>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</si>
  <si>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</si>
  <si>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</si>
  <si>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</si>
  <si>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</si>
  <si>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</si>
  <si>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</si>
  <si>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</si>
  <si>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</si>
  <si>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</si>
  <si>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</si>
  <si>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</si>
  <si>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</si>
  <si>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</si>
  <si>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</si>
  <si>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</si>
  <si>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</si>
  <si>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</si>
  <si>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</si>
  <si>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</si>
  <si>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</si>
  <si>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</si>
  <si>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</si>
  <si>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</si>
  <si>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</si>
  <si>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</si>
  <si>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</si>
  <si>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</si>
  <si>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</si>
  <si>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</si>
  <si>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</si>
  <si>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</si>
  <si>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</si>
  <si>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</si>
  <si>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</si>
  <si>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</si>
  <si>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</si>
  <si>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</si>
  <si>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</si>
  <si>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</si>
  <si>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</si>
  <si>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</si>
  <si>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</si>
  <si>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</si>
  <si>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</si>
  <si>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</si>
  <si>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</si>
  <si>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</si>
  <si>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</si>
  <si>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</si>
  <si>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</si>
  <si>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</si>
  <si>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</si>
  <si>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</si>
  <si>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</si>
  <si>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</si>
  <si>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</si>
  <si>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</si>
  <si>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</si>
  <si>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</si>
  <si>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</si>
  <si>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</si>
  <si>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</si>
  <si>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</si>
  <si>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</si>
  <si>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</si>
  <si>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</si>
  <si>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</si>
  <si>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</si>
  <si>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</si>
  <si>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</si>
  <si>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</si>
  <si>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</si>
  <si>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</si>
  <si>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</si>
  <si>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</si>
  <si>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</si>
  <si>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</si>
  <si>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</si>
  <si>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</si>
  <si>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</si>
  <si>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</si>
  <si>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</si>
  <si>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</si>
  <si>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</si>
  <si>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</si>
  <si>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</si>
  <si>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</si>
  <si>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</si>
  <si>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</si>
  <si>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</si>
  <si>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</si>
  <si>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</si>
  <si>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</si>
  <si>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</si>
  <si>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</si>
  <si>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</si>
  <si>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</si>
  <si>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</si>
  <si>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</si>
  <si>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</si>
  <si>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</si>
  <si>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</si>
  <si>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</si>
  <si>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</si>
  <si>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</si>
  <si>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</si>
  <si>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</si>
  <si>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</si>
  <si>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</si>
  <si>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</si>
  <si>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</si>
  <si>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</si>
  <si>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</si>
  <si>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</si>
  <si>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</si>
  <si>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</si>
  <si>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</si>
  <si>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</si>
  <si>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</si>
  <si>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</si>
  <si>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</si>
  <si>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</si>
  <si>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</si>
  <si>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</si>
  <si>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</si>
  <si>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</si>
  <si>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</si>
  <si>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</si>
  <si>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</si>
  <si>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</si>
  <si>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</si>
  <si>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</si>
  <si>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</si>
  <si>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</si>
  <si>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</si>
  <si>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</si>
  <si>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</si>
  <si>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</si>
  <si>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</si>
  <si>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</si>
  <si>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</si>
  <si>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</si>
  <si>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</si>
  <si>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</si>
  <si>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</si>
  <si>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</si>
  <si>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</si>
  <si>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</si>
  <si>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</si>
  <si>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</si>
  <si>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</si>
  <si>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</si>
  <si>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</si>
  <si>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</si>
  <si>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</si>
  <si>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</si>
  <si>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</si>
  <si>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</si>
  <si>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</si>
  <si>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</si>
  <si>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</si>
  <si>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</si>
  <si>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</si>
  <si>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</si>
  <si>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</si>
  <si>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</si>
  <si>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</si>
  <si>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</si>
  <si>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</si>
  <si>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</si>
  <si>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</si>
  <si>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</si>
  <si>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</si>
  <si>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</si>
  <si>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</si>
  <si>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</si>
  <si>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</si>
  <si>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</si>
  <si>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</si>
  <si>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</si>
  <si>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</si>
  <si>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</si>
  <si>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</si>
  <si>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</si>
  <si>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</si>
  <si>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</si>
  <si>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</si>
  <si>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</si>
  <si>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</si>
  <si>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</si>
  <si>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</si>
  <si>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</si>
  <si>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</si>
  <si>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</si>
  <si>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</si>
  <si>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</si>
  <si>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</si>
  <si>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</si>
  <si>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</si>
  <si>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</si>
  <si>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</si>
  <si>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</si>
  <si>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</si>
  <si>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</si>
  <si>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</si>
  <si>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</si>
  <si>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</si>
  <si>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</si>
  <si>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</si>
  <si>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</si>
  <si>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</si>
  <si>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</si>
  <si>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</si>
  <si>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</si>
  <si>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</si>
  <si>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</si>
  <si>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</si>
  <si>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</si>
  <si>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</si>
  <si>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</si>
  <si>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</si>
  <si>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</si>
  <si>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</si>
  <si>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</si>
  <si>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</si>
  <si>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</si>
  <si>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</si>
  <si>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</si>
  <si>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</si>
  <si>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</si>
  <si>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</si>
  <si>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</si>
  <si>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</si>
  <si>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</si>
  <si>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</si>
  <si>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</si>
  <si>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</si>
  <si>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</si>
  <si>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</si>
  <si>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</si>
  <si>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</si>
  <si>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</si>
  <si>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</si>
  <si>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</si>
  <si>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</si>
  <si>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</si>
  <si>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</si>
  <si>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</si>
  <si>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</si>
  <si>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</si>
  <si>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</si>
  <si>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</si>
  <si>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</si>
  <si>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</si>
  <si>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</si>
  <si>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</si>
  <si>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</si>
  <si>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</si>
  <si>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</si>
  <si>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</si>
  <si>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</si>
  <si>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</si>
  <si>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</si>
  <si>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</si>
  <si>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</si>
  <si>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</si>
  <si>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</si>
  <si>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</si>
  <si>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</si>
  <si>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</si>
  <si>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</si>
  <si>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</si>
  <si>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</si>
  <si>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</si>
  <si>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</si>
  <si>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</si>
  <si>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</si>
  <si>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</si>
  <si>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</si>
  <si>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</si>
  <si>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</si>
  <si>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</si>
  <si>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</si>
  <si>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</si>
  <si>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</si>
  <si>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</si>
  <si>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</si>
  <si>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</si>
  <si>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</si>
  <si>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</si>
  <si>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</si>
  <si>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</si>
  <si>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</si>
  <si>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</si>
  <si>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</si>
  <si>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</si>
  <si>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</si>
  <si>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</si>
  <si>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</si>
  <si>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</si>
  <si>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</si>
  <si>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</si>
  <si>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</si>
  <si>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</si>
  <si>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</si>
  <si>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</si>
  <si>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</si>
  <si>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</si>
  <si>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</si>
  <si>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</si>
  <si>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</si>
  <si>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</si>
  <si>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</si>
  <si>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</si>
  <si>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</si>
  <si>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</si>
  <si>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</si>
  <si>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</si>
  <si>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</si>
  <si>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</si>
  <si>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</si>
  <si>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</si>
  <si>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</si>
  <si>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</si>
  <si>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</si>
  <si>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</si>
  <si>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</si>
  <si>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</si>
  <si>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</si>
  <si>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</si>
  <si>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</si>
  <si>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</si>
  <si>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</si>
  <si>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</si>
  <si>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</si>
  <si>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</si>
  <si>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</si>
  <si>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</si>
  <si>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</si>
  <si>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</si>
  <si>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</si>
  <si>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</si>
  <si>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</si>
  <si>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</si>
  <si>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</si>
  <si>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</si>
  <si>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</si>
  <si>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</si>
  <si>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</si>
  <si>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</si>
  <si>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</si>
  <si>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</si>
  <si>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</si>
  <si>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</si>
  <si>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</si>
  <si>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</si>
  <si>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</si>
  <si>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</si>
  <si>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</si>
  <si>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</si>
  <si>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</si>
  <si>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</si>
  <si>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</si>
  <si>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</si>
  <si>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</si>
  <si>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</si>
  <si>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</si>
  <si>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</si>
  <si>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</si>
  <si>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</si>
  <si>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</si>
  <si>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</si>
  <si>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</si>
  <si>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</si>
  <si>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</si>
  <si>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</si>
  <si>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</si>
  <si>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</si>
  <si>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</si>
  <si>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</si>
  <si>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</si>
  <si>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</si>
  <si>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</si>
  <si>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</si>
  <si>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</si>
  <si>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</si>
  <si>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</si>
  <si>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</si>
  <si>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</si>
  <si>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</si>
  <si>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</si>
  <si>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</si>
  <si>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</si>
  <si>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</si>
  <si>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</si>
  <si>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</si>
  <si>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</si>
  <si>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</si>
  <si>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</si>
  <si>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</si>
  <si>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</si>
  <si>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</si>
  <si>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</si>
  <si>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</si>
  <si>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</si>
  <si>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</si>
  <si>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</si>
  <si>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</si>
  <si>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</si>
  <si>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</si>
  <si>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</si>
  <si>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</si>
  <si>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</si>
  <si>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</si>
  <si>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</si>
  <si>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</si>
  <si>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</si>
  <si>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</si>
  <si>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</si>
  <si>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</si>
  <si>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</si>
  <si>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</si>
  <si>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</si>
  <si>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</si>
  <si>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</si>
  <si>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</si>
  <si>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</si>
  <si>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</si>
  <si>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</si>
  <si>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</si>
  <si>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</si>
  <si>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</si>
  <si>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</si>
  <si>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</si>
  <si>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</si>
  <si>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</si>
  <si>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</si>
  <si>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</si>
  <si>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</si>
  <si>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</si>
  <si>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</si>
  <si>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</si>
  <si>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</si>
  <si>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</si>
  <si>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</si>
  <si>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</si>
  <si>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</si>
  <si>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</si>
  <si>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</si>
  <si>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</si>
  <si>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</si>
  <si>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</si>
  <si>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</si>
  <si>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</si>
  <si>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</si>
  <si>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</si>
  <si>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</si>
  <si>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</si>
  <si>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</si>
  <si>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</si>
  <si>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</si>
  <si>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</si>
  <si>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</si>
  <si>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</si>
  <si>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</si>
  <si>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</si>
  <si>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</si>
  <si>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</si>
  <si>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</si>
  <si>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</si>
  <si>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</si>
  <si>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</si>
  <si>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</si>
  <si>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</si>
  <si>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</si>
  <si>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</si>
  <si>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</si>
  <si>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</si>
  <si>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</si>
  <si>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</si>
  <si>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</si>
  <si>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</si>
  <si>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</si>
  <si>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</si>
  <si>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</si>
  <si>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</si>
  <si>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</si>
  <si>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</si>
  <si>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</si>
  <si>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</si>
  <si>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</si>
  <si>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</si>
  <si>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</si>
  <si>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</si>
  <si>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</si>
  <si>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</si>
  <si>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</si>
  <si>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</si>
  <si>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</si>
  <si>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</si>
  <si>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</si>
  <si>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</si>
  <si>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</si>
  <si>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</si>
  <si>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</si>
  <si>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</si>
  <si>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</si>
  <si>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</si>
  <si>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</si>
  <si>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</si>
  <si>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</si>
  <si>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</si>
  <si>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</si>
  <si>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</si>
  <si>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</si>
  <si>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</si>
  <si>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</si>
  <si>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</si>
  <si>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</si>
  <si>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</si>
  <si>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</si>
  <si>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</si>
  <si>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</si>
  <si>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</si>
  <si>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</si>
  <si>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</si>
  <si>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</si>
  <si>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</si>
  <si>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</si>
  <si>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</si>
  <si>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</si>
  <si>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</si>
  <si>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</si>
  <si>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</si>
  <si>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</si>
  <si>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</si>
  <si>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</si>
  <si>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</si>
  <si>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</si>
  <si>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</si>
  <si>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</si>
  <si>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</si>
  <si>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</si>
  <si>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</si>
  <si>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</si>
  <si>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</si>
  <si>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</si>
  <si>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</si>
  <si>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</si>
  <si>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</si>
  <si>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</si>
  <si>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</si>
  <si>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</si>
  <si>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</si>
  <si>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</si>
  <si>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</si>
  <si>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</si>
  <si>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</si>
  <si>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</si>
  <si>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</si>
  <si>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</si>
  <si>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</si>
  <si>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</si>
  <si>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</si>
  <si>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</si>
  <si>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</si>
  <si>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</si>
  <si>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</si>
  <si>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</si>
  <si>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</si>
  <si>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</si>
  <si>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</si>
  <si>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</si>
  <si>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</si>
  <si>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</si>
  <si>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</si>
  <si>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</si>
  <si>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</si>
  <si>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</si>
  <si>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</si>
  <si>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</si>
  <si>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</si>
  <si>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</si>
  <si>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</si>
  <si>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</si>
  <si>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</si>
  <si>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</si>
  <si>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</si>
  <si>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</si>
  <si>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</si>
  <si>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</si>
  <si>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</si>
  <si>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</si>
  <si>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</si>
  <si>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</si>
  <si>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</si>
  <si>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</si>
  <si>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</si>
  <si>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</si>
  <si>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</si>
  <si>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</si>
  <si>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</si>
  <si>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</si>
  <si>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</si>
  <si>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</si>
  <si>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</si>
  <si>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</si>
  <si>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</si>
  <si>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</si>
  <si>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</si>
  <si>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</si>
  <si>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</si>
  <si>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</si>
  <si>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</si>
  <si>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</si>
  <si>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</si>
  <si>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</si>
  <si>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</si>
  <si>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</si>
  <si>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</si>
  <si>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</si>
  <si>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</si>
  <si>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</si>
  <si>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</si>
  <si>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</si>
  <si>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</si>
  <si>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</si>
  <si>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</si>
  <si>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</si>
  <si>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</si>
  <si>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</si>
  <si>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</si>
  <si>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</si>
  <si>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</si>
  <si>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</si>
  <si>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</si>
  <si>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</si>
  <si>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</si>
  <si>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</si>
  <si>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</si>
  <si>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</si>
  <si>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</si>
  <si>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</si>
  <si>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</si>
  <si>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</si>
  <si>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</si>
  <si>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</si>
  <si>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</si>
  <si>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</si>
  <si>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</si>
  <si>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</si>
  <si>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</si>
  <si>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</si>
  <si>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</si>
  <si>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</si>
  <si>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</si>
  <si>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</si>
  <si>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</si>
  <si>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</si>
  <si>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</si>
  <si>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</si>
  <si>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</si>
  <si>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</si>
  <si>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</si>
  <si>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</si>
  <si>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</si>
  <si>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</si>
  <si>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</si>
  <si>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</si>
  <si>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</si>
  <si>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</si>
  <si>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</si>
  <si>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</si>
  <si>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</si>
  <si>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</si>
  <si>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</si>
  <si>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</si>
  <si>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</si>
  <si>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</si>
  <si>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</si>
  <si>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</si>
  <si>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</si>
  <si>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</si>
  <si>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</si>
  <si>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</si>
  <si>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</si>
  <si>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</si>
  <si>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</si>
  <si>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</si>
  <si>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</si>
  <si>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</si>
  <si>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</si>
  <si>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</si>
  <si>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</si>
  <si>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</si>
  <si>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</si>
  <si>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</si>
  <si>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</si>
  <si>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</si>
  <si>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</si>
  <si>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</si>
  <si>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</si>
  <si>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</si>
  <si>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</si>
  <si>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</si>
  <si>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</si>
  <si>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</si>
  <si>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</si>
  <si>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</si>
  <si>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</si>
  <si>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</si>
  <si>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</si>
  <si>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</si>
  <si>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</si>
  <si>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</si>
  <si>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</si>
  <si>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</si>
  <si>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</si>
  <si>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</si>
  <si>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</si>
  <si>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</si>
  <si>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</si>
  <si>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</si>
  <si>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</si>
  <si>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</si>
  <si>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</si>
  <si>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</si>
  <si>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</si>
  <si>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</si>
  <si>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</si>
  <si>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</si>
  <si>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</si>
  <si>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</si>
  <si>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</si>
  <si>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</si>
  <si>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</si>
  <si>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</si>
  <si>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</si>
  <si>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</si>
  <si>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</si>
  <si>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</si>
  <si>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</si>
  <si>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</si>
  <si>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</si>
  <si>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</si>
  <si>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</si>
  <si>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</si>
  <si>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</si>
  <si>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</si>
  <si>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</si>
  <si>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</si>
  <si>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</si>
  <si>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</si>
  <si>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</si>
  <si>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</si>
  <si>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</si>
  <si>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</si>
  <si>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</si>
  <si>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</si>
  <si>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</si>
  <si>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</si>
  <si>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</si>
  <si>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</si>
  <si>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</si>
  <si>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</si>
  <si>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</si>
  <si>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</si>
  <si>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</si>
  <si>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</si>
  <si>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</si>
  <si>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</si>
  <si>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</si>
  <si>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</si>
  <si>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</si>
  <si>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</si>
  <si>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</si>
  <si>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</si>
  <si>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</si>
  <si>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</si>
  <si>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</si>
  <si>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</si>
  <si>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</si>
  <si>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</si>
  <si>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</si>
  <si>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</si>
  <si>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</si>
  <si>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</si>
  <si>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</si>
  <si>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</si>
  <si>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</si>
  <si>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</si>
  <si>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</si>
  <si>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</si>
  <si>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</si>
  <si>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</si>
  <si>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</si>
  <si>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</si>
  <si>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</si>
  <si>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</si>
  <si>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</si>
  <si>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</si>
  <si>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</si>
  <si>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</si>
  <si>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</si>
  <si>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</si>
  <si>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</si>
  <si>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</si>
  <si>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</si>
  <si>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</si>
  <si>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</si>
  <si>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</si>
  <si>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</si>
  <si>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</si>
  <si>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</si>
  <si>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</si>
  <si>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</si>
  <si>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</si>
  <si>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</si>
  <si>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</si>
  <si>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</si>
  <si>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</si>
  <si>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</si>
  <si>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</si>
  <si>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</si>
  <si>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</si>
  <si>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</si>
  <si>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</si>
  <si>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</si>
  <si>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</si>
  <si>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</si>
  <si>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</si>
  <si>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</si>
  <si>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</si>
  <si>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</si>
  <si>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</si>
  <si>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</si>
  <si>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</si>
  <si>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</si>
  <si>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</si>
  <si>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</si>
  <si>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</si>
  <si>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</si>
  <si>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</si>
  <si>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</si>
  <si>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</si>
  <si>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</si>
  <si>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</si>
  <si>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</si>
  <si>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</si>
  <si>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</si>
  <si>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</si>
  <si>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</si>
  <si>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</si>
  <si>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</si>
  <si>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</si>
  <si>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</si>
  <si>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</si>
  <si>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</si>
  <si>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</si>
  <si>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</si>
  <si>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</si>
  <si>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</si>
  <si>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</si>
  <si>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</si>
  <si>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</si>
  <si>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</si>
  <si>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</si>
  <si>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</si>
  <si>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</si>
  <si>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</si>
  <si>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</si>
  <si>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</si>
  <si>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</si>
  <si>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</si>
  <si>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</si>
  <si>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</si>
  <si>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</si>
  <si>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</si>
  <si>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</si>
  <si>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</si>
  <si>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</si>
  <si>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</si>
  <si>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</si>
  <si>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</si>
  <si>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</si>
  <si>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</si>
  <si>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</si>
  <si>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</si>
  <si>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</si>
  <si>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</si>
  <si>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</si>
  <si>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</si>
  <si>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</si>
  <si>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</si>
  <si>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</si>
  <si>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</si>
  <si>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</si>
  <si>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</si>
  <si>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</si>
  <si>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</si>
  <si>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</si>
  <si>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</si>
  <si>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</si>
  <si>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</si>
  <si>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</si>
  <si>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</si>
  <si>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</si>
  <si>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</si>
  <si>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</si>
  <si>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</si>
  <si>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</si>
  <si>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</si>
  <si>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</si>
  <si>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</si>
  <si>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</si>
  <si>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</si>
  <si>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</si>
  <si>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</si>
  <si>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</si>
  <si>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</si>
  <si>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</si>
  <si>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</si>
  <si>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</si>
  <si>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</si>
  <si>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</si>
  <si>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</si>
  <si>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</si>
  <si>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</si>
  <si>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</si>
  <si>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</si>
  <si>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</si>
  <si>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</si>
  <si>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</si>
  <si>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</si>
  <si>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</si>
  <si>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</si>
  <si>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</si>
  <si>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</si>
  <si>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</si>
  <si>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</si>
  <si>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</si>
  <si>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</si>
  <si>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</si>
  <si>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</si>
  <si>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</si>
  <si>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</si>
  <si>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</si>
  <si>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</si>
  <si>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</si>
  <si>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</si>
  <si>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</si>
  <si>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</si>
  <si>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</si>
  <si>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</si>
  <si>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</si>
  <si>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</si>
  <si>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</si>
  <si>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</si>
  <si>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</si>
  <si>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</si>
  <si>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</si>
  <si>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</si>
  <si>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</si>
  <si>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</si>
  <si>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</si>
  <si>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</si>
  <si>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</si>
  <si>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</si>
  <si>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</si>
  <si>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</si>
  <si>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</si>
  <si>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</si>
  <si>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</si>
  <si>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</si>
  <si>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</si>
  <si>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</si>
  <si>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</si>
  <si>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</si>
  <si>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</si>
  <si>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</si>
  <si>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</si>
  <si>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</si>
  <si>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</si>
  <si>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</si>
  <si>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</si>
  <si>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</si>
  <si>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</si>
  <si>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</si>
  <si>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</si>
  <si>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</si>
  <si>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</si>
  <si>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</si>
  <si>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</si>
  <si>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</si>
  <si>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</si>
  <si>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</si>
  <si>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</si>
  <si>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</si>
  <si>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</si>
  <si>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</si>
  <si>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</si>
  <si>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</si>
  <si>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</si>
  <si>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</si>
  <si>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</si>
  <si>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</si>
  <si>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</si>
  <si>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</si>
  <si>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</si>
  <si>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</si>
  <si>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</si>
  <si>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</si>
  <si>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</si>
  <si>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</si>
  <si>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</si>
  <si>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</si>
  <si>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</si>
  <si>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</si>
  <si>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</si>
  <si>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</si>
  <si>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</si>
  <si>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</si>
  <si>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</si>
  <si>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</si>
  <si>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</si>
  <si>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</si>
  <si>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</si>
  <si>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</si>
  <si>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</si>
  <si>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</si>
  <si>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</si>
  <si>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</si>
  <si>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</si>
  <si>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</si>
  <si>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</si>
  <si>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</si>
  <si>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</si>
  <si>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</si>
  <si>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</si>
  <si>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</si>
  <si>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</si>
  <si>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</si>
  <si>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</si>
  <si>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</si>
  <si>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</si>
  <si>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</si>
  <si>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</si>
  <si>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</si>
  <si>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</si>
  <si>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</si>
  <si>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</si>
  <si>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</si>
  <si>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</si>
  <si>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</si>
  <si>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</si>
  <si>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</si>
  <si>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</si>
  <si>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</si>
  <si>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</si>
  <si>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</si>
  <si>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</si>
  <si>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</si>
  <si>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</si>
  <si>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</si>
  <si>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</si>
  <si>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</si>
  <si>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</si>
  <si>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</si>
  <si>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</si>
  <si>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</si>
  <si>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</si>
  <si>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</si>
  <si>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</si>
  <si>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</si>
  <si>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</si>
  <si>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</si>
  <si>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</si>
  <si>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</si>
  <si>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</si>
  <si>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</si>
  <si>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</si>
  <si>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</si>
  <si>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</si>
  <si>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</si>
  <si>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</si>
  <si>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</si>
  <si>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</si>
  <si>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</si>
  <si>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</si>
  <si>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</si>
  <si>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</si>
  <si>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</si>
  <si>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</si>
  <si>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</si>
  <si>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</si>
  <si>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</si>
  <si>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</si>
  <si>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</si>
  <si>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</si>
  <si>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</si>
  <si>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</si>
  <si>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</si>
  <si>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</si>
  <si>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</si>
  <si>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</si>
  <si>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</si>
  <si>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</si>
  <si>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</si>
  <si>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</si>
  <si>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</si>
  <si>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</si>
  <si>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</si>
  <si>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</si>
  <si>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</si>
  <si>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</si>
  <si>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</si>
  <si>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</si>
  <si>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</si>
  <si>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</si>
  <si>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</si>
  <si>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</si>
  <si>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</si>
  <si>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</si>
  <si>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</si>
  <si>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</si>
  <si>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</si>
  <si>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</si>
  <si>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</si>
  <si>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</si>
  <si>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</si>
  <si>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</si>
  <si>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</si>
  <si>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</si>
  <si>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</si>
  <si>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</si>
  <si>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</si>
  <si>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</si>
  <si>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</si>
  <si>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</si>
  <si>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</si>
  <si>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</si>
  <si>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</si>
  <si>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</si>
  <si>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</si>
  <si>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</si>
  <si>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</si>
  <si>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</si>
  <si>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</si>
  <si>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</si>
  <si>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</si>
  <si>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</si>
  <si>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</si>
  <si>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</si>
  <si>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</si>
  <si>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</si>
  <si>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</si>
  <si>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</si>
  <si>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</si>
  <si>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</si>
  <si>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</si>
  <si>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</si>
  <si>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</si>
  <si>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</si>
  <si>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</si>
  <si>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</si>
  <si>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</si>
  <si>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</si>
  <si>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</si>
  <si>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</si>
  <si>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</si>
  <si>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</si>
  <si>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</si>
  <si>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</si>
  <si>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</si>
  <si>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</si>
  <si>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</si>
  <si>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</si>
  <si>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</si>
  <si>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</si>
  <si>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</si>
  <si>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</si>
  <si>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</si>
  <si>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</si>
  <si>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</si>
  <si>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</si>
  <si>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</si>
  <si>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</si>
  <si>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</si>
  <si>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</si>
  <si>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</si>
  <si>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</si>
  <si>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</si>
  <si>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</si>
  <si>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</si>
  <si>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</si>
  <si>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</si>
  <si>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</si>
  <si>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</si>
  <si>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</si>
  <si>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</si>
  <si>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</si>
  <si>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</si>
  <si>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</si>
  <si>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</si>
  <si>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</si>
  <si>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</si>
  <si>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</si>
  <si>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</si>
  <si>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</si>
  <si>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</si>
  <si>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</si>
  <si>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</si>
  <si>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</si>
  <si>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</si>
  <si>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</si>
  <si>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</si>
  <si>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</si>
  <si>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</si>
  <si>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</si>
  <si>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</si>
  <si>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</si>
  <si>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</si>
  <si>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</si>
  <si>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</si>
  <si>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</si>
  <si>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</si>
  <si>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</si>
  <si>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</si>
  <si>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</si>
  <si>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</si>
  <si>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</si>
  <si>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</si>
  <si>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</si>
  <si>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</si>
  <si>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</si>
  <si>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</si>
  <si>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</si>
  <si>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</si>
  <si>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</si>
  <si>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</si>
  <si>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</si>
  <si>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</si>
  <si>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</si>
  <si>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</si>
  <si>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</si>
  <si>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</si>
  <si>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</si>
  <si>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</si>
  <si>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</si>
  <si>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</si>
  <si>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</si>
  <si>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</si>
  <si>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</si>
  <si>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</si>
  <si>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</si>
  <si>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</si>
  <si>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</si>
  <si>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</si>
  <si>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</si>
  <si>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</si>
  <si>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</si>
  <si>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</si>
  <si>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</si>
  <si>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</si>
  <si>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</si>
  <si>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</si>
  <si>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</si>
  <si>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</si>
  <si>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</si>
  <si>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</si>
  <si>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</si>
  <si>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</si>
  <si>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</si>
  <si>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</si>
  <si>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</si>
  <si>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</si>
  <si>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</si>
  <si>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</si>
  <si>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</si>
  <si>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</si>
  <si>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</si>
  <si>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</si>
  <si>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</si>
  <si>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</si>
  <si>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</si>
  <si>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</si>
  <si>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</si>
  <si>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</si>
  <si>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</si>
  <si>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</si>
  <si>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</si>
  <si>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</si>
  <si>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</si>
  <si>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</si>
  <si>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</si>
  <si>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</si>
  <si>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</si>
  <si>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</si>
  <si>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</si>
  <si>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</si>
  <si>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</si>
  <si>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</si>
  <si>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</si>
  <si>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</si>
  <si>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</si>
  <si>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</si>
  <si>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</si>
  <si>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</si>
  <si>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</si>
  <si>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</si>
  <si>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</si>
  <si>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</si>
  <si>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</si>
  <si>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</si>
  <si>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</si>
  <si>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</si>
  <si>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</si>
  <si>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</si>
  <si>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</si>
  <si>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</si>
  <si>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</si>
  <si>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</si>
  <si>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</si>
  <si>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</si>
  <si>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</si>
  <si>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</si>
  <si>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</si>
  <si>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</si>
  <si>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</si>
  <si>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</si>
  <si>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</si>
  <si>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</si>
  <si>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</si>
  <si>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</si>
  <si>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</si>
  <si>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</si>
  <si>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</si>
  <si>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</si>
  <si>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</si>
  <si>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</si>
  <si>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</si>
  <si>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</si>
  <si>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</si>
  <si>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</si>
  <si>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</si>
  <si>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</si>
  <si>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</si>
  <si>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</si>
  <si>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</si>
  <si>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</si>
  <si>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</si>
  <si>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</si>
  <si>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</si>
  <si>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</si>
  <si>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</si>
  <si>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</si>
  <si>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</si>
  <si>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</si>
  <si>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</si>
  <si>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</si>
  <si>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</si>
  <si>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</si>
  <si>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</si>
  <si>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</si>
  <si>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</si>
  <si>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</si>
  <si>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</si>
  <si>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</si>
  <si>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</si>
  <si>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</si>
  <si>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</si>
  <si>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</si>
  <si>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</si>
  <si>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</si>
  <si>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</si>
  <si>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</si>
  <si>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</si>
  <si>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</si>
  <si>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</si>
  <si>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</si>
  <si>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</si>
  <si>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</si>
  <si>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</si>
  <si>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</si>
  <si>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</si>
  <si>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</si>
  <si>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</si>
  <si>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</si>
  <si>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</si>
  <si>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</si>
  <si>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</si>
  <si>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</si>
  <si>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</si>
  <si>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</si>
  <si>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</si>
  <si>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</si>
  <si>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</si>
  <si>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</si>
  <si>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</si>
  <si>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</si>
  <si>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</si>
  <si>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</si>
  <si>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</si>
  <si>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</si>
  <si>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</si>
  <si>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</si>
  <si>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</si>
  <si>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</si>
  <si>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</si>
  <si>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</si>
  <si>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</si>
  <si>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</si>
  <si>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</si>
  <si>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</si>
  <si>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</si>
  <si>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</si>
  <si>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</si>
  <si>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</si>
  <si>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</si>
  <si>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</si>
  <si>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</si>
  <si>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</si>
  <si>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</si>
  <si>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</si>
  <si>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</si>
  <si>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</si>
  <si>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</si>
  <si>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</si>
  <si>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</si>
  <si>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</si>
  <si>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</si>
  <si>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</si>
  <si>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</si>
  <si>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</si>
  <si>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</si>
  <si>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</si>
  <si>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</si>
  <si>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</si>
  <si>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</si>
  <si>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</si>
  <si>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</si>
  <si>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</si>
  <si>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</si>
  <si>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</si>
  <si>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</si>
  <si>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</si>
  <si>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</si>
  <si>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</si>
  <si>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</si>
  <si>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</si>
  <si>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</si>
  <si>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</si>
  <si>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</si>
  <si>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</si>
  <si>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</si>
  <si>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</si>
  <si>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</si>
  <si>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</si>
  <si>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</si>
  <si>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</si>
  <si>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</si>
  <si>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</si>
  <si>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</si>
  <si>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</si>
  <si>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</si>
  <si>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</si>
  <si>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</si>
  <si>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</si>
  <si>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</si>
  <si>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</si>
  <si>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</si>
  <si>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</si>
  <si>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</si>
  <si>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</si>
  <si>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</si>
  <si>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</si>
  <si>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</si>
  <si>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</si>
  <si>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</si>
  <si>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</si>
  <si>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</si>
  <si>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</si>
  <si>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</si>
  <si>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</si>
  <si>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</si>
  <si>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</si>
  <si>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</si>
  <si>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</si>
  <si>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</si>
  <si>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</si>
  <si>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</si>
  <si>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</si>
  <si>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</si>
  <si>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</si>
  <si>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</si>
  <si>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</si>
  <si>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</si>
  <si>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</si>
  <si>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</si>
  <si>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</si>
  <si>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</si>
  <si>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</si>
  <si>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</si>
  <si>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</si>
  <si>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</si>
  <si>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</si>
  <si>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</si>
  <si>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</si>
  <si>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</si>
  <si>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</si>
  <si>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</si>
  <si>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</si>
  <si>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</si>
  <si>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</si>
  <si>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</si>
  <si>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</si>
  <si>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</si>
  <si>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</si>
  <si>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</si>
  <si>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</si>
  <si>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</si>
  <si>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</si>
  <si>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</si>
  <si>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</si>
  <si>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</si>
  <si>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</si>
  <si>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</si>
  <si>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</si>
  <si>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</si>
  <si>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</si>
  <si>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</si>
  <si>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</si>
  <si>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</si>
  <si>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</si>
  <si>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</si>
  <si>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</si>
  <si>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</si>
  <si>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</si>
  <si>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</si>
  <si>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</si>
  <si>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</si>
  <si>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</si>
  <si>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</si>
  <si>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</si>
  <si>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</si>
  <si>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</si>
  <si>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</si>
  <si>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</si>
  <si>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</si>
  <si>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</si>
  <si>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</si>
  <si>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</si>
  <si>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</si>
  <si>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</si>
  <si>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</si>
  <si>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</si>
  <si>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</si>
  <si>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</si>
  <si>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</si>
  <si>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</si>
  <si>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</si>
  <si>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</si>
  <si>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</si>
  <si>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</si>
  <si>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</si>
  <si>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</si>
  <si>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</si>
  <si>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</si>
  <si>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</si>
  <si>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</si>
  <si>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</si>
  <si>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</si>
  <si>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</si>
  <si>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</si>
  <si>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</si>
  <si>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</si>
  <si>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</si>
  <si>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</si>
  <si>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</si>
  <si>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</si>
  <si>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</si>
  <si>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</si>
  <si>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</si>
  <si>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</si>
  <si>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</si>
  <si>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</si>
  <si>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</si>
  <si>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</si>
  <si>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</si>
  <si>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</si>
  <si>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</si>
  <si>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</si>
  <si>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</si>
  <si>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</si>
  <si>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</si>
  <si>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</si>
  <si>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</si>
  <si>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</si>
  <si>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</si>
  <si>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</si>
  <si>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</si>
  <si>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</si>
  <si>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</si>
  <si>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</si>
  <si>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</si>
  <si>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</si>
  <si>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</si>
  <si>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</si>
  <si>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</si>
  <si>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</si>
  <si>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</si>
  <si>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</si>
  <si>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</si>
  <si>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</si>
  <si>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</si>
  <si>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</si>
  <si>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</si>
  <si>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</si>
  <si>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</si>
  <si>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</si>
  <si>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</si>
  <si>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</si>
  <si>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</si>
  <si>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</si>
  <si>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</si>
  <si>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</si>
  <si>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</si>
  <si>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</si>
  <si>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</si>
  <si>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</si>
  <si>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</si>
  <si>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</si>
  <si>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</si>
  <si>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</si>
  <si>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</si>
  <si>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</si>
  <si>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</si>
  <si>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</si>
  <si>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</si>
  <si>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</si>
  <si>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</si>
  <si>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</si>
  <si>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</si>
  <si>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</si>
  <si>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</si>
  <si>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</si>
  <si>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</si>
  <si>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</si>
  <si>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</si>
  <si>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</si>
  <si>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</si>
  <si>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</si>
  <si>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</si>
  <si>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</si>
  <si>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</si>
  <si>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</si>
  <si>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</si>
  <si>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</si>
  <si>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</si>
  <si>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</si>
  <si>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</si>
  <si>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</si>
  <si>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</si>
  <si>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</si>
  <si>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</si>
  <si>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</si>
  <si>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</si>
  <si>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</si>
  <si>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</si>
  <si>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</si>
  <si>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</si>
  <si>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</si>
  <si>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</si>
  <si>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</si>
  <si>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</si>
  <si>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</si>
  <si>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</si>
  <si>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</si>
  <si>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</si>
  <si>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</si>
  <si>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</si>
  <si>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</si>
  <si>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</si>
  <si>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</si>
  <si>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</si>
  <si>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</si>
  <si>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</si>
  <si>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</si>
  <si>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</si>
  <si>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</si>
  <si>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</si>
  <si>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</si>
  <si>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</si>
  <si>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</si>
  <si>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</si>
  <si>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</si>
  <si>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</si>
  <si>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</si>
  <si>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</si>
  <si>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</si>
  <si>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</si>
  <si>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</si>
  <si>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</si>
  <si>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</si>
  <si>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</si>
  <si>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</si>
  <si>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</si>
  <si>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</si>
  <si>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</si>
  <si>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</si>
  <si>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</si>
  <si>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</si>
  <si>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</si>
  <si>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</si>
  <si>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</si>
  <si>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</si>
  <si>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</si>
  <si>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</si>
  <si>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</si>
  <si>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</si>
  <si>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</si>
  <si>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</si>
  <si>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</si>
  <si>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</si>
  <si>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</si>
  <si>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</si>
  <si>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</si>
  <si>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</si>
  <si>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</si>
  <si>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</si>
  <si>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</si>
  <si>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</si>
  <si>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</si>
  <si>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</si>
  <si>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</si>
  <si>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</si>
  <si>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</si>
  <si>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</si>
  <si>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</si>
  <si>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</si>
  <si>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</si>
  <si>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</si>
  <si>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</si>
  <si>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</si>
  <si>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</si>
  <si>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</si>
  <si>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</si>
  <si>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</si>
  <si>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</si>
  <si>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</si>
  <si>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</si>
  <si>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</si>
  <si>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</si>
  <si>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</si>
  <si>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</si>
  <si>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</si>
  <si>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</si>
  <si>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</si>
  <si>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</si>
  <si>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</si>
  <si>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</si>
  <si>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</si>
  <si>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</si>
  <si>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</si>
  <si>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</si>
  <si>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</si>
  <si>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</si>
  <si>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</si>
  <si>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</si>
  <si>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</si>
  <si>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</si>
  <si>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</si>
  <si>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</si>
  <si>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</si>
  <si>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</si>
  <si>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</si>
  <si>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</si>
  <si>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</si>
  <si>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</si>
  <si>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</si>
  <si>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</si>
  <si>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</si>
  <si>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</si>
  <si>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</si>
  <si>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</si>
  <si>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</si>
  <si>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</si>
  <si>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</si>
  <si>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</si>
  <si>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</si>
  <si>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</si>
  <si>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</si>
  <si>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</si>
  <si>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</si>
  <si>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</si>
  <si>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</si>
  <si>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</si>
  <si>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</si>
  <si>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</si>
  <si>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</si>
  <si>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</si>
  <si>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</si>
  <si>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</si>
  <si>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</si>
  <si>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</si>
  <si>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</si>
  <si>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</si>
  <si>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</si>
  <si>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</si>
  <si>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</si>
  <si>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</si>
  <si>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</si>
  <si>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</si>
  <si>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</si>
  <si>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</si>
  <si>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</si>
  <si>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</si>
  <si>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</si>
  <si>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</si>
  <si>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</si>
  <si>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</si>
  <si>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</si>
  <si>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</si>
  <si>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</si>
  <si>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</si>
  <si>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</si>
  <si>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</si>
  <si>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</si>
  <si>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</si>
  <si>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</si>
  <si>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</si>
  <si>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</si>
  <si>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</si>
  <si>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</si>
  <si>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</si>
  <si>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</si>
  <si>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</si>
  <si>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</si>
  <si>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</si>
  <si>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</si>
  <si>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</si>
  <si>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</si>
  <si>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</si>
  <si>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</si>
  <si>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</si>
  <si>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</si>
  <si>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</si>
  <si>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</si>
  <si>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</si>
  <si>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</si>
  <si>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</si>
  <si>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</si>
  <si>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</si>
  <si>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</si>
  <si>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</si>
  <si>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</si>
  <si>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</si>
  <si>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</si>
  <si>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</si>
  <si>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</si>
  <si>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</si>
  <si>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</si>
  <si>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</si>
  <si>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</si>
  <si>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</si>
  <si>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</si>
  <si>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</si>
  <si>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</si>
  <si>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</si>
  <si>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</si>
  <si>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</si>
  <si>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</si>
  <si>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</si>
  <si>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</si>
  <si>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</si>
  <si>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</si>
  <si>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</si>
  <si>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</si>
  <si>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</si>
  <si>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</si>
  <si>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</si>
  <si>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</si>
  <si>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</si>
  <si>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</si>
  <si>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</si>
  <si>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</si>
  <si>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</si>
  <si>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</si>
  <si>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</si>
  <si>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</si>
  <si>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</si>
  <si>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</si>
  <si>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</si>
  <si>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</si>
  <si>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</si>
  <si>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</si>
  <si>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</si>
  <si>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</si>
  <si>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</si>
  <si>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</si>
  <si>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</si>
  <si>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</si>
  <si>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</si>
  <si>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</si>
  <si>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</si>
  <si>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</si>
  <si>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</si>
  <si>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</si>
  <si>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</si>
  <si>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</si>
  <si>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</si>
  <si>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</si>
  <si>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</si>
  <si>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</si>
  <si>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</si>
  <si>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</si>
  <si>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</si>
  <si>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</si>
  <si>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</si>
  <si>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</si>
  <si>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</si>
  <si>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</si>
  <si>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</si>
  <si>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</si>
  <si>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</si>
  <si>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</si>
  <si>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</si>
  <si>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</si>
  <si>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</si>
  <si>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</si>
  <si>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</si>
  <si>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</si>
  <si>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</si>
  <si>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</si>
  <si>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</si>
  <si>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</si>
  <si>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</si>
  <si>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</si>
  <si>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</si>
  <si>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</si>
  <si>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</si>
  <si>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</si>
  <si>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</si>
  <si>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</si>
  <si>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</si>
  <si>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</si>
  <si>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</si>
  <si>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</si>
  <si>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</si>
  <si>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</si>
  <si>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</si>
  <si>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</si>
  <si>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</si>
  <si>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</si>
  <si>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</si>
  <si>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</si>
  <si>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</si>
  <si>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</si>
  <si>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</si>
  <si>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</si>
  <si>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</si>
  <si>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</si>
  <si>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</si>
  <si>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</si>
  <si>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</si>
  <si>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</si>
  <si>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</si>
  <si>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</si>
  <si>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</si>
  <si>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</si>
  <si>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</si>
  <si>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</si>
  <si>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</si>
  <si>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</si>
  <si>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</si>
  <si>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</si>
  <si>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</si>
  <si>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</si>
  <si>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</si>
  <si>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</si>
  <si>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</si>
  <si>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</si>
  <si>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</si>
  <si>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</si>
  <si>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</si>
  <si>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</si>
  <si>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</si>
  <si>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</si>
  <si>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</si>
  <si>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</si>
  <si>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</si>
  <si>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</si>
  <si>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</si>
  <si>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</si>
  <si>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</si>
  <si>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</si>
  <si>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</si>
  <si>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</si>
  <si>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</si>
  <si>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</si>
  <si>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</si>
  <si>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</si>
  <si>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</si>
  <si>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</si>
  <si>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</si>
  <si>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</si>
  <si>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</si>
  <si>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</si>
  <si>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</si>
  <si>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</si>
  <si>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</si>
  <si>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</si>
  <si>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</si>
  <si>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</si>
  <si>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</si>
  <si>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</si>
  <si>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</si>
  <si>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</si>
  <si>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</si>
  <si>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</si>
  <si>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</si>
  <si>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</si>
  <si>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</si>
  <si>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</si>
  <si>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</si>
  <si>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</si>
  <si>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</si>
  <si>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</si>
  <si>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</si>
  <si>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</si>
  <si>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</si>
  <si>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</si>
  <si>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</si>
  <si>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</si>
  <si>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</si>
  <si>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</si>
  <si>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</si>
  <si>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</si>
  <si>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</si>
  <si>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</si>
  <si>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</si>
  <si>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</si>
  <si>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</si>
  <si>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</si>
  <si>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</si>
  <si>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</si>
  <si>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</si>
  <si>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</si>
  <si>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</si>
  <si>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</si>
  <si>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</si>
  <si>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</si>
  <si>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</si>
  <si>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</si>
  <si>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</si>
  <si>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</si>
  <si>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</si>
  <si>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</si>
  <si>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</si>
  <si>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</si>
  <si>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</si>
  <si>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</si>
  <si>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</si>
  <si>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</si>
  <si>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</si>
  <si>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</si>
  <si>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</si>
  <si>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</si>
  <si>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</si>
  <si>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</si>
  <si>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</si>
  <si>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</si>
  <si>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</si>
  <si>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</si>
  <si>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</si>
  <si>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</si>
  <si>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</si>
  <si>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</si>
  <si>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</si>
  <si>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</si>
  <si>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</si>
  <si>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</si>
  <si>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</si>
  <si>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</si>
  <si>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</si>
  <si>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</si>
  <si>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</si>
  <si>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</si>
  <si>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</si>
  <si>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</si>
  <si>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</si>
  <si>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</si>
  <si>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</si>
  <si>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</si>
  <si>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</si>
  <si>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</si>
  <si>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</si>
  <si>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</si>
  <si>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</si>
  <si>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</si>
  <si>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</si>
  <si>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</si>
  <si>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</si>
  <si>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</si>
  <si>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</si>
  <si>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</si>
  <si>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</si>
  <si>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</si>
  <si>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</si>
  <si>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</si>
  <si>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</si>
  <si>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</si>
  <si>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</si>
  <si>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</si>
  <si>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</si>
  <si>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</si>
  <si>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</si>
  <si>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</si>
  <si>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</si>
  <si>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</si>
  <si>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</si>
  <si>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</si>
  <si>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</si>
  <si>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</si>
  <si>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</si>
  <si>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</si>
  <si>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</si>
  <si>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</si>
  <si>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</si>
  <si>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</si>
  <si>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</si>
  <si>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</si>
  <si>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</si>
  <si>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</si>
  <si>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</si>
  <si>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</si>
  <si>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</si>
  <si>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</si>
  <si>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</si>
  <si>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</si>
  <si>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</si>
  <si>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</si>
  <si>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</si>
  <si>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</si>
  <si>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</si>
  <si>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</si>
  <si>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</si>
  <si>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</si>
  <si>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</si>
  <si>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</si>
  <si>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</si>
  <si>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</si>
  <si>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</si>
  <si>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</si>
  <si>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</si>
  <si>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</si>
  <si>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</si>
  <si>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</si>
  <si>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</si>
  <si>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</si>
  <si>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</si>
  <si>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</si>
  <si>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</si>
  <si>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</si>
  <si>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</si>
  <si>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</si>
  <si>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</si>
  <si>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</si>
  <si>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</si>
  <si>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</si>
  <si>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</si>
  <si>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</si>
  <si>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</si>
  <si>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</si>
  <si>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</si>
  <si>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</si>
  <si>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</si>
  <si>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</si>
  <si>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</si>
  <si>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</si>
  <si>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</si>
  <si>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</si>
  <si>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</si>
  <si>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</si>
  <si>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</si>
  <si>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</si>
  <si>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</si>
  <si>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</si>
  <si>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</si>
  <si>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</si>
  <si>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</si>
  <si>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</si>
  <si>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</si>
  <si>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</si>
  <si>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</si>
  <si>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</si>
  <si>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</si>
  <si>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</si>
  <si>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</si>
  <si>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</si>
  <si>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</si>
  <si>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</si>
  <si>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</si>
  <si>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</si>
  <si>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</si>
  <si>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</si>
  <si>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</si>
  <si>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</si>
  <si>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</si>
  <si>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</si>
  <si>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</si>
  <si>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</si>
  <si>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</si>
  <si>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</si>
  <si>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</si>
  <si>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</si>
  <si>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</si>
  <si>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</si>
  <si>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</si>
  <si>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</si>
  <si>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</si>
  <si>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</si>
  <si>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</si>
  <si>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</si>
  <si>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</si>
  <si>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</si>
  <si>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</si>
  <si>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</si>
  <si>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</si>
  <si>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</si>
  <si>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</si>
  <si>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</si>
  <si>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</si>
  <si>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</si>
  <si>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</si>
  <si>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</si>
  <si>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</si>
  <si>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</si>
  <si>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</si>
  <si>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</si>
  <si>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</si>
  <si>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</si>
  <si>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</si>
  <si>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</si>
  <si>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</si>
  <si>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</si>
  <si>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</si>
  <si>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</si>
  <si>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</si>
  <si>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</si>
  <si>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</si>
  <si>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</si>
  <si>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</si>
  <si>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</si>
  <si>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</si>
  <si>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</si>
  <si>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</si>
  <si>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</si>
  <si>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</si>
  <si>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</si>
  <si>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</si>
  <si>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</si>
  <si>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</si>
  <si>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</si>
  <si>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</si>
  <si>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</si>
  <si>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</si>
  <si>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</si>
  <si>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</si>
  <si>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</si>
  <si>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</si>
  <si>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</si>
  <si>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</si>
  <si>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</si>
  <si>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</si>
  <si>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</si>
  <si>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</si>
  <si>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</si>
  <si>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</si>
  <si>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</si>
  <si>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</si>
  <si>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</si>
  <si>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</si>
  <si>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</si>
  <si>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</si>
  <si>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</si>
  <si>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</si>
  <si>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</si>
  <si>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</si>
  <si>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</si>
  <si>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</si>
  <si>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</si>
  <si>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</si>
  <si>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</si>
  <si>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</si>
  <si>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</si>
  <si>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</si>
  <si>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</si>
  <si>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</si>
  <si>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</si>
  <si>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</si>
  <si>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</si>
  <si>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</si>
  <si>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</si>
  <si>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</si>
  <si>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</si>
  <si>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</si>
  <si>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</si>
  <si>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</si>
  <si>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</si>
  <si>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核定资产</t>
  </si>
  <si>
    <t>房地产市场价值</t>
  </si>
  <si>
    <t>北京市</t>
  </si>
  <si>
    <t>自然人</t>
  </si>
  <si>
    <t>区县</t>
  </si>
  <si>
    <t>房屋坐落</t>
  </si>
  <si>
    <t>物业名称</t>
  </si>
  <si>
    <t>产权性质</t>
  </si>
  <si>
    <t>建筑面积</t>
  </si>
  <si>
    <t>房屋用途</t>
  </si>
  <si>
    <t>总层数</t>
  </si>
  <si>
    <t>所在楼层</t>
  </si>
  <si>
    <t>产权年代</t>
  </si>
  <si>
    <t>现场年代</t>
  </si>
  <si>
    <t>成交单价</t>
  </si>
  <si>
    <t>评估单价</t>
  </si>
  <si>
    <t>评估总价</t>
  </si>
  <si>
    <t>估价时点</t>
  </si>
  <si>
    <t>住宅</t>
  </si>
  <si>
    <t>商品房</t>
  </si>
  <si>
    <t>地上</t>
  </si>
  <si>
    <t>是</t>
  </si>
  <si>
    <t>住宅</t>
    <phoneticPr fontId="7" type="noConversion"/>
  </si>
  <si>
    <t>住宅</t>
    <phoneticPr fontId="3" type="noConversion"/>
  </si>
  <si>
    <t>成新度</t>
  </si>
  <si>
    <t>收益法 (元)</t>
  </si>
  <si>
    <t>利息：取LPR加浮动点数</t>
  </si>
  <si>
    <t>押一</t>
  </si>
  <si>
    <t>钢混</t>
  </si>
  <si>
    <t>非生产用房</t>
  </si>
  <si>
    <t>否</t>
  </si>
  <si>
    <t>比较法</t>
  </si>
  <si>
    <t>正常</t>
  </si>
  <si>
    <t>住宅</t>
    <phoneticPr fontId="24" type="noConversion"/>
  </si>
  <si>
    <t>南北</t>
    <phoneticPr fontId="134" type="noConversion"/>
  </si>
  <si>
    <t>南</t>
    <phoneticPr fontId="134" type="noConversion"/>
  </si>
  <si>
    <t>东南</t>
    <phoneticPr fontId="134" type="noConversion"/>
  </si>
  <si>
    <t>西南</t>
    <phoneticPr fontId="134" type="noConversion"/>
  </si>
  <si>
    <t>东西</t>
    <phoneticPr fontId="134" type="noConversion"/>
  </si>
  <si>
    <t>东</t>
    <phoneticPr fontId="134" type="noConversion"/>
  </si>
  <si>
    <t>西</t>
    <phoneticPr fontId="134" type="noConversion"/>
  </si>
  <si>
    <t>东北</t>
    <phoneticPr fontId="134" type="noConversion"/>
  </si>
  <si>
    <t>西北</t>
    <phoneticPr fontId="134" type="noConversion"/>
  </si>
  <si>
    <t>北</t>
    <phoneticPr fontId="134" type="noConversion"/>
  </si>
  <si>
    <t>高速路</t>
  </si>
  <si>
    <t>快速路</t>
  </si>
  <si>
    <t>城市次干道</t>
    <phoneticPr fontId="3" type="noConversion"/>
  </si>
  <si>
    <t>支路</t>
  </si>
  <si>
    <t>楼层</t>
    <phoneticPr fontId="24" type="noConversion"/>
  </si>
  <si>
    <t>道路</t>
    <phoneticPr fontId="24" type="noConversion"/>
  </si>
  <si>
    <t>多层板楼</t>
  </si>
  <si>
    <t>高层板楼</t>
  </si>
  <si>
    <t>板塔结合</t>
  </si>
  <si>
    <t>塔楼</t>
  </si>
  <si>
    <t>钢结构</t>
  </si>
  <si>
    <t>砖混</t>
  </si>
  <si>
    <t>混合</t>
  </si>
  <si>
    <t>框架</t>
  </si>
  <si>
    <t>较好</t>
    <phoneticPr fontId="3" type="noConversion"/>
  </si>
  <si>
    <t>精装修</t>
    <phoneticPr fontId="3" type="noConversion"/>
  </si>
  <si>
    <t>普通装修</t>
    <phoneticPr fontId="3" type="noConversion"/>
  </si>
  <si>
    <t>简单装修</t>
    <phoneticPr fontId="3" type="noConversion"/>
  </si>
  <si>
    <t>毛坯</t>
    <phoneticPr fontId="3" type="noConversion"/>
  </si>
  <si>
    <t>专业</t>
  </si>
  <si>
    <t>普通</t>
  </si>
  <si>
    <t>单位自管</t>
  </si>
  <si>
    <t>居委会</t>
  </si>
  <si>
    <t>七通</t>
  </si>
  <si>
    <t>六通</t>
  </si>
  <si>
    <t>五通</t>
  </si>
  <si>
    <t>四通</t>
  </si>
  <si>
    <t>三通</t>
  </si>
  <si>
    <t>复式</t>
    <phoneticPr fontId="3" type="noConversion"/>
  </si>
  <si>
    <t>平层</t>
    <phoneticPr fontId="3" type="noConversion"/>
  </si>
  <si>
    <t>精装修</t>
    <phoneticPr fontId="3" type="noConversion"/>
  </si>
  <si>
    <t>普通装修</t>
    <phoneticPr fontId="3" type="noConversion"/>
  </si>
  <si>
    <t>简单装修</t>
    <phoneticPr fontId="3" type="noConversion"/>
  </si>
  <si>
    <t>毛坯</t>
    <phoneticPr fontId="3" type="noConversion"/>
  </si>
  <si>
    <t>城市主干道</t>
    <phoneticPr fontId="24" type="noConversion"/>
  </si>
  <si>
    <t>普通装修</t>
  </si>
  <si>
    <t>公寓</t>
    <phoneticPr fontId="24" type="noConversion"/>
  </si>
  <si>
    <t>较好</t>
  </si>
  <si>
    <t>平层</t>
  </si>
  <si>
    <t>一般</t>
  </si>
  <si>
    <t>单套模式</t>
  </si>
  <si>
    <t>售价</t>
  </si>
  <si>
    <t>比较法-住宅</t>
  </si>
  <si>
    <t>建筑面积</t>
    <phoneticPr fontId="134" type="noConversion"/>
  </si>
  <si>
    <t>评估总价</t>
    <phoneticPr fontId="134" type="noConversion"/>
  </si>
  <si>
    <t>评估单价</t>
    <phoneticPr fontId="134" type="noConversion"/>
  </si>
  <si>
    <t>成交总价</t>
    <phoneticPr fontId="134" type="noConversion"/>
  </si>
  <si>
    <t>成交单价</t>
    <phoneticPr fontId="134" type="noConversion"/>
  </si>
  <si>
    <t>成交时间</t>
    <phoneticPr fontId="134" type="noConversion"/>
  </si>
  <si>
    <t>建筑面积</t>
    <phoneticPr fontId="134" type="noConversion"/>
  </si>
  <si>
    <t>月租金</t>
    <phoneticPr fontId="134" type="noConversion"/>
  </si>
  <si>
    <t>租金单价</t>
    <phoneticPr fontId="134" type="noConversion"/>
  </si>
  <si>
    <t>https://paimai.jd.com/299236047</t>
    <phoneticPr fontId="134" type="noConversion"/>
  </si>
  <si>
    <t>https://paimai.jd.com/302378465</t>
    <phoneticPr fontId="134" type="noConversion"/>
  </si>
  <si>
    <t>https://paimai.jd.com/308053807</t>
    <phoneticPr fontId="134" type="noConversion"/>
  </si>
  <si>
    <t>https://paimai.jd.com/289100617</t>
    <phoneticPr fontId="134" type="noConversion"/>
  </si>
  <si>
    <t>https://sf-item.taobao.com/sf_item/844654171564.htm?spm=a213w.7398504.paiList.1.2303c54eyvRD3z&amp;track_id=0608fbea-1a95-452b-82fb-040a87832368</t>
    <phoneticPr fontId="134" type="noConversion"/>
  </si>
  <si>
    <t xml:space="preserve"> </t>
    <phoneticPr fontId="24" type="noConversion"/>
  </si>
  <si>
    <r>
      <rPr>
        <sz val="11"/>
        <color indexed="8"/>
        <rFont val="宋体"/>
        <family val="3"/>
        <charset val="134"/>
      </rPr>
      <t>城市主干道</t>
    </r>
    <r>
      <rPr>
        <sz val="11"/>
        <color indexed="8"/>
        <rFont val="Arial"/>
        <family val="2"/>
      </rPr>
      <t>-</t>
    </r>
    <r>
      <rPr>
        <sz val="11"/>
        <color indexed="8"/>
        <rFont val="宋体"/>
        <family val="3"/>
        <charset val="134"/>
      </rPr>
      <t>长于北大街</t>
    </r>
    <phoneticPr fontId="24" type="noConversion"/>
  </si>
  <si>
    <r>
      <rPr>
        <sz val="11"/>
        <rFont val="宋体"/>
        <family val="3"/>
        <charset val="134"/>
      </rPr>
      <t>城市支路</t>
    </r>
    <r>
      <rPr>
        <sz val="11"/>
        <rFont val="Arial"/>
        <family val="2"/>
      </rPr>
      <t>-</t>
    </r>
    <r>
      <rPr>
        <sz val="11"/>
        <rFont val="宋体"/>
        <family val="3"/>
        <charset val="134"/>
      </rPr>
      <t>长兴路</t>
    </r>
    <phoneticPr fontId="24" type="noConversion"/>
  </si>
  <si>
    <t>北京市朝阳区</t>
  </si>
  <si>
    <t>慧忠北里217号楼23层2302</t>
  </si>
  <si>
    <t>慧忠北里第二社区</t>
  </si>
  <si>
    <t>慧忠北里118号楼9至10层6门901</t>
  </si>
  <si>
    <t>房改房（成本价）</t>
  </si>
  <si>
    <t>10（-1）</t>
  </si>
  <si>
    <t>慧忠北里201号楼14层6单元1402</t>
  </si>
  <si>
    <t>按经济适用住房管理</t>
  </si>
  <si>
    <t>16（-02）</t>
  </si>
  <si>
    <t>慧忠北里201号楼1层6门102</t>
  </si>
  <si>
    <t>慧忠北里122号楼2层8单元201</t>
  </si>
  <si>
    <t>慧忠北里117号楼2层4门202</t>
  </si>
  <si>
    <t>慧忠北里122号楼8层1门801</t>
  </si>
  <si>
    <t>慧忠北里213号楼6至7层1单元602</t>
  </si>
  <si>
    <t>慧忠北里113号楼3层3单元302</t>
  </si>
  <si>
    <t>慧忠北里201号楼1层8单元102</t>
  </si>
  <si>
    <t>慧忠北里122号楼4层3-401</t>
  </si>
  <si>
    <t>慧忠北里122号楼12层6-1201</t>
  </si>
  <si>
    <t>慧忠北里122号楼8层2单元802</t>
  </si>
  <si>
    <t>2024年11月3</t>
  </si>
  <si>
    <t>慧忠北里201号楼9层5门901</t>
  </si>
  <si>
    <t>慧忠北里201号楼12层1门1201</t>
  </si>
  <si>
    <t>慧忠北里201号楼16层1单元1601</t>
  </si>
  <si>
    <t>16（-2）</t>
  </si>
  <si>
    <t>慧忠北里201号楼10层3单元1002</t>
  </si>
  <si>
    <t>慧忠北里122号楼4层2-403</t>
  </si>
  <si>
    <t>南</t>
  </si>
  <si>
    <t>南</t>
    <phoneticPr fontId="134" type="noConversion"/>
  </si>
  <si>
    <t>南</t>
    <phoneticPr fontId="134" type="noConversion"/>
  </si>
  <si>
    <t>普通装修</t>
    <phoneticPr fontId="134" type="noConversion"/>
  </si>
  <si>
    <t>东</t>
  </si>
  <si>
    <t>东</t>
    <phoneticPr fontId="134" type="noConversion"/>
  </si>
  <si>
    <r>
      <t>14/16</t>
    </r>
    <r>
      <rPr>
        <sz val="11"/>
        <color indexed="8"/>
        <rFont val="宋体"/>
        <family val="3"/>
        <charset val="134"/>
      </rPr>
      <t>（高楼层）</t>
    </r>
    <phoneticPr fontId="24" type="noConversion"/>
  </si>
  <si>
    <r>
      <t>9/16</t>
    </r>
    <r>
      <rPr>
        <sz val="11"/>
        <color indexed="8"/>
        <rFont val="宋体"/>
        <family val="3"/>
        <charset val="134"/>
      </rPr>
      <t>（中楼层）</t>
    </r>
    <phoneticPr fontId="24" type="noConversion"/>
  </si>
  <si>
    <r>
      <t>16/16</t>
    </r>
    <r>
      <rPr>
        <sz val="11"/>
        <color indexed="8"/>
        <rFont val="宋体"/>
        <family val="3"/>
        <charset val="134"/>
      </rPr>
      <t>（顶层）</t>
    </r>
    <phoneticPr fontId="24" type="noConversion"/>
  </si>
  <si>
    <r>
      <t>12/16</t>
    </r>
    <r>
      <rPr>
        <sz val="11"/>
        <color indexed="8"/>
        <rFont val="宋体"/>
        <family val="3"/>
        <charset val="134"/>
      </rPr>
      <t>（高楼层）</t>
    </r>
    <phoneticPr fontId="24" type="noConversion"/>
  </si>
  <si>
    <t>城市主干道-科荟路</t>
    <phoneticPr fontId="24" type="noConversion"/>
  </si>
  <si>
    <r>
      <t>9/16</t>
    </r>
    <r>
      <rPr>
        <sz val="11"/>
        <color indexed="8"/>
        <rFont val="宋体"/>
        <family val="3"/>
        <charset val="134"/>
      </rPr>
      <t>（中楼层）</t>
    </r>
    <phoneticPr fontId="24" type="noConversion"/>
  </si>
  <si>
    <t>根据北京市相关房地产政策，已购拆迁回购住宅用房产权按经济适用房产权管理，出售则按《北京市已购公有住房上市出售实施办法》[京政发【2003】3号]执行。产权人出售拆迁回购住宅不受自用年限的制约，只需由购买人按成交额的3%补交土地出让金,即应交土地出让金1324元人民币（即12343元×3%=1324元），具体结算金额以相关部门核定为准。本报告估价结果已扣除上述款项，在此特提示报告使用者注意。</t>
  </si>
  <si>
    <t>商品房价格</t>
    <phoneticPr fontId="8" type="noConversion"/>
  </si>
  <si>
    <t>出让金</t>
    <phoneticPr fontId="8" type="noConversion"/>
  </si>
  <si>
    <t>经适房</t>
    <phoneticPr fontId="8" type="noConversion"/>
  </si>
  <si>
    <t>单价</t>
    <phoneticPr fontId="8" type="noConversion"/>
  </si>
  <si>
    <t>根据北京市相关房地产政策，已购拆迁回购住宅用房产权按经济适用房产权管理，出售则按《北京市已购公有住房上市出售实施办法》[京政发【2003】3号]执行。产权人出售拆迁回购住宅不受自用年限的制约，只需由购买人按成交额的3%补交土地出让金,即应交土地出让金1324元人民币（即12343元×3%=1324元），具体结算金额以相关部门核定为准。本报告估价结果已扣除上述款项，在此特提示报告使用者注意。</t>
    <phoneticPr fontId="134" type="noConversion"/>
  </si>
  <si>
    <t>采光</t>
    <phoneticPr fontId="24" type="noConversion"/>
  </si>
  <si>
    <t>有遮挡</t>
    <phoneticPr fontId="24" type="noConversion"/>
  </si>
  <si>
    <t>无遮挡</t>
    <phoneticPr fontId="24" type="noConversion"/>
  </si>
  <si>
    <t>无遮挡</t>
    <phoneticPr fontId="24" type="noConversion"/>
  </si>
  <si>
    <t>有遮挡</t>
    <phoneticPr fontId="24" type="noConversion"/>
  </si>
  <si>
    <t>无遮挡</t>
    <phoneticPr fontId="24" type="noConversion"/>
  </si>
  <si>
    <t>慧忠北里201号楼12层1门1201</t>
    <phoneticPr fontId="134" type="noConversion"/>
  </si>
  <si>
    <t>慧忠北里第二社区</t>
    <phoneticPr fontId="134" type="noConversion"/>
  </si>
  <si>
    <t>https://paimai.jd.com/307227466</t>
    <phoneticPr fontId="134" type="noConversion"/>
  </si>
  <si>
    <t>慧忠北里201号楼9层5门901</t>
    <phoneticPr fontId="134" type="noConversion"/>
  </si>
  <si>
    <t>慧忠北里201号楼16层1单元1601</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</si>
</sst>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8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sz val="7"/>
      <color rgb="FF000000"/>
      <name val="Microsoft YaHei"/>
      <family val="2"/>
      <charset val="134"/>
    </font>
    <font>
      <sz val="7"/>
      <color rgb="FF333333"/>
      <name val="Microsoft YaHei"/>
      <family val="2"/>
      <charset val="134"/>
    </font>
    <font>
      <sz val="11"/>
      <color rgb="FFFF0000"/>
      <name val="宋体"/>
      <family val="3"/>
      <charset val="134"/>
      <scheme val="minor"/>
    </font>
    <font>
      <sz val="7"/>
      <color rgb="FFFF0000"/>
      <name val="Microsoft YaHei"/>
      <family val="2"/>
      <charset val="134"/>
    </font>
    <font>
      <sz val="11"/>
      <color rgb="FF000000"/>
      <name val="宋体"/>
      <family val="3"/>
      <charset val="134"/>
    </font>
    <font>
      <sz val="11"/>
      <name val="楷体_GB2312"/>
      <family val="3"/>
      <charset val="134"/>
    </font>
    <font>
      <u/>
      <sz val="11"/>
      <color theme="10"/>
      <name val="宋体"/>
      <family val="3"/>
      <charset val="134"/>
      <scheme val="minor"/>
    </font>
    <font>
      <sz val="7"/>
      <color theme="1"/>
      <name val="Microsoft YaHei"/>
      <family val="2"/>
      <charset val="134"/>
    </font>
    <font>
      <sz val="12"/>
      <color theme="1"/>
      <name val="楷体_GB2312"/>
      <charset val="134"/>
    </font>
    <font>
      <sz val="11"/>
      <color theme="1"/>
      <name val="楷体_GB2312"/>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DFDC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medium">
        <color rgb="FFCCCCCC"/>
      </left>
      <right style="medium">
        <color rgb="FFCCCCCC"/>
      </right>
      <top style="medium">
        <color rgb="FFCCCCCC"/>
      </top>
      <bottom style="medium">
        <color rgb="FFCCCCCC"/>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8" fillId="0" borderId="0" applyNumberFormat="0" applyFill="0" applyBorder="0" applyAlignment="0" applyProtection="0">
      <alignment vertical="center"/>
    </xf>
  </cellStyleXfs>
  <cellXfs count="35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0" fontId="273" fillId="22" borderId="176" xfId="0" applyFont="1" applyFill="1" applyBorder="1" applyAlignment="1">
      <alignment horizontal="center" vertical="center" wrapText="1"/>
    </xf>
    <xf numFmtId="31" fontId="273" fillId="22" borderId="176" xfId="0" applyNumberFormat="1" applyFont="1" applyFill="1" applyBorder="1" applyAlignment="1">
      <alignment horizontal="center" vertical="center" wrapText="1"/>
    </xf>
    <xf numFmtId="177" fontId="128" fillId="2" borderId="5" xfId="1" applyNumberFormat="1" applyFont="1" applyFill="1" applyBorder="1" applyProtection="1">
      <alignment vertical="center"/>
      <protection locked="0"/>
    </xf>
    <xf numFmtId="9" fontId="47" fillId="12" borderId="0" xfId="17" applyFont="1" applyFill="1" applyAlignment="1" applyProtection="1">
      <alignment vertical="center"/>
      <protection locked="0"/>
    </xf>
    <xf numFmtId="9" fontId="47" fillId="12" borderId="0" xfId="0" applyNumberFormat="1" applyFont="1" applyFill="1" applyProtection="1">
      <alignment vertical="center"/>
      <protection locked="0"/>
    </xf>
    <xf numFmtId="182" fontId="47" fillId="12" borderId="0" xfId="0" applyNumberFormat="1" applyFont="1" applyFill="1" applyProtection="1">
      <alignment vertical="center"/>
      <protection locked="0"/>
    </xf>
    <xf numFmtId="0" fontId="275" fillId="22" borderId="176" xfId="0" applyFont="1" applyFill="1" applyBorder="1" applyAlignment="1">
      <alignment horizontal="center" vertical="center" wrapText="1"/>
    </xf>
    <xf numFmtId="31" fontId="275" fillId="22" borderId="176" xfId="0" applyNumberFormat="1" applyFont="1" applyFill="1" applyBorder="1" applyAlignment="1">
      <alignment horizontal="center" vertical="center" wrapText="1"/>
    </xf>
    <xf numFmtId="0" fontId="274" fillId="0" borderId="0" xfId="0" applyFont="1">
      <alignment vertical="center"/>
    </xf>
    <xf numFmtId="0" fontId="128" fillId="0" borderId="51" xfId="0" applyFont="1" applyBorder="1" applyAlignment="1" applyProtection="1">
      <alignment horizontal="center" vertical="center" wrapText="1"/>
      <protection locked="0"/>
    </xf>
    <xf numFmtId="0" fontId="276"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128" fillId="0" borderId="0" xfId="0" applyFont="1" applyAlignment="1" applyProtection="1">
      <alignment horizontal="center" vertical="center"/>
      <protection locked="0"/>
    </xf>
    <xf numFmtId="0" fontId="22" fillId="0" borderId="44" xfId="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277" fillId="0" borderId="9" xfId="0" applyFont="1" applyBorder="1" applyAlignment="1" applyProtection="1">
      <alignment horizontal="center" vertical="center" wrapText="1"/>
      <protection locked="0"/>
    </xf>
    <xf numFmtId="0" fontId="277" fillId="0" borderId="30" xfId="0" applyFont="1" applyBorder="1" applyAlignment="1" applyProtection="1">
      <alignment horizontal="center" vertical="center" wrapText="1"/>
      <protection locked="0"/>
    </xf>
    <xf numFmtId="0" fontId="94" fillId="0" borderId="30" xfId="0" applyFont="1" applyBorder="1" applyAlignment="1" applyProtection="1">
      <alignment horizontal="center" vertical="center" wrapText="1"/>
      <protection locked="0"/>
    </xf>
    <xf numFmtId="0" fontId="277" fillId="0" borderId="44"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14" fontId="0" fillId="0" borderId="0" xfId="0" applyNumberFormat="1">
      <alignment vertical="center"/>
    </xf>
    <xf numFmtId="0" fontId="278" fillId="0" borderId="0" xfId="19">
      <alignment vertical="center"/>
    </xf>
    <xf numFmtId="0" fontId="128" fillId="0" borderId="37" xfId="0" applyFont="1" applyBorder="1" applyAlignment="1" applyProtection="1">
      <alignment horizontal="center" vertical="center" wrapText="1"/>
      <protection locked="0"/>
    </xf>
    <xf numFmtId="0" fontId="0" fillId="5" borderId="0" xfId="0" applyFill="1">
      <alignment vertical="center"/>
    </xf>
    <xf numFmtId="0" fontId="272" fillId="22" borderId="176" xfId="0" applyFont="1" applyFill="1" applyBorder="1" applyAlignment="1">
      <alignment horizontal="center" vertical="center" wrapText="1"/>
    </xf>
    <xf numFmtId="0" fontId="95" fillId="5" borderId="0" xfId="0" applyFont="1" applyFill="1">
      <alignment vertical="center"/>
    </xf>
    <xf numFmtId="14" fontId="0" fillId="5" borderId="0" xfId="0" applyNumberFormat="1" applyFill="1">
      <alignment vertical="center"/>
    </xf>
    <xf numFmtId="58" fontId="273" fillId="22" borderId="176" xfId="0" applyNumberFormat="1" applyFont="1" applyFill="1" applyBorder="1" applyAlignment="1">
      <alignment horizontal="center" vertical="center" wrapText="1"/>
    </xf>
    <xf numFmtId="0" fontId="279" fillId="22" borderId="176" xfId="0" applyFont="1" applyFill="1" applyBorder="1" applyAlignment="1">
      <alignment horizontal="center" vertical="center" wrapText="1"/>
    </xf>
    <xf numFmtId="31" fontId="279" fillId="22" borderId="176" xfId="0" applyNumberFormat="1" applyFont="1" applyFill="1" applyBorder="1" applyAlignment="1">
      <alignment horizontal="center" vertical="center" wrapText="1"/>
    </xf>
    <xf numFmtId="58" fontId="279" fillId="22" borderId="176" xfId="0" applyNumberFormat="1" applyFont="1" applyFill="1" applyBorder="1" applyAlignment="1">
      <alignment horizontal="center" vertical="center" wrapText="1"/>
    </xf>
    <xf numFmtId="0" fontId="274" fillId="8" borderId="0" xfId="0" applyFont="1" applyFill="1">
      <alignment vertical="center"/>
    </xf>
    <xf numFmtId="0" fontId="280" fillId="0" borderId="0" xfId="0" applyFont="1" applyAlignment="1">
      <alignment horizontal="left" vertical="center" indent="2"/>
    </xf>
    <xf numFmtId="0" fontId="77" fillId="6" borderId="0" xfId="0" applyFont="1" applyFill="1" applyProtection="1">
      <alignmen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281" fillId="0" borderId="0" xfId="0" applyFont="1" applyAlignment="1">
      <alignment horizontal="center"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20">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9" builtinId="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ndense val="0"/>
        <extend val="0"/>
        <color indexed="10"/>
      </font>
      <fill>
        <patternFill>
          <fgColor indexed="64"/>
          <bgColor indexed="13"/>
        </patternFill>
      </fill>
    </dxf>
    <dxf>
      <font>
        <b val="0"/>
        <condense val="0"/>
        <extend val="0"/>
        <u/>
        <color indexed="10"/>
      </font>
    </dxf>
    <dxf>
      <font>
        <u/>
        <color rgb="FFFF0000"/>
      </font>
    </dxf>
    <dxf>
      <font>
        <color rgb="FFFF0000"/>
      </font>
    </dxf>
    <dxf>
      <font>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53340</xdr:rowOff>
    </xdr:from>
    <xdr:to>
      <xdr:col>12</xdr:col>
      <xdr:colOff>182880</xdr:colOff>
      <xdr:row>48</xdr:row>
      <xdr:rowOff>166240</xdr:rowOff>
    </xdr:to>
    <xdr:pic>
      <xdr:nvPicPr>
        <xdr:cNvPr id="2" name="图片 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1"/>
        <a:stretch>
          <a:fillRect/>
        </a:stretch>
      </xdr:blipFill>
      <xdr:spPr>
        <a:xfrm>
          <a:off x="0" y="1516380"/>
          <a:ext cx="7498080" cy="7390000"/>
        </a:xfrm>
        <a:prstGeom prst="rect">
          <a:avLst/>
        </a:prstGeom>
      </xdr:spPr>
    </xdr:pic>
    <xdr:clientData/>
  </xdr:twoCellAnchor>
  <xdr:twoCellAnchor editAs="oneCell">
    <xdr:from>
      <xdr:col>0</xdr:col>
      <xdr:colOff>0</xdr:colOff>
      <xdr:row>48</xdr:row>
      <xdr:rowOff>180618</xdr:rowOff>
    </xdr:from>
    <xdr:to>
      <xdr:col>12</xdr:col>
      <xdr:colOff>160020</xdr:colOff>
      <xdr:row>89</xdr:row>
      <xdr:rowOff>137735</xdr:rowOff>
    </xdr:to>
    <xdr:pic>
      <xdr:nvPicPr>
        <xdr:cNvPr id="3" name="图片 2">
          <a:extLst>
            <a:ext uri="{FF2B5EF4-FFF2-40B4-BE49-F238E27FC236}">
              <a16:creationId xmlns:a16="http://schemas.microsoft.com/office/drawing/2014/main" xmlns="" id="{00000000-0008-0000-1A00-000003000000}"/>
            </a:ext>
          </a:extLst>
        </xdr:cNvPr>
        <xdr:cNvPicPr>
          <a:picLocks noChangeAspect="1"/>
        </xdr:cNvPicPr>
      </xdr:nvPicPr>
      <xdr:blipFill>
        <a:blip xmlns:r="http://schemas.openxmlformats.org/officeDocument/2006/relationships" r:embed="rId2"/>
        <a:stretch>
          <a:fillRect/>
        </a:stretch>
      </xdr:blipFill>
      <xdr:spPr>
        <a:xfrm>
          <a:off x="0" y="8920758"/>
          <a:ext cx="7475220" cy="7455197"/>
        </a:xfrm>
        <a:prstGeom prst="rect">
          <a:avLst/>
        </a:prstGeom>
      </xdr:spPr>
    </xdr:pic>
    <xdr:clientData/>
  </xdr:twoCellAnchor>
  <xdr:twoCellAnchor editAs="oneCell">
    <xdr:from>
      <xdr:col>0</xdr:col>
      <xdr:colOff>0</xdr:colOff>
      <xdr:row>0</xdr:row>
      <xdr:rowOff>0</xdr:rowOff>
    </xdr:from>
    <xdr:to>
      <xdr:col>12</xdr:col>
      <xdr:colOff>67712</xdr:colOff>
      <xdr:row>7</xdr:row>
      <xdr:rowOff>68580</xdr:rowOff>
    </xdr:to>
    <xdr:pic>
      <xdr:nvPicPr>
        <xdr:cNvPr id="4" name="图片 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3"/>
        <a:stretch>
          <a:fillRect/>
        </a:stretch>
      </xdr:blipFill>
      <xdr:spPr>
        <a:xfrm>
          <a:off x="0" y="0"/>
          <a:ext cx="7382912" cy="1348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335280</xdr:colOff>
      <xdr:row>8</xdr:row>
      <xdr:rowOff>123474</xdr:rowOff>
    </xdr:to>
    <xdr:pic>
      <xdr:nvPicPr>
        <xdr:cNvPr id="4" name="图片 3">
          <a:extLst>
            <a:ext uri="{FF2B5EF4-FFF2-40B4-BE49-F238E27FC236}">
              <a16:creationId xmlns:a16="http://schemas.microsoft.com/office/drawing/2014/main" xmlns="" id="{00000000-0008-0000-1C00-000004000000}"/>
            </a:ext>
          </a:extLst>
        </xdr:cNvPr>
        <xdr:cNvPicPr>
          <a:picLocks noChangeAspect="1"/>
        </xdr:cNvPicPr>
      </xdr:nvPicPr>
      <xdr:blipFill>
        <a:blip xmlns:r="http://schemas.openxmlformats.org/officeDocument/2006/relationships" r:embed="rId1"/>
        <a:stretch>
          <a:fillRect/>
        </a:stretch>
      </xdr:blipFill>
      <xdr:spPr>
        <a:xfrm>
          <a:off x="0" y="0"/>
          <a:ext cx="7040880" cy="1586514"/>
        </a:xfrm>
        <a:prstGeom prst="rect">
          <a:avLst/>
        </a:prstGeom>
      </xdr:spPr>
    </xdr:pic>
    <xdr:clientData/>
  </xdr:twoCellAnchor>
  <xdr:twoCellAnchor editAs="oneCell">
    <xdr:from>
      <xdr:col>0</xdr:col>
      <xdr:colOff>0</xdr:colOff>
      <xdr:row>7</xdr:row>
      <xdr:rowOff>137160</xdr:rowOff>
    </xdr:from>
    <xdr:to>
      <xdr:col>11</xdr:col>
      <xdr:colOff>207585</xdr:colOff>
      <xdr:row>16</xdr:row>
      <xdr:rowOff>30175</xdr:rowOff>
    </xdr:to>
    <xdr:pic>
      <xdr:nvPicPr>
        <xdr:cNvPr id="5" name="图片 4">
          <a:extLst>
            <a:ext uri="{FF2B5EF4-FFF2-40B4-BE49-F238E27FC236}">
              <a16:creationId xmlns:a16="http://schemas.microsoft.com/office/drawing/2014/main" xmlns="" id="{00000000-0008-0000-1C00-000005000000}"/>
            </a:ext>
          </a:extLst>
        </xdr:cNvPr>
        <xdr:cNvPicPr>
          <a:picLocks noChangeAspect="1"/>
        </xdr:cNvPicPr>
      </xdr:nvPicPr>
      <xdr:blipFill>
        <a:blip xmlns:r="http://schemas.openxmlformats.org/officeDocument/2006/relationships" r:embed="rId2"/>
        <a:stretch>
          <a:fillRect/>
        </a:stretch>
      </xdr:blipFill>
      <xdr:spPr>
        <a:xfrm>
          <a:off x="0" y="1417320"/>
          <a:ext cx="6913185" cy="1538935"/>
        </a:xfrm>
        <a:prstGeom prst="rect">
          <a:avLst/>
        </a:prstGeom>
      </xdr:spPr>
    </xdr:pic>
    <xdr:clientData/>
  </xdr:twoCellAnchor>
  <xdr:twoCellAnchor editAs="oneCell">
    <xdr:from>
      <xdr:col>0</xdr:col>
      <xdr:colOff>0</xdr:colOff>
      <xdr:row>16</xdr:row>
      <xdr:rowOff>65840</xdr:rowOff>
    </xdr:from>
    <xdr:to>
      <xdr:col>11</xdr:col>
      <xdr:colOff>314799</xdr:colOff>
      <xdr:row>24</xdr:row>
      <xdr:rowOff>133037</xdr:rowOff>
    </xdr:to>
    <xdr:pic>
      <xdr:nvPicPr>
        <xdr:cNvPr id="6" name="图片 5">
          <a:extLst>
            <a:ext uri="{FF2B5EF4-FFF2-40B4-BE49-F238E27FC236}">
              <a16:creationId xmlns:a16="http://schemas.microsoft.com/office/drawing/2014/main" xmlns="" id="{00000000-0008-0000-1C00-000006000000}"/>
            </a:ext>
          </a:extLst>
        </xdr:cNvPr>
        <xdr:cNvPicPr>
          <a:picLocks noChangeAspect="1"/>
        </xdr:cNvPicPr>
      </xdr:nvPicPr>
      <xdr:blipFill>
        <a:blip xmlns:r="http://schemas.openxmlformats.org/officeDocument/2006/relationships" r:embed="rId3"/>
        <a:stretch>
          <a:fillRect/>
        </a:stretch>
      </xdr:blipFill>
      <xdr:spPr>
        <a:xfrm>
          <a:off x="0" y="2991920"/>
          <a:ext cx="7020399" cy="1530237"/>
        </a:xfrm>
        <a:prstGeom prst="rect">
          <a:avLst/>
        </a:prstGeom>
      </xdr:spPr>
    </xdr:pic>
    <xdr:clientData/>
  </xdr:twoCellAnchor>
  <xdr:twoCellAnchor editAs="oneCell">
    <xdr:from>
      <xdr:col>0</xdr:col>
      <xdr:colOff>0</xdr:colOff>
      <xdr:row>25</xdr:row>
      <xdr:rowOff>105484</xdr:rowOff>
    </xdr:from>
    <xdr:to>
      <xdr:col>12</xdr:col>
      <xdr:colOff>474838</xdr:colOff>
      <xdr:row>34</xdr:row>
      <xdr:rowOff>167329</xdr:rowOff>
    </xdr:to>
    <xdr:pic>
      <xdr:nvPicPr>
        <xdr:cNvPr id="7" name="图片 6">
          <a:extLst>
            <a:ext uri="{FF2B5EF4-FFF2-40B4-BE49-F238E27FC236}">
              <a16:creationId xmlns:a16="http://schemas.microsoft.com/office/drawing/2014/main" xmlns="" id="{00000000-0008-0000-1C00-000007000000}"/>
            </a:ext>
          </a:extLst>
        </xdr:cNvPr>
        <xdr:cNvPicPr>
          <a:picLocks noChangeAspect="1"/>
        </xdr:cNvPicPr>
      </xdr:nvPicPr>
      <xdr:blipFill>
        <a:blip xmlns:r="http://schemas.openxmlformats.org/officeDocument/2006/relationships" r:embed="rId4"/>
        <a:stretch>
          <a:fillRect/>
        </a:stretch>
      </xdr:blipFill>
      <xdr:spPr>
        <a:xfrm>
          <a:off x="0" y="4677484"/>
          <a:ext cx="7790038" cy="170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487680</xdr:colOff>
      <xdr:row>0</xdr:row>
      <xdr:rowOff>0</xdr:rowOff>
    </xdr:from>
    <xdr:to>
      <xdr:col>23</xdr:col>
      <xdr:colOff>257780</xdr:colOff>
      <xdr:row>16</xdr:row>
      <xdr:rowOff>123035</xdr:rowOff>
    </xdr:to>
    <xdr:pic>
      <xdr:nvPicPr>
        <xdr:cNvPr id="2" name="图片 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1"/>
        <a:stretch>
          <a:fillRect/>
        </a:stretch>
      </xdr:blipFill>
      <xdr:spPr>
        <a:xfrm>
          <a:off x="10370820" y="0"/>
          <a:ext cx="6612860" cy="3270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29</xdr:row>
      <xdr:rowOff>91440</xdr:rowOff>
    </xdr:from>
    <xdr:to>
      <xdr:col>8</xdr:col>
      <xdr:colOff>182880</xdr:colOff>
      <xdr:row>45</xdr:row>
      <xdr:rowOff>123351</xdr:rowOff>
    </xdr:to>
    <xdr:pic>
      <xdr:nvPicPr>
        <xdr:cNvPr id="6" name="图片 5">
          <a:extLst>
            <a:ext uri="{FF2B5EF4-FFF2-40B4-BE49-F238E27FC236}">
              <a16:creationId xmlns:a16="http://schemas.microsoft.com/office/drawing/2014/main" xmlns="" id="{00000000-0008-0000-1E00-000006000000}"/>
            </a:ext>
          </a:extLst>
        </xdr:cNvPr>
        <xdr:cNvPicPr>
          <a:picLocks noChangeAspect="1"/>
        </xdr:cNvPicPr>
      </xdr:nvPicPr>
      <xdr:blipFill>
        <a:blip xmlns:r="http://schemas.openxmlformats.org/officeDocument/2006/relationships" r:embed="rId1"/>
        <a:stretch>
          <a:fillRect/>
        </a:stretch>
      </xdr:blipFill>
      <xdr:spPr>
        <a:xfrm>
          <a:off x="1" y="5394960"/>
          <a:ext cx="5882639" cy="2957991"/>
        </a:xfrm>
        <a:prstGeom prst="rect">
          <a:avLst/>
        </a:prstGeom>
      </xdr:spPr>
    </xdr:pic>
    <xdr:clientData/>
  </xdr:twoCellAnchor>
  <xdr:twoCellAnchor editAs="oneCell">
    <xdr:from>
      <xdr:col>0</xdr:col>
      <xdr:colOff>0</xdr:colOff>
      <xdr:row>52</xdr:row>
      <xdr:rowOff>165684</xdr:rowOff>
    </xdr:from>
    <xdr:to>
      <xdr:col>9</xdr:col>
      <xdr:colOff>60960</xdr:colOff>
      <xdr:row>69</xdr:row>
      <xdr:rowOff>123133</xdr:rowOff>
    </xdr:to>
    <xdr:pic>
      <xdr:nvPicPr>
        <xdr:cNvPr id="7" name="图片 6">
          <a:extLst>
            <a:ext uri="{FF2B5EF4-FFF2-40B4-BE49-F238E27FC236}">
              <a16:creationId xmlns:a16="http://schemas.microsoft.com/office/drawing/2014/main" xmlns="" id="{00000000-0008-0000-1E00-000007000000}"/>
            </a:ext>
          </a:extLst>
        </xdr:cNvPr>
        <xdr:cNvPicPr>
          <a:picLocks noChangeAspect="1"/>
        </xdr:cNvPicPr>
      </xdr:nvPicPr>
      <xdr:blipFill>
        <a:blip xmlns:r="http://schemas.openxmlformats.org/officeDocument/2006/relationships" r:embed="rId2"/>
        <a:stretch>
          <a:fillRect/>
        </a:stretch>
      </xdr:blipFill>
      <xdr:spPr>
        <a:xfrm>
          <a:off x="0" y="9675444"/>
          <a:ext cx="6370320" cy="3066409"/>
        </a:xfrm>
        <a:prstGeom prst="rect">
          <a:avLst/>
        </a:prstGeom>
      </xdr:spPr>
    </xdr:pic>
    <xdr:clientData/>
  </xdr:twoCellAnchor>
  <xdr:twoCellAnchor editAs="oneCell">
    <xdr:from>
      <xdr:col>0</xdr:col>
      <xdr:colOff>0</xdr:colOff>
      <xdr:row>75</xdr:row>
      <xdr:rowOff>50012</xdr:rowOff>
    </xdr:from>
    <xdr:to>
      <xdr:col>9</xdr:col>
      <xdr:colOff>53340</xdr:colOff>
      <xdr:row>91</xdr:row>
      <xdr:rowOff>114300</xdr:rowOff>
    </xdr:to>
    <xdr:pic>
      <xdr:nvPicPr>
        <xdr:cNvPr id="8" name="图片 7">
          <a:extLst>
            <a:ext uri="{FF2B5EF4-FFF2-40B4-BE49-F238E27FC236}">
              <a16:creationId xmlns:a16="http://schemas.microsoft.com/office/drawing/2014/main" xmlns="" id="{00000000-0008-0000-1E00-000008000000}"/>
            </a:ext>
          </a:extLst>
        </xdr:cNvPr>
        <xdr:cNvPicPr>
          <a:picLocks noChangeAspect="1"/>
        </xdr:cNvPicPr>
      </xdr:nvPicPr>
      <xdr:blipFill>
        <a:blip xmlns:r="http://schemas.openxmlformats.org/officeDocument/2006/relationships" r:embed="rId3"/>
        <a:stretch>
          <a:fillRect/>
        </a:stretch>
      </xdr:blipFill>
      <xdr:spPr>
        <a:xfrm>
          <a:off x="0" y="13766012"/>
          <a:ext cx="6362700" cy="2990368"/>
        </a:xfrm>
        <a:prstGeom prst="rect">
          <a:avLst/>
        </a:prstGeom>
      </xdr:spPr>
    </xdr:pic>
    <xdr:clientData/>
  </xdr:twoCellAnchor>
  <xdr:twoCellAnchor editAs="oneCell">
    <xdr:from>
      <xdr:col>0</xdr:col>
      <xdr:colOff>0</xdr:colOff>
      <xdr:row>98</xdr:row>
      <xdr:rowOff>143098</xdr:rowOff>
    </xdr:from>
    <xdr:to>
      <xdr:col>8</xdr:col>
      <xdr:colOff>93923</xdr:colOff>
      <xdr:row>115</xdr:row>
      <xdr:rowOff>29794</xdr:rowOff>
    </xdr:to>
    <xdr:pic>
      <xdr:nvPicPr>
        <xdr:cNvPr id="9" name="图片 8">
          <a:extLst>
            <a:ext uri="{FF2B5EF4-FFF2-40B4-BE49-F238E27FC236}">
              <a16:creationId xmlns:a16="http://schemas.microsoft.com/office/drawing/2014/main" xmlns="" id="{00000000-0008-0000-1E00-000009000000}"/>
            </a:ext>
          </a:extLst>
        </xdr:cNvPr>
        <xdr:cNvPicPr>
          <a:picLocks noChangeAspect="1"/>
        </xdr:cNvPicPr>
      </xdr:nvPicPr>
      <xdr:blipFill>
        <a:blip xmlns:r="http://schemas.openxmlformats.org/officeDocument/2006/relationships" r:embed="rId4"/>
        <a:stretch>
          <a:fillRect/>
        </a:stretch>
      </xdr:blipFill>
      <xdr:spPr>
        <a:xfrm>
          <a:off x="0" y="18065338"/>
          <a:ext cx="5793683" cy="2995656"/>
        </a:xfrm>
        <a:prstGeom prst="rect">
          <a:avLst/>
        </a:prstGeom>
      </xdr:spPr>
    </xdr:pic>
    <xdr:clientData/>
  </xdr:twoCellAnchor>
  <xdr:twoCellAnchor editAs="oneCell">
    <xdr:from>
      <xdr:col>0</xdr:col>
      <xdr:colOff>0</xdr:colOff>
      <xdr:row>121</xdr:row>
      <xdr:rowOff>129540</xdr:rowOff>
    </xdr:from>
    <xdr:to>
      <xdr:col>8</xdr:col>
      <xdr:colOff>543507</xdr:colOff>
      <xdr:row>139</xdr:row>
      <xdr:rowOff>81153</xdr:rowOff>
    </xdr:to>
    <xdr:pic>
      <xdr:nvPicPr>
        <xdr:cNvPr id="2" name="图片 1">
          <a:extLst>
            <a:ext uri="{FF2B5EF4-FFF2-40B4-BE49-F238E27FC236}">
              <a16:creationId xmlns:a16="http://schemas.microsoft.com/office/drawing/2014/main" xmlns="" id="{00000000-0008-0000-1E00-000002000000}"/>
            </a:ext>
          </a:extLst>
        </xdr:cNvPr>
        <xdr:cNvPicPr>
          <a:picLocks noChangeAspect="1"/>
        </xdr:cNvPicPr>
      </xdr:nvPicPr>
      <xdr:blipFill>
        <a:blip xmlns:r="http://schemas.openxmlformats.org/officeDocument/2006/relationships" r:embed="rId5"/>
        <a:stretch>
          <a:fillRect/>
        </a:stretch>
      </xdr:blipFill>
      <xdr:spPr>
        <a:xfrm>
          <a:off x="0" y="22258020"/>
          <a:ext cx="6243267" cy="3243453"/>
        </a:xfrm>
        <a:prstGeom prst="rect">
          <a:avLst/>
        </a:prstGeom>
      </xdr:spPr>
    </xdr:pic>
    <xdr:clientData/>
  </xdr:twoCellAnchor>
  <xdr:twoCellAnchor editAs="oneCell">
    <xdr:from>
      <xdr:col>0</xdr:col>
      <xdr:colOff>0</xdr:colOff>
      <xdr:row>5</xdr:row>
      <xdr:rowOff>7620</xdr:rowOff>
    </xdr:from>
    <xdr:to>
      <xdr:col>11</xdr:col>
      <xdr:colOff>142068</xdr:colOff>
      <xdr:row>24</xdr:row>
      <xdr:rowOff>91439</xdr:rowOff>
    </xdr:to>
    <xdr:pic>
      <xdr:nvPicPr>
        <xdr:cNvPr id="3" name="图片 2">
          <a:extLst>
            <a:ext uri="{FF2B5EF4-FFF2-40B4-BE49-F238E27FC236}">
              <a16:creationId xmlns:a16="http://schemas.microsoft.com/office/drawing/2014/main" xmlns="" id="{00000000-0008-0000-1E00-000003000000}"/>
            </a:ext>
          </a:extLst>
        </xdr:cNvPr>
        <xdr:cNvPicPr>
          <a:picLocks noChangeAspect="1"/>
        </xdr:cNvPicPr>
      </xdr:nvPicPr>
      <xdr:blipFill>
        <a:blip xmlns:r="http://schemas.openxmlformats.org/officeDocument/2006/relationships" r:embed="rId6"/>
        <a:stretch>
          <a:fillRect/>
        </a:stretch>
      </xdr:blipFill>
      <xdr:spPr>
        <a:xfrm>
          <a:off x="0" y="922020"/>
          <a:ext cx="7670628" cy="3558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hyperlink" Target="https://paimai.jd.com/308053807" TargetMode="External"/><Relationship Id="rId7" Type="http://schemas.openxmlformats.org/officeDocument/2006/relationships/drawing" Target="../drawings/drawing4.xml"/><Relationship Id="rId2" Type="http://schemas.openxmlformats.org/officeDocument/2006/relationships/hyperlink" Target="https://paimai.jd.com/302378465" TargetMode="External"/><Relationship Id="rId1" Type="http://schemas.openxmlformats.org/officeDocument/2006/relationships/hyperlink" Target="https://paimai.jd.com/299236047" TargetMode="External"/><Relationship Id="rId6" Type="http://schemas.openxmlformats.org/officeDocument/2006/relationships/hyperlink" Target="https://paimai.jd.com/307227466" TargetMode="External"/><Relationship Id="rId5" Type="http://schemas.openxmlformats.org/officeDocument/2006/relationships/hyperlink" Target="https://sf-item.taobao.com/sf_item/844654171564.htm?spm=a213w.7398504.paiList.1.2303c54eyvRD3z&amp;track_id=0608fbea-1a95-452b-82fb-040a87832368" TargetMode="External"/><Relationship Id="rId4" Type="http://schemas.openxmlformats.org/officeDocument/2006/relationships/hyperlink" Target="https://paimai.jd.com/289100617"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北京市房地产市场价值预评估</v>
      </c>
    </row>
    <row r="3" spans="1:2">
      <c r="A3" s="1119" t="s">
        <v>523</v>
      </c>
      <c r="B3" s="1120">
        <f>'预评函-封皮'!B40</f>
        <v>0</v>
      </c>
    </row>
    <row r="4" spans="1:2">
      <c r="A4" s="1119" t="s">
        <v>524</v>
      </c>
      <c r="B4" s="1120" t="str">
        <f>'预评函-封皮'!B46</f>
        <v>（注册号：0)、（注册号：0)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受贵公司委托，我公司对北京市房地产市场价值进行了预评估。</v>
      </c>
    </row>
    <row r="7" spans="1:2">
      <c r="A7" s="1119" t="s">
        <v>566</v>
      </c>
      <c r="B7" s="1120" t="str">
        <f>'预评函-1'!A7</f>
        <v>估价对象为北京市房地产，为所有。根据《国有土地使用证》[]，估价对象（分摊）出让国有建设用地使用权面积为0平方米，建筑面积为57.2平方米。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估价对象为北京市房地产,属开发建设的，该项目尚在开发建设中。根据《国有土地使用证》[]，估价对象（分摊）出让国有建设用地使用权面积为0平方米，规划建筑面积为57.2平方米。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2025年4月8日（评估专业人员实地查勘之日）</v>
      </c>
    </row>
    <row r="13" spans="1:2">
      <c r="A13" s="1119" t="s">
        <v>529</v>
      </c>
      <c r="B13" s="1120" t="str">
        <f>'预评函-1'!A18</f>
        <v>本次估价的“房地产价值”是指在正常市场情况下，在价值时点2025年4月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6.2" thickBot="1">
      <c r="A18" s="1122" t="s">
        <v>534</v>
      </c>
      <c r="B18" s="1123" t="str">
        <f>'预评函-1'!A24</f>
        <v>本次评估采用的主估价方法为收益法和比较法。</v>
      </c>
    </row>
    <row r="19" spans="1:2" s="1118" customFormat="1" ht="16.2"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ht="31.2">
      <c r="A42" s="1119" t="s">
        <v>590</v>
      </c>
      <c r="B42" s="1120" t="str">
        <f>'预评函-3'!B2</f>
        <v>建筑面积</v>
      </c>
    </row>
    <row r="43" spans="1:2">
      <c r="A43" s="1119" t="s">
        <v>591</v>
      </c>
      <c r="B43" s="1120">
        <f>'预评函-3'!B4</f>
        <v>57.2</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
      </c>
    </row>
    <row r="58" spans="1:2" s="1118" customFormat="1" ht="16.2"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f>'预评函-4'!A4</f>
        <v>0</v>
      </c>
    </row>
    <row r="71" spans="1:2">
      <c r="A71" s="1119" t="s">
        <v>563</v>
      </c>
      <c r="B71" s="1120">
        <f>'预评函-4'!B4</f>
        <v>0</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3350</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3336</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3337</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3338</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3339</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3340</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3341</v>
      </c>
    </row>
    <row r="8" spans="1:23">
      <c r="A8" s="1441" t="s">
        <v>1026</v>
      </c>
      <c r="B8" s="1441" t="s">
        <v>1027</v>
      </c>
      <c r="C8" s="1442" t="s">
        <v>319</v>
      </c>
      <c r="F8" s="1443" t="s">
        <v>1028</v>
      </c>
      <c r="H8" s="1443" t="s">
        <v>2576</v>
      </c>
      <c r="I8" s="1443" t="s">
        <v>3342</v>
      </c>
    </row>
    <row r="9" spans="1:23">
      <c r="A9" s="1441" t="s">
        <v>1029</v>
      </c>
      <c r="B9" s="1441" t="s">
        <v>1030</v>
      </c>
      <c r="C9" s="1442" t="s">
        <v>320</v>
      </c>
      <c r="F9" s="1443" t="s">
        <v>1031</v>
      </c>
      <c r="H9" s="1443"/>
      <c r="I9" s="1445" t="s">
        <v>3343</v>
      </c>
    </row>
    <row r="10" spans="1:23">
      <c r="A10" s="1441" t="s">
        <v>1032</v>
      </c>
      <c r="B10" s="1441" t="s">
        <v>1033</v>
      </c>
      <c r="C10" s="1442" t="s">
        <v>321</v>
      </c>
      <c r="F10" s="1443" t="s">
        <v>2577</v>
      </c>
      <c r="I10" s="1445" t="s">
        <v>3344</v>
      </c>
    </row>
    <row r="11" spans="1:23">
      <c r="A11" s="1441" t="s">
        <v>1034</v>
      </c>
      <c r="B11" s="1441" t="s">
        <v>1035</v>
      </c>
      <c r="C11" s="1442" t="s">
        <v>322</v>
      </c>
      <c r="F11" s="1443" t="s">
        <v>13</v>
      </c>
      <c r="I11" s="1445" t="s">
        <v>3345</v>
      </c>
    </row>
    <row r="12" spans="1:23">
      <c r="A12" s="1441" t="s">
        <v>1036</v>
      </c>
      <c r="B12" s="1441" t="s">
        <v>1037</v>
      </c>
      <c r="C12" s="1442" t="s">
        <v>323</v>
      </c>
      <c r="I12" s="1445" t="s">
        <v>3346</v>
      </c>
    </row>
    <row r="13" spans="1:23">
      <c r="A13" s="1441" t="s">
        <v>1038</v>
      </c>
      <c r="B13" s="1441" t="s">
        <v>1039</v>
      </c>
      <c r="C13" s="1442" t="s">
        <v>324</v>
      </c>
      <c r="I13" s="1445" t="s">
        <v>3347</v>
      </c>
    </row>
    <row r="14" spans="1:23">
      <c r="A14" s="1441" t="s">
        <v>1040</v>
      </c>
      <c r="B14" s="1441" t="s">
        <v>1041</v>
      </c>
      <c r="C14" s="1443" t="s">
        <v>13</v>
      </c>
      <c r="I14" s="1445" t="s">
        <v>3348</v>
      </c>
    </row>
    <row r="15" spans="1:23">
      <c r="A15" s="1441" t="s">
        <v>1042</v>
      </c>
      <c r="B15" s="1441" t="s">
        <v>1043</v>
      </c>
      <c r="C15" s="1442"/>
      <c r="I15" s="1445" t="s">
        <v>3349</v>
      </c>
    </row>
    <row r="16" spans="1:23">
      <c r="A16" s="1441" t="s">
        <v>1044</v>
      </c>
      <c r="B16" s="1441" t="s">
        <v>312</v>
      </c>
      <c r="C16" s="1442"/>
    </row>
    <row r="17" spans="1:3">
      <c r="A17" s="1441" t="s">
        <v>1045</v>
      </c>
      <c r="B17" s="1441" t="s">
        <v>2293</v>
      </c>
      <c r="C17" s="1442"/>
    </row>
    <row r="18" spans="1:3">
      <c r="A18" s="1441" t="s">
        <v>1046</v>
      </c>
      <c r="B18" s="1441" t="s">
        <v>2432</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27"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7"/>
      <c r="B54" s="1447" t="s">
        <v>385</v>
      </c>
      <c r="C54" s="1445" t="s">
        <v>583</v>
      </c>
    </row>
    <row r="55" spans="1:4">
      <c r="A55" s="3227"/>
      <c r="B55" s="1447" t="s">
        <v>386</v>
      </c>
      <c r="C55" s="1445" t="s">
        <v>584</v>
      </c>
    </row>
    <row r="56" spans="1:4">
      <c r="A56" s="3227"/>
      <c r="B56" s="1447" t="s">
        <v>387</v>
      </c>
      <c r="C56" s="1445" t="s">
        <v>588</v>
      </c>
    </row>
    <row r="57" spans="1:4">
      <c r="A57" s="3227"/>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56"/>
    <col min="8" max="8" width="5.44140625" style="2756" customWidth="1"/>
    <col min="9" max="13" width="9.44140625" style="2797" customWidth="1"/>
    <col min="14" max="18" width="9.44140625" style="2756" customWidth="1"/>
    <col min="19" max="16384" width="15.21875" style="2756"/>
  </cols>
  <sheetData>
    <row r="1" spans="1:18">
      <c r="A1" s="2753" t="s">
        <v>2499</v>
      </c>
      <c r="B1" s="2754"/>
      <c r="C1" s="2754"/>
      <c r="D1" s="2754"/>
      <c r="E1" s="2754"/>
      <c r="F1" s="2755"/>
      <c r="I1" s="3132" t="s">
        <v>2592</v>
      </c>
      <c r="J1" s="2780"/>
      <c r="K1" s="2780"/>
      <c r="L1" s="2780"/>
      <c r="M1" s="2780"/>
      <c r="N1" s="2965"/>
      <c r="O1" s="2965"/>
      <c r="P1" s="2965"/>
      <c r="Q1" s="2965"/>
      <c r="R1" s="2965"/>
    </row>
    <row r="2" spans="1:18">
      <c r="A2" s="2757"/>
      <c r="B2" s="2758"/>
      <c r="C2" s="2758"/>
      <c r="D2" s="2758"/>
      <c r="E2" s="2758"/>
      <c r="F2" s="2759"/>
      <c r="I2" s="3228" t="s">
        <v>2579</v>
      </c>
      <c r="J2" s="3228"/>
      <c r="K2" s="3228"/>
      <c r="L2" s="3228"/>
      <c r="M2" s="3228"/>
      <c r="N2" s="3228"/>
      <c r="O2" s="3228"/>
      <c r="P2" s="3228"/>
      <c r="Q2" s="3228"/>
      <c r="R2" s="3228"/>
    </row>
    <row r="3" spans="1:18">
      <c r="A3" s="2760" t="s">
        <v>2500</v>
      </c>
      <c r="B3" s="2761">
        <f>项目基本情况!D3</f>
        <v>45755</v>
      </c>
      <c r="C3" s="2763"/>
      <c r="D3" s="2763"/>
      <c r="E3" s="2763"/>
      <c r="F3" s="2759"/>
      <c r="I3" s="2775"/>
      <c r="J3" s="2775" t="s">
        <v>2583</v>
      </c>
      <c r="K3" s="2775" t="s">
        <v>2584</v>
      </c>
      <c r="L3" s="2775" t="s">
        <v>2585</v>
      </c>
      <c r="M3" s="2775" t="s">
        <v>2586</v>
      </c>
      <c r="N3" s="3133" t="s">
        <v>2587</v>
      </c>
      <c r="O3" s="3133" t="s">
        <v>2588</v>
      </c>
      <c r="P3" s="3133" t="s">
        <v>2589</v>
      </c>
      <c r="Q3" s="3133" t="s">
        <v>2590</v>
      </c>
      <c r="R3" s="3133" t="s">
        <v>2591</v>
      </c>
    </row>
    <row r="4" spans="1:18">
      <c r="A4" s="2760" t="s">
        <v>2501</v>
      </c>
      <c r="B4" s="2763" t="s">
        <v>2502</v>
      </c>
      <c r="C4" s="2763" t="s">
        <v>2503</v>
      </c>
      <c r="D4" s="2763" t="s">
        <v>2504</v>
      </c>
      <c r="E4" s="2763" t="s">
        <v>2505</v>
      </c>
      <c r="F4" s="2759"/>
      <c r="I4" s="2775" t="s">
        <v>2580</v>
      </c>
      <c r="J4" s="2775">
        <v>80</v>
      </c>
      <c r="K4" s="2775">
        <v>70</v>
      </c>
      <c r="L4" s="2775">
        <v>20</v>
      </c>
      <c r="M4" s="2775">
        <v>30</v>
      </c>
      <c r="N4" s="2763">
        <v>45</v>
      </c>
      <c r="O4" s="2763">
        <v>60</v>
      </c>
      <c r="P4" s="2763">
        <v>50</v>
      </c>
      <c r="Q4" s="2763">
        <v>20</v>
      </c>
      <c r="R4" s="2763">
        <v>375</v>
      </c>
    </row>
    <row r="5" spans="1:18">
      <c r="A5" s="2764">
        <v>40</v>
      </c>
      <c r="B5" s="2761">
        <v>46375</v>
      </c>
      <c r="C5" s="2763">
        <f>ROUNDDOWN(MIN((B5-B3)/365,A5),2)</f>
        <v>1.69</v>
      </c>
      <c r="D5" s="2765">
        <f>IF(ISERROR(ROUND(POWER(1+E5,A5-C5)*(POWER(1+E5,C5)-1)/(POWER(1+E5,A5)-1),3)),0,ROUND(POWER(1+E5,A5-C5)*(POWER(1+E5,C5)-1)/(POWER(1+E5,A5)-1),4))</f>
        <v>8.1000000000000003E-2</v>
      </c>
      <c r="E5" s="2766">
        <v>0.04</v>
      </c>
      <c r="F5" s="2759"/>
      <c r="I5" s="2775" t="s">
        <v>2581</v>
      </c>
      <c r="J5" s="2775">
        <v>70</v>
      </c>
      <c r="K5" s="2775">
        <v>60</v>
      </c>
      <c r="L5" s="2775">
        <v>15</v>
      </c>
      <c r="M5" s="2775">
        <v>25</v>
      </c>
      <c r="N5" s="2763">
        <v>40</v>
      </c>
      <c r="O5" s="2763">
        <v>50</v>
      </c>
      <c r="P5" s="2763">
        <v>40</v>
      </c>
      <c r="Q5" s="2763">
        <v>15</v>
      </c>
      <c r="R5" s="2763">
        <v>315</v>
      </c>
    </row>
    <row r="6" spans="1:18">
      <c r="A6" s="2764">
        <v>50</v>
      </c>
      <c r="B6" s="2761">
        <v>50028</v>
      </c>
      <c r="C6" s="2763">
        <f>ROUNDDOWN(MIN((B6-B3)/365,A6),2)</f>
        <v>11.7</v>
      </c>
      <c r="D6" s="2765">
        <f>IF(ISERROR(ROUND(POWER(1+E6,A6-C6)*(POWER(1+E6,C6)-1)/(POWER(1+E6,A6)-1),3)),0,ROUND(POWER(1+E6,A6-C6)*(POWER(1+E6,C6)-1)/(POWER(1+E6,A6)-1),4))</f>
        <v>0.42830000000000001</v>
      </c>
      <c r="E6" s="2766">
        <v>0.04</v>
      </c>
      <c r="F6" s="2759"/>
      <c r="I6" s="2775" t="s">
        <v>2582</v>
      </c>
      <c r="J6" s="2775">
        <v>60</v>
      </c>
      <c r="K6" s="2775">
        <v>50</v>
      </c>
      <c r="L6" s="2775">
        <v>10</v>
      </c>
      <c r="M6" s="2775">
        <v>20</v>
      </c>
      <c r="N6" s="2763">
        <v>35</v>
      </c>
      <c r="O6" s="2763">
        <v>40</v>
      </c>
      <c r="P6" s="2763">
        <v>30</v>
      </c>
      <c r="Q6" s="2763">
        <v>10</v>
      </c>
      <c r="R6" s="2763">
        <v>255</v>
      </c>
    </row>
    <row r="7" spans="1:18">
      <c r="A7" s="2764">
        <v>70</v>
      </c>
      <c r="B7" s="2761">
        <v>57333</v>
      </c>
      <c r="C7" s="2763">
        <f>ROUNDDOWN(MIN((B7-B3)/365,A7),2)</f>
        <v>31.72</v>
      </c>
      <c r="D7" s="2765">
        <f>IF(ISERROR(ROUND(POWER(1+E7,A7-C7)*(POWER(1+E7,C7)-1)/(POWER(1+E7,A7)-1),3)),0,ROUND(POWER(1+E7,A7-C7)*(POWER(1+E7,C7)-1)/(POWER(1+E7,A7)-1),4))</f>
        <v>0.76060000000000005</v>
      </c>
      <c r="E7" s="2766">
        <v>0.04</v>
      </c>
      <c r="F7" s="2759"/>
    </row>
    <row r="8" spans="1:18">
      <c r="A8" s="2757"/>
      <c r="B8" s="2758"/>
      <c r="C8" s="2758"/>
      <c r="D8" s="2758"/>
      <c r="E8" s="2758"/>
      <c r="F8" s="2759"/>
    </row>
    <row r="9" spans="1:18">
      <c r="A9" s="2760" t="s">
        <v>2506</v>
      </c>
      <c r="B9" s="2763"/>
      <c r="C9" s="2763"/>
      <c r="D9" s="2763"/>
      <c r="E9" s="2763"/>
      <c r="F9" s="2767"/>
    </row>
    <row r="10" spans="1:18">
      <c r="A10" s="2760" t="s">
        <v>2507</v>
      </c>
      <c r="B10" s="2763"/>
      <c r="C10" s="2763"/>
      <c r="D10" s="2763" t="s">
        <v>2505</v>
      </c>
      <c r="E10" s="2763"/>
      <c r="F10" s="2767" t="s">
        <v>2504</v>
      </c>
    </row>
    <row r="11" spans="1:18">
      <c r="A11" s="2760" t="s">
        <v>2508</v>
      </c>
      <c r="B11" s="2768">
        <v>70</v>
      </c>
      <c r="C11" s="2763" t="s">
        <v>2509</v>
      </c>
      <c r="D11" s="2768">
        <v>4.4999999999999998E-2</v>
      </c>
      <c r="E11" s="2763" t="s">
        <v>2510</v>
      </c>
      <c r="F11" s="2769">
        <f>ROUND(1-(1/(POWER(1+D11,B11))),4)</f>
        <v>0.95409999999999995</v>
      </c>
    </row>
    <row r="12" spans="1:18">
      <c r="A12" s="2760" t="s">
        <v>2511</v>
      </c>
      <c r="B12" s="2768">
        <v>40</v>
      </c>
      <c r="C12" s="2763" t="s">
        <v>2512</v>
      </c>
      <c r="D12" s="2768">
        <v>4.4999999999999998E-2</v>
      </c>
      <c r="E12" s="2763" t="s">
        <v>2513</v>
      </c>
      <c r="F12" s="2769">
        <f>ROUND(1-(1/(POWER(1+D12,B12))),4)</f>
        <v>0.82809999999999995</v>
      </c>
    </row>
    <row r="13" spans="1:18">
      <c r="A13" s="2760" t="s">
        <v>2514</v>
      </c>
      <c r="B13" s="2763"/>
      <c r="C13" s="2763"/>
      <c r="D13" s="2758"/>
      <c r="E13" s="2758"/>
      <c r="F13" s="2759"/>
    </row>
    <row r="14" spans="1:18">
      <c r="A14" s="2760" t="s">
        <v>2515</v>
      </c>
      <c r="B14" s="2768">
        <v>5000</v>
      </c>
      <c r="C14" s="2762"/>
      <c r="D14" s="2758"/>
      <c r="E14" s="2758"/>
      <c r="F14" s="2759"/>
    </row>
    <row r="15" spans="1:18">
      <c r="A15" s="2760" t="s">
        <v>2516</v>
      </c>
      <c r="B15" s="2763">
        <f>ROUND(B14*F12/F11,2)</f>
        <v>4339.6899999999996</v>
      </c>
      <c r="C15" s="2763">
        <f>ROUND(F12/F11,4)</f>
        <v>0.8679</v>
      </c>
      <c r="D15" s="2758"/>
      <c r="E15" s="2758"/>
      <c r="F15" s="2759"/>
    </row>
    <row r="16" spans="1:18">
      <c r="A16" s="2760" t="s">
        <v>2517</v>
      </c>
      <c r="B16" s="2763"/>
      <c r="C16" s="2763"/>
      <c r="D16" s="2758"/>
      <c r="E16" s="2758"/>
      <c r="F16" s="2759"/>
    </row>
    <row r="17" spans="1:14">
      <c r="A17" s="2760" t="s">
        <v>2516</v>
      </c>
      <c r="B17" s="2768">
        <v>4810</v>
      </c>
      <c r="C17" s="2762"/>
      <c r="D17" s="2758"/>
      <c r="E17" s="2758"/>
      <c r="F17" s="2759"/>
    </row>
    <row r="18" spans="1:14" ht="15" thickBot="1">
      <c r="A18" s="2770" t="s">
        <v>2515</v>
      </c>
      <c r="B18" s="2771">
        <f>ROUND(B17*F11/F12,2)</f>
        <v>5541.87</v>
      </c>
      <c r="C18" s="2771">
        <f>ROUND(F11/F12,4)</f>
        <v>1.1521999999999999</v>
      </c>
      <c r="D18" s="2772"/>
      <c r="E18" s="2772"/>
      <c r="F18" s="2773"/>
    </row>
    <row r="19" spans="1:14" ht="15" thickBot="1"/>
    <row r="20" spans="1:14" s="2806" customFormat="1" ht="15" thickTop="1">
      <c r="A20" s="2803" t="s">
        <v>2518</v>
      </c>
      <c r="B20" s="2804"/>
      <c r="C20" s="2804"/>
      <c r="D20" s="2804"/>
      <c r="E20" s="2804"/>
      <c r="F20" s="2804"/>
      <c r="G20" s="2805"/>
      <c r="I20" s="2807" t="s">
        <v>2563</v>
      </c>
      <c r="J20" s="2807" t="s">
        <v>2568</v>
      </c>
      <c r="K20" s="2807"/>
      <c r="L20" s="2807"/>
      <c r="M20" s="2807"/>
    </row>
    <row r="21" spans="1:14">
      <c r="A21" s="2774"/>
      <c r="B21" s="2775" t="s">
        <v>2519</v>
      </c>
      <c r="C21" s="2775" t="s">
        <v>2520</v>
      </c>
      <c r="D21" s="2775" t="s">
        <v>2521</v>
      </c>
      <c r="E21" s="2775" t="s">
        <v>2522</v>
      </c>
      <c r="F21" s="2775" t="s">
        <v>2523</v>
      </c>
      <c r="G21" s="2776" t="s">
        <v>2524</v>
      </c>
      <c r="I21" s="2797">
        <v>5</v>
      </c>
      <c r="J21" s="2797">
        <v>54.2</v>
      </c>
    </row>
    <row r="22" spans="1:14">
      <c r="A22" s="2774" t="s">
        <v>2525</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4">
      <c r="A23" s="2774" t="s">
        <v>2526</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2566</v>
      </c>
      <c r="N23" s="3150" t="s">
        <v>2567</v>
      </c>
    </row>
    <row r="24" spans="1:14">
      <c r="A24" s="2774" t="s">
        <v>2527</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2565</v>
      </c>
      <c r="N24" s="3150">
        <v>10</v>
      </c>
    </row>
    <row r="25" spans="1:14">
      <c r="A25" s="2774" t="s">
        <v>2528</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2569</v>
      </c>
      <c r="N25" s="3150">
        <v>8</v>
      </c>
    </row>
    <row r="26" spans="1:14">
      <c r="A26" s="2779"/>
      <c r="B26" s="2780"/>
      <c r="C26" s="2780"/>
      <c r="D26" s="2780"/>
      <c r="E26" s="2780"/>
      <c r="F26" s="2780"/>
      <c r="G26" s="2781"/>
      <c r="I26" s="2797">
        <v>30</v>
      </c>
      <c r="J26" s="2797">
        <v>90.5</v>
      </c>
      <c r="K26" s="2797">
        <f t="shared" si="2"/>
        <v>4.2000000000000028</v>
      </c>
      <c r="L26" s="2797" t="s">
        <v>2570</v>
      </c>
      <c r="N26" s="3150">
        <v>5</v>
      </c>
    </row>
    <row r="27" spans="1:14">
      <c r="A27" s="2779" t="s">
        <v>2529</v>
      </c>
      <c r="B27" s="2780"/>
      <c r="C27" s="2780"/>
      <c r="D27" s="2780"/>
      <c r="E27" s="2780"/>
      <c r="F27" s="2780"/>
      <c r="G27" s="2781"/>
      <c r="I27" s="2797">
        <v>35</v>
      </c>
      <c r="J27" s="2797">
        <v>93.8</v>
      </c>
      <c r="K27" s="2797">
        <f t="shared" si="2"/>
        <v>3.2999999999999972</v>
      </c>
      <c r="L27" s="2797" t="s">
        <v>2571</v>
      </c>
      <c r="N27" s="3150">
        <v>3</v>
      </c>
    </row>
    <row r="28" spans="1:14">
      <c r="A28" s="2779" t="s">
        <v>2530</v>
      </c>
      <c r="B28" s="2780"/>
      <c r="C28" s="2780"/>
      <c r="D28" s="2780"/>
      <c r="E28" s="2780"/>
      <c r="F28" s="2780"/>
      <c r="G28" s="2781"/>
      <c r="I28" s="2797">
        <v>40</v>
      </c>
      <c r="J28" s="2797">
        <v>96.4</v>
      </c>
      <c r="K28" s="2797">
        <f t="shared" si="2"/>
        <v>2.6000000000000085</v>
      </c>
      <c r="L28" s="2797" t="s">
        <v>2572</v>
      </c>
      <c r="N28" s="3150">
        <v>2</v>
      </c>
    </row>
    <row r="29" spans="1:14">
      <c r="A29" s="2779" t="s">
        <v>2531</v>
      </c>
      <c r="B29" s="2780"/>
      <c r="C29" s="2780"/>
      <c r="D29" s="2780"/>
      <c r="E29" s="2780"/>
      <c r="F29" s="2780"/>
      <c r="G29" s="2781"/>
      <c r="I29" s="2797">
        <v>45</v>
      </c>
      <c r="J29" s="2797">
        <v>98.4</v>
      </c>
      <c r="K29" s="2797">
        <f t="shared" si="2"/>
        <v>2</v>
      </c>
    </row>
    <row r="30" spans="1:14">
      <c r="A30" s="2779" t="s">
        <v>2532</v>
      </c>
      <c r="B30" s="2780"/>
      <c r="C30" s="2780"/>
      <c r="D30" s="2780"/>
      <c r="E30" s="2780"/>
      <c r="F30" s="2780"/>
      <c r="G30" s="2781"/>
      <c r="I30" s="2797">
        <v>50</v>
      </c>
      <c r="J30" s="2797">
        <v>100</v>
      </c>
      <c r="K30" s="2797">
        <f t="shared" si="2"/>
        <v>1.5999999999999943</v>
      </c>
    </row>
    <row r="31" spans="1:14">
      <c r="A31" s="2779" t="s">
        <v>2533</v>
      </c>
      <c r="B31" s="2780"/>
      <c r="C31" s="2780"/>
      <c r="D31" s="2780"/>
      <c r="E31" s="2780"/>
      <c r="F31" s="2780"/>
      <c r="G31" s="2781"/>
      <c r="I31" s="2797" t="s">
        <v>2564</v>
      </c>
    </row>
    <row r="32" spans="1:14">
      <c r="A32" s="2779" t="s">
        <v>2534</v>
      </c>
      <c r="B32" s="2780"/>
      <c r="C32" s="2780"/>
      <c r="D32" s="2780"/>
      <c r="E32" s="2780"/>
      <c r="F32" s="2780"/>
      <c r="G32" s="2781"/>
    </row>
    <row r="33" spans="1:14">
      <c r="A33" s="2779" t="s">
        <v>2535</v>
      </c>
      <c r="B33" s="2780"/>
      <c r="C33" s="2780"/>
      <c r="D33" s="2780"/>
      <c r="E33" s="2780"/>
      <c r="F33" s="2780"/>
      <c r="G33" s="2781"/>
      <c r="I33" s="2797" t="s">
        <v>2563</v>
      </c>
      <c r="J33" s="2797" t="s">
        <v>2573</v>
      </c>
    </row>
    <row r="34" spans="1:14">
      <c r="A34" s="2779" t="s">
        <v>2536</v>
      </c>
      <c r="B34" s="2780"/>
      <c r="C34" s="2780"/>
      <c r="D34" s="2780"/>
      <c r="E34" s="2780"/>
      <c r="F34" s="2780"/>
      <c r="G34" s="2781"/>
      <c r="I34" s="2797">
        <v>5</v>
      </c>
      <c r="J34" s="2797">
        <v>55.1</v>
      </c>
    </row>
    <row r="35" spans="1:14">
      <c r="A35" s="2779" t="s">
        <v>2537</v>
      </c>
      <c r="B35" s="2780"/>
      <c r="C35" s="2780"/>
      <c r="D35" s="2780"/>
      <c r="E35" s="2780"/>
      <c r="F35" s="2780"/>
      <c r="G35" s="2781"/>
      <c r="I35" s="2797">
        <v>10</v>
      </c>
      <c r="J35" s="2797">
        <v>67</v>
      </c>
      <c r="K35" s="2797">
        <f>J35-J34</f>
        <v>11.899999999999999</v>
      </c>
    </row>
    <row r="36" spans="1:14">
      <c r="A36" s="2779" t="s">
        <v>2538</v>
      </c>
      <c r="B36" s="2780"/>
      <c r="C36" s="2780"/>
      <c r="D36" s="2780"/>
      <c r="E36" s="2780"/>
      <c r="F36" s="2780"/>
      <c r="G36" s="2781"/>
      <c r="I36" s="2797">
        <v>15</v>
      </c>
      <c r="J36" s="2797">
        <v>76.3</v>
      </c>
      <c r="K36" s="2797">
        <f t="shared" ref="K36:K41" si="3">J36-J35</f>
        <v>9.2999999999999972</v>
      </c>
      <c r="L36" s="2797" t="s">
        <v>2566</v>
      </c>
      <c r="N36" s="3150" t="s">
        <v>2567</v>
      </c>
    </row>
    <row r="37" spans="1:14">
      <c r="A37" s="2779" t="s">
        <v>2539</v>
      </c>
      <c r="B37" s="2780"/>
      <c r="C37" s="2780"/>
      <c r="D37" s="2780"/>
      <c r="E37" s="2780"/>
      <c r="F37" s="2780"/>
      <c r="G37" s="2781"/>
      <c r="I37" s="2797">
        <v>20</v>
      </c>
      <c r="J37" s="2797">
        <v>83.6</v>
      </c>
      <c r="K37" s="2797">
        <f t="shared" si="3"/>
        <v>7.2999999999999972</v>
      </c>
      <c r="L37" s="2797" t="s">
        <v>2565</v>
      </c>
      <c r="N37" s="3150">
        <v>10</v>
      </c>
    </row>
    <row r="38" spans="1:14">
      <c r="A38" s="2779" t="s">
        <v>2540</v>
      </c>
      <c r="B38" s="2780"/>
      <c r="C38" s="2780"/>
      <c r="D38" s="2780"/>
      <c r="E38" s="2780"/>
      <c r="F38" s="2780"/>
      <c r="G38" s="2781"/>
      <c r="I38" s="2797">
        <v>25</v>
      </c>
      <c r="J38" s="2797">
        <v>89.3</v>
      </c>
      <c r="K38" s="2797">
        <f t="shared" si="3"/>
        <v>5.7000000000000028</v>
      </c>
      <c r="L38" s="2797" t="s">
        <v>2569</v>
      </c>
      <c r="N38" s="3150">
        <v>8</v>
      </c>
    </row>
    <row r="39" spans="1:14">
      <c r="A39" s="2779"/>
      <c r="B39" s="2780"/>
      <c r="C39" s="2780"/>
      <c r="D39" s="2780"/>
      <c r="E39" s="2780"/>
      <c r="F39" s="2780"/>
      <c r="G39" s="2781"/>
      <c r="I39" s="2797">
        <v>30</v>
      </c>
      <c r="J39" s="2797">
        <v>93.8</v>
      </c>
      <c r="K39" s="2797">
        <f t="shared" si="3"/>
        <v>4.5</v>
      </c>
      <c r="L39" s="2797" t="s">
        <v>2570</v>
      </c>
      <c r="N39" s="3150">
        <v>6</v>
      </c>
    </row>
    <row r="40" spans="1:14">
      <c r="A40" s="2782" t="s">
        <v>2541</v>
      </c>
      <c r="B40" s="2783"/>
      <c r="C40" s="2783"/>
      <c r="D40" s="2783"/>
      <c r="E40" s="2783"/>
      <c r="F40" s="2783"/>
      <c r="G40" s="2784"/>
      <c r="I40" s="2797">
        <v>35</v>
      </c>
      <c r="J40" s="2797">
        <v>97.2</v>
      </c>
      <c r="K40" s="2797">
        <f t="shared" si="3"/>
        <v>3.4000000000000057</v>
      </c>
      <c r="L40" s="2797" t="s">
        <v>2571</v>
      </c>
      <c r="N40" s="3150">
        <v>3</v>
      </c>
    </row>
    <row r="41" spans="1:14">
      <c r="A41" s="2785" t="s">
        <v>2542</v>
      </c>
      <c r="B41" s="2786" t="s">
        <v>2543</v>
      </c>
      <c r="C41" s="2787" t="s">
        <v>2544</v>
      </c>
      <c r="D41" s="2787" t="s">
        <v>2545</v>
      </c>
      <c r="E41" s="2788"/>
      <c r="F41" s="2789"/>
      <c r="G41" s="2790"/>
      <c r="I41" s="2797">
        <v>40</v>
      </c>
      <c r="J41" s="2797">
        <v>100</v>
      </c>
      <c r="K41" s="2797">
        <f t="shared" si="3"/>
        <v>2.7999999999999972</v>
      </c>
    </row>
    <row r="42" spans="1:14">
      <c r="A42" s="2785" t="s">
        <v>2546</v>
      </c>
      <c r="B42" s="2786" t="s">
        <v>2547</v>
      </c>
      <c r="C42" s="2787" t="s">
        <v>2548</v>
      </c>
      <c r="D42" s="2791" t="s">
        <v>2549</v>
      </c>
      <c r="E42" s="2783" t="s">
        <v>2550</v>
      </c>
      <c r="F42" s="2783"/>
      <c r="G42" s="2784"/>
    </row>
    <row r="43" spans="1:14">
      <c r="A43" s="2785" t="s">
        <v>2551</v>
      </c>
      <c r="B43" s="2786" t="s">
        <v>2552</v>
      </c>
      <c r="C43" s="2787" t="s">
        <v>2553</v>
      </c>
      <c r="D43" s="2787" t="s">
        <v>2554</v>
      </c>
      <c r="E43" s="2788" t="s">
        <v>2555</v>
      </c>
      <c r="F43" s="2789"/>
      <c r="G43" s="2790"/>
      <c r="I43" s="2797" t="s">
        <v>2563</v>
      </c>
      <c r="J43" s="2797" t="s">
        <v>2574</v>
      </c>
    </row>
    <row r="44" spans="1:14">
      <c r="A44" s="2785" t="s">
        <v>2556</v>
      </c>
      <c r="B44" s="2786" t="s">
        <v>2557</v>
      </c>
      <c r="C44" s="2787" t="s">
        <v>2558</v>
      </c>
      <c r="D44" s="2791">
        <v>0.5</v>
      </c>
      <c r="E44" s="2788" t="s">
        <v>2559</v>
      </c>
      <c r="F44" s="2789"/>
      <c r="G44" s="2790"/>
      <c r="I44" s="2797">
        <v>30</v>
      </c>
      <c r="J44" s="2797">
        <v>81.7</v>
      </c>
    </row>
    <row r="45" spans="1:14" ht="15" thickBot="1">
      <c r="A45" s="2792" t="s">
        <v>2560</v>
      </c>
      <c r="B45" s="2793" t="s">
        <v>2547</v>
      </c>
      <c r="C45" s="2794" t="s">
        <v>2547</v>
      </c>
      <c r="D45" s="2794" t="s">
        <v>2561</v>
      </c>
      <c r="E45" s="2795" t="s">
        <v>2562</v>
      </c>
      <c r="F45" s="2795"/>
      <c r="G45" s="2796"/>
      <c r="I45" s="2797">
        <v>40</v>
      </c>
      <c r="J45" s="2797">
        <v>89.2</v>
      </c>
      <c r="K45" s="2797">
        <f>J45-J44</f>
        <v>7.5</v>
      </c>
    </row>
    <row r="46" spans="1:14">
      <c r="I46" s="2797">
        <v>50</v>
      </c>
      <c r="J46" s="2797">
        <v>94.3</v>
      </c>
      <c r="K46" s="2797">
        <f t="shared" ref="K46:K47" si="4">J46-J45</f>
        <v>5.0999999999999943</v>
      </c>
    </row>
    <row r="47" spans="1:14">
      <c r="I47" s="2797">
        <v>60</v>
      </c>
      <c r="J47" s="2797">
        <v>97.7</v>
      </c>
      <c r="K47" s="2797">
        <f t="shared" si="4"/>
        <v>3.4000000000000057</v>
      </c>
    </row>
    <row r="48" spans="1:14" ht="15" thickBot="1"/>
    <row r="49" spans="1:4">
      <c r="A49" s="2753" t="s">
        <v>3389</v>
      </c>
    </row>
    <row r="50" spans="1:4">
      <c r="A50" s="3142" t="s">
        <v>3390</v>
      </c>
      <c r="B50" s="3142" t="s">
        <v>3391</v>
      </c>
      <c r="C50" s="3142" t="s">
        <v>3392</v>
      </c>
      <c r="D50" s="3142" t="s">
        <v>3393</v>
      </c>
    </row>
    <row r="51" spans="1:4">
      <c r="A51" s="3142" t="s">
        <v>3394</v>
      </c>
      <c r="B51" s="2762">
        <f>B52+B53</f>
        <v>15000</v>
      </c>
      <c r="C51" s="3143">
        <f>D51/B51</f>
        <v>2666.6666666666665</v>
      </c>
      <c r="D51" s="2762">
        <f>D52+D53</f>
        <v>40000000</v>
      </c>
    </row>
    <row r="52" spans="1:4">
      <c r="A52" s="3144" t="s">
        <v>3395</v>
      </c>
      <c r="B52" s="3145">
        <v>10000</v>
      </c>
      <c r="C52" s="3145">
        <v>1500</v>
      </c>
      <c r="D52" s="3146">
        <f>C52*B52</f>
        <v>15000000</v>
      </c>
    </row>
    <row r="53" spans="1:4">
      <c r="A53" s="3144" t="s">
        <v>3396</v>
      </c>
      <c r="B53" s="3145">
        <v>5000</v>
      </c>
      <c r="C53" s="3145">
        <v>5000</v>
      </c>
      <c r="D53" s="3146">
        <f>C53*B53</f>
        <v>25000000</v>
      </c>
    </row>
    <row r="54" spans="1:4">
      <c r="A54" s="3142" t="s">
        <v>3397</v>
      </c>
      <c r="B54" s="2762">
        <f>B51</f>
        <v>15000</v>
      </c>
      <c r="C54" s="2768">
        <v>700</v>
      </c>
      <c r="D54" s="2762">
        <f t="shared" ref="D54:D55" si="5">C54*B54</f>
        <v>10500000</v>
      </c>
    </row>
    <row r="55" spans="1:4">
      <c r="A55" s="3142" t="s">
        <v>3398</v>
      </c>
      <c r="B55" s="2762">
        <f>B51</f>
        <v>15000</v>
      </c>
      <c r="C55" s="2768">
        <v>1500</v>
      </c>
      <c r="D55" s="2762">
        <f t="shared" si="5"/>
        <v>22500000</v>
      </c>
    </row>
    <row r="56" spans="1:4">
      <c r="A56" s="3142" t="s">
        <v>3399</v>
      </c>
      <c r="B56" s="2762">
        <f>B51</f>
        <v>15000</v>
      </c>
      <c r="C56" s="3147">
        <f>C51+C54+C55</f>
        <v>4866.6666666666661</v>
      </c>
      <c r="D56" s="2762">
        <f>D51+D54+D55</f>
        <v>73000000</v>
      </c>
    </row>
    <row r="58" spans="1:4">
      <c r="A58" s="3142" t="s">
        <v>3400</v>
      </c>
      <c r="B58" s="3148">
        <v>0.05</v>
      </c>
      <c r="C58" s="2762">
        <f>C56*(1+B58)</f>
        <v>5110</v>
      </c>
      <c r="D58" s="2762">
        <f>D56*B58</f>
        <v>3650000</v>
      </c>
    </row>
    <row r="60" spans="1:4">
      <c r="A60" s="3142" t="s">
        <v>3401</v>
      </c>
      <c r="B60" s="2768">
        <v>3500</v>
      </c>
      <c r="C60" s="2768">
        <f>C53</f>
        <v>5000</v>
      </c>
      <c r="D60" s="2762">
        <f>C60*B60</f>
        <v>17500000</v>
      </c>
    </row>
    <row r="62" spans="1:4">
      <c r="A62" s="3142" t="s">
        <v>3402</v>
      </c>
      <c r="B62" s="2768">
        <f>B51</f>
        <v>15000</v>
      </c>
      <c r="C62" s="3149">
        <f>D62/B62</f>
        <v>6276.666666666667</v>
      </c>
      <c r="D62" s="2768">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D19" sqref="D19"/>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0" customWidth="1"/>
    <col min="12" max="13" width="10" style="2411"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78" t="s">
        <v>2168</v>
      </c>
      <c r="B1" s="3229" t="str">
        <f>IF(B10="北京市","北京市",C10)&amp;F10&amp;IF(结果表!G1="在建","出让国有建设用地使用权及在建建筑物",IF(结果表!G1="土地","出让国有建设用地使用权",))&amp;B9&amp;"预评估"</f>
        <v>北京市房地产市场价值预评估</v>
      </c>
      <c r="C1" s="3230"/>
      <c r="D1" s="3230"/>
      <c r="E1" s="3230"/>
      <c r="F1" s="3230"/>
      <c r="G1" s="3230"/>
      <c r="H1" s="3230"/>
      <c r="I1" s="3231"/>
      <c r="J1" s="2242"/>
      <c r="K1" s="2180"/>
      <c r="L1" s="2181"/>
      <c r="M1" s="2181"/>
      <c r="N1" s="2179"/>
      <c r="O1" s="1466"/>
      <c r="P1" s="2179"/>
      <c r="Q1" s="2179"/>
      <c r="R1" s="2179"/>
      <c r="S1" s="1561" t="str">
        <f>IF(B10="北京市","北京市",C10)&amp;F10&amp;IF(结果表!G1="在建","出让国有建设用地使用权及在建建筑物房地产抵押价值",IF(结果表!G1="土地","出让国有建设用地使用权抵押价值",B9))</f>
        <v>北京市房地产市场价值</v>
      </c>
      <c r="T1" s="1618"/>
      <c r="U1" s="1618"/>
      <c r="V1" s="1618"/>
      <c r="W1" s="1618"/>
      <c r="X1" s="1618"/>
      <c r="Y1" s="1618"/>
      <c r="Z1" s="1618"/>
      <c r="AA1" s="1618"/>
      <c r="AB1" s="1618"/>
    </row>
    <row r="2" spans="1:30">
      <c r="A2" s="2179" t="s">
        <v>2169</v>
      </c>
      <c r="B2" s="122"/>
      <c r="D2" s="2445"/>
      <c r="E2" s="2438"/>
      <c r="F2" s="2438"/>
      <c r="G2" s="2439"/>
      <c r="H2" s="2439"/>
      <c r="I2" s="2439"/>
      <c r="J2" s="2242"/>
      <c r="K2" s="2180"/>
      <c r="L2" s="2181"/>
      <c r="M2" s="2181"/>
      <c r="N2" s="2179"/>
      <c r="O2" s="1466"/>
      <c r="P2" s="2179"/>
      <c r="Q2" s="2179"/>
      <c r="R2" s="2179"/>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2">
        <v>45755</v>
      </c>
      <c r="C3" s="2183" t="s">
        <v>2171</v>
      </c>
      <c r="D3" s="2182">
        <f>B3</f>
        <v>45755</v>
      </c>
      <c r="E3" s="2439"/>
      <c r="F3" s="2439"/>
      <c r="G3" s="2439"/>
      <c r="H3" s="2439"/>
      <c r="I3" s="2439"/>
      <c r="J3" s="2242"/>
      <c r="K3" s="2180"/>
      <c r="L3" s="2181"/>
      <c r="M3" s="2181"/>
      <c r="N3" s="2179"/>
      <c r="O3" s="1466"/>
      <c r="P3" s="2179"/>
      <c r="Q3" s="2179"/>
      <c r="R3" s="2179"/>
      <c r="S3" s="1561"/>
      <c r="T3" s="1618"/>
      <c r="U3" s="1618"/>
      <c r="V3" s="1618"/>
      <c r="W3" s="1618"/>
      <c r="X3" s="1618"/>
      <c r="Y3" s="1618"/>
      <c r="Z3" s="1618"/>
      <c r="AA3" s="1618"/>
      <c r="AB3" s="1618"/>
    </row>
    <row r="4" spans="1:30" ht="13.8" thickBot="1">
      <c r="A4" s="1027" t="s">
        <v>2172</v>
      </c>
      <c r="B4" s="2184"/>
      <c r="C4" s="2185">
        <f>SUMIF(注册房地产估价师,B4,估价师及机构信息!B3:B24)</f>
        <v>0</v>
      </c>
      <c r="D4" s="2184"/>
      <c r="E4" s="2185">
        <f>SUMIF(注册房地产估价师,D4,估价师及机构信息!B3:B24)</f>
        <v>0</v>
      </c>
      <c r="F4" s="2184"/>
      <c r="G4" s="2185">
        <f>SUMIF(注册房地产估价师,F4,估价师及机构信息!B3:B24)</f>
        <v>0</v>
      </c>
      <c r="H4" s="2184"/>
      <c r="I4" s="2185">
        <f>SUMIF(注册房地产估价师,H4,估价师及机构信息!B3:B24)</f>
        <v>0</v>
      </c>
      <c r="J4" s="2242"/>
      <c r="K4" s="2186" t="str">
        <f>CONCATENATE(B4,"（注册号：",C4,")、",D4,"（注册号：",E4,")")</f>
        <v>（注册号：0)、（注册号：0)</v>
      </c>
      <c r="L4" s="2181"/>
      <c r="M4" s="2181"/>
      <c r="N4" s="2179"/>
      <c r="O4" s="1466"/>
      <c r="P4" s="2179"/>
      <c r="Q4" s="2179"/>
      <c r="R4" s="2179"/>
      <c r="S4" s="1561"/>
      <c r="T4" s="1618"/>
      <c r="U4" s="1618"/>
      <c r="V4" s="1618"/>
      <c r="W4" s="1618"/>
      <c r="X4" s="1618"/>
      <c r="Y4" s="1618"/>
      <c r="Z4" s="1618"/>
      <c r="AA4" s="1618"/>
      <c r="AB4" s="1618"/>
    </row>
    <row r="5" spans="1:30" ht="13.8" thickTop="1">
      <c r="A5" s="2187" t="s">
        <v>2173</v>
      </c>
      <c r="B5" s="2188"/>
      <c r="C5" s="2189"/>
      <c r="D5" s="2190"/>
      <c r="E5" s="2439"/>
      <c r="F5" s="2439"/>
      <c r="G5" s="2439"/>
      <c r="H5" s="2439"/>
      <c r="I5" s="2439"/>
      <c r="J5" s="2242"/>
      <c r="K5" s="2186" t="str">
        <f>IF(F4="——","",IF(H4="——",F4&amp;"（注册号："&amp;G4&amp;")",CONCATENATE(F4,"（注册号：",G4,")、",H4,"（注册号：",I4,")")))</f>
        <v>（注册号：0)、（注册号：0)</v>
      </c>
      <c r="L5" s="2181"/>
      <c r="M5" s="2181"/>
      <c r="N5" s="2179"/>
      <c r="O5" s="1466"/>
      <c r="P5" s="2179"/>
      <c r="Q5" s="2179"/>
      <c r="R5" s="2179"/>
      <c r="S5" s="1618"/>
      <c r="T5" s="1618"/>
      <c r="U5" s="1618"/>
      <c r="V5" s="1618"/>
      <c r="W5" s="1618"/>
      <c r="X5" s="1618"/>
      <c r="Y5" s="1618"/>
      <c r="Z5" s="1618"/>
      <c r="AA5" s="1618"/>
      <c r="AB5" s="1618"/>
    </row>
    <row r="6" spans="1:30">
      <c r="A6" s="2191" t="s">
        <v>2174</v>
      </c>
      <c r="B6" s="2192"/>
      <c r="C6" s="2193"/>
      <c r="D6" s="2194"/>
      <c r="E6" s="2438"/>
      <c r="F6" s="2439"/>
      <c r="G6" s="2439"/>
      <c r="H6" s="2439"/>
      <c r="I6" s="2439"/>
      <c r="J6" s="2242"/>
      <c r="K6" s="2398" t="str">
        <f>IF(COUNTIF(B6,"*上海银行*"),"上海银行","")</f>
        <v/>
      </c>
      <c r="L6" s="2396"/>
      <c r="M6" s="2396"/>
      <c r="N6" s="2242"/>
      <c r="O6" s="1670"/>
      <c r="P6" s="2242"/>
      <c r="Q6" s="2242"/>
      <c r="R6" s="2242"/>
    </row>
    <row r="7" spans="1:30">
      <c r="A7" s="2191" t="s">
        <v>2175</v>
      </c>
      <c r="B7" s="2195"/>
      <c r="C7" s="2193"/>
      <c r="D7" s="2194"/>
      <c r="E7" s="2438"/>
      <c r="F7" s="2439"/>
      <c r="G7" s="2439"/>
      <c r="H7" s="2439"/>
      <c r="I7" s="2439"/>
      <c r="J7" s="2242"/>
      <c r="K7" s="2399"/>
      <c r="L7" s="2396"/>
      <c r="M7" s="2396"/>
      <c r="N7" s="2242"/>
      <c r="O7" s="1670"/>
      <c r="P7" s="2242"/>
      <c r="Q7" s="2242"/>
      <c r="R7" s="2242"/>
    </row>
    <row r="8" spans="1:30">
      <c r="A8" s="2196" t="s">
        <v>2176</v>
      </c>
      <c r="B8" s="2197" t="s">
        <v>3404</v>
      </c>
      <c r="C8" s="2198"/>
      <c r="D8" s="3232" t="s">
        <v>2177</v>
      </c>
      <c r="E8" s="2199"/>
      <c r="F8" s="2200"/>
      <c r="G8" s="2439"/>
      <c r="H8" s="2439"/>
      <c r="I8" s="2439"/>
      <c r="J8" s="2242"/>
      <c r="K8" s="2397"/>
      <c r="L8" s="2396"/>
      <c r="M8" s="2396"/>
      <c r="N8" s="2242"/>
      <c r="O8" s="1670"/>
      <c r="P8" s="2242"/>
      <c r="Q8" s="2242"/>
      <c r="R8" s="2242"/>
    </row>
    <row r="9" spans="1:30" ht="13.8" thickBot="1">
      <c r="A9" s="2201" t="s">
        <v>2178</v>
      </c>
      <c r="B9" s="2202" t="s">
        <v>3405</v>
      </c>
      <c r="C9" s="2203"/>
      <c r="D9" s="3233"/>
      <c r="E9" s="2202"/>
      <c r="F9" s="2204"/>
      <c r="G9" s="2440"/>
      <c r="H9" s="2440"/>
      <c r="I9" s="2440"/>
      <c r="J9" s="2242"/>
      <c r="K9" s="2399"/>
      <c r="L9" s="2396"/>
      <c r="M9" s="2396"/>
      <c r="N9" s="2242"/>
      <c r="O9" s="1670"/>
      <c r="P9" s="2242"/>
      <c r="Q9" s="2242"/>
      <c r="R9" s="2242"/>
    </row>
    <row r="10" spans="1:30" ht="13.8" thickTop="1">
      <c r="A10" s="2205" t="s">
        <v>2179</v>
      </c>
      <c r="B10" s="2206" t="s">
        <v>3406</v>
      </c>
      <c r="C10" s="2207"/>
      <c r="D10" s="2190"/>
      <c r="E10" s="2208" t="s">
        <v>2180</v>
      </c>
      <c r="F10" s="2441"/>
      <c r="G10" s="2442"/>
      <c r="H10" s="2443"/>
      <c r="I10" s="2444"/>
      <c r="J10" s="2242"/>
      <c r="K10" s="2399"/>
      <c r="L10" s="2396"/>
      <c r="M10" s="2396"/>
      <c r="N10" s="2242"/>
      <c r="O10" s="1670"/>
      <c r="P10" s="2242"/>
      <c r="Q10" s="2242"/>
      <c r="R10" s="2242"/>
    </row>
    <row r="11" spans="1:30">
      <c r="A11" s="2209" t="s">
        <v>2181</v>
      </c>
      <c r="B11" s="2210" t="s">
        <v>3407</v>
      </c>
      <c r="C11" s="2211"/>
      <c r="D11" s="2212"/>
      <c r="E11" s="2179"/>
      <c r="F11" s="2179"/>
      <c r="G11" s="2179"/>
      <c r="H11" s="2179"/>
      <c r="I11" s="2179"/>
      <c r="J11" s="2799"/>
      <c r="K11" s="2396"/>
      <c r="L11" s="2396"/>
      <c r="M11" s="2396"/>
      <c r="N11" s="2242"/>
      <c r="O11" s="1670"/>
      <c r="P11" s="2242"/>
      <c r="Q11" s="2242"/>
      <c r="R11" s="2242"/>
    </row>
    <row r="12" spans="1:30">
      <c r="A12" s="2213" t="s">
        <v>2182</v>
      </c>
      <c r="B12" s="315" t="s">
        <v>2183</v>
      </c>
      <c r="C12" s="2214" t="s">
        <v>2184</v>
      </c>
      <c r="D12" s="2214" t="s">
        <v>2185</v>
      </c>
      <c r="E12" s="2214" t="s">
        <v>2186</v>
      </c>
      <c r="F12" s="2214" t="s">
        <v>2187</v>
      </c>
      <c r="G12" s="2214" t="s">
        <v>2188</v>
      </c>
      <c r="H12" s="2214" t="s">
        <v>2189</v>
      </c>
      <c r="I12" s="2798" t="s">
        <v>2575</v>
      </c>
      <c r="J12" s="2800"/>
      <c r="K12" s="2396"/>
      <c r="L12" s="2396"/>
      <c r="M12" s="2242"/>
      <c r="N12" s="1670"/>
      <c r="O12" s="2242"/>
      <c r="P12" s="2242"/>
      <c r="Q12" s="2242"/>
      <c r="AD12" s="1618"/>
    </row>
    <row r="13" spans="1:30">
      <c r="A13" s="3119" t="s">
        <v>3331</v>
      </c>
      <c r="B13" s="2215" t="s">
        <v>2190</v>
      </c>
      <c r="C13" s="803">
        <v>61452</v>
      </c>
      <c r="D13" s="803"/>
      <c r="E13" s="803"/>
      <c r="F13" s="803"/>
      <c r="G13" s="803"/>
      <c r="H13" s="803"/>
      <c r="I13" s="803"/>
      <c r="J13" s="2800"/>
      <c r="K13" s="2396"/>
      <c r="L13" s="2396"/>
      <c r="M13" s="2242"/>
      <c r="N13" s="1670"/>
      <c r="O13" s="2242"/>
      <c r="P13" s="2242"/>
      <c r="Q13" s="2242"/>
      <c r="AD13" s="1618"/>
    </row>
    <row r="14" spans="1:30">
      <c r="A14" s="1018"/>
      <c r="B14" s="2215" t="s">
        <v>2191</v>
      </c>
      <c r="C14" s="2216">
        <v>70</v>
      </c>
      <c r="D14" s="2216"/>
      <c r="E14" s="2216"/>
      <c r="F14" s="2216"/>
      <c r="G14" s="2216"/>
      <c r="H14" s="2216"/>
      <c r="I14" s="2216"/>
      <c r="J14" s="2801"/>
      <c r="K14" s="2396"/>
      <c r="L14" s="2396"/>
      <c r="M14" s="2242"/>
      <c r="N14" s="1670"/>
      <c r="O14" s="2242"/>
      <c r="P14" s="2242"/>
      <c r="Q14" s="2242"/>
      <c r="AD14" s="1618"/>
    </row>
    <row r="15" spans="1:30">
      <c r="A15" s="312"/>
      <c r="B15" s="2217" t="s">
        <v>2192</v>
      </c>
      <c r="C15" s="2218">
        <f>IF(A13="出让",IF(C13="","",ROUNDDOWN(MIN((C13-$D$3)/365,C14),2)),C14)</f>
        <v>43</v>
      </c>
      <c r="D15" s="2218" t="str">
        <f>IF(A13="出让",IF(D13="","",ROUNDDOWN(MIN((D13-$D$3)/365,D14),2)),D14)</f>
        <v/>
      </c>
      <c r="E15" s="2218" t="str">
        <f>IF(A13="出让",IF(E13="","",ROUNDDOWN(MIN((E13-$D$3)/365,E14),2)),E14)</f>
        <v/>
      </c>
      <c r="F15" s="2218" t="str">
        <f>IF(A13="出让",IF(F13="","",ROUNDDOWN(MIN((F13-$D$3)/365,F14),2)),F14)</f>
        <v/>
      </c>
      <c r="G15" s="2218" t="str">
        <f>IF(A13="出让",IF(G13="","",ROUNDDOWN(MIN((G13-$D$3)/365,G14),2)),G14)</f>
        <v/>
      </c>
      <c r="H15" s="2218" t="str">
        <f>IF(A13="出让",IF(H13="","",ROUNDDOWN(MIN((H13-$D$3)/365,H14),2)),H14)</f>
        <v/>
      </c>
      <c r="I15" s="2218" t="str">
        <f>IF(A13="出让",IF(I13="","",ROUNDDOWN(MIN((I13-$D$3)/365,I14),2)),I14)</f>
        <v/>
      </c>
      <c r="J15" s="2802"/>
      <c r="K15" s="1670"/>
      <c r="L15" s="1670"/>
      <c r="M15" s="2242"/>
      <c r="N15" s="1670"/>
      <c r="O15" s="2242"/>
      <c r="P15" s="2242"/>
      <c r="Q15" s="2242"/>
      <c r="AD15" s="1618"/>
    </row>
    <row r="16" spans="1:30">
      <c r="A16" s="2208" t="s">
        <v>2193</v>
      </c>
      <c r="B16" s="3239"/>
      <c r="C16" s="3240"/>
      <c r="D16" s="3241"/>
      <c r="E16" s="2219" t="s">
        <v>2194</v>
      </c>
      <c r="F16" s="3242"/>
      <c r="G16" s="3243"/>
      <c r="H16" s="3243"/>
      <c r="I16" s="3244"/>
      <c r="J16" s="2242"/>
      <c r="K16" s="2400"/>
      <c r="L16" s="1670"/>
      <c r="M16" s="1670"/>
      <c r="N16" s="2242"/>
      <c r="O16" s="1670"/>
      <c r="P16" s="2242"/>
      <c r="Q16" s="2242"/>
      <c r="R16" s="2242"/>
    </row>
    <row r="17" spans="1:28">
      <c r="A17" s="305" t="s">
        <v>2195</v>
      </c>
      <c r="B17" s="294" t="s">
        <v>2196</v>
      </c>
      <c r="C17" s="8">
        <f>'数据-汇总表'!E3</f>
        <v>57.2</v>
      </c>
      <c r="D17" s="1256" t="s">
        <v>2197</v>
      </c>
      <c r="E17" s="3245" t="s">
        <v>2198</v>
      </c>
      <c r="F17" s="3246"/>
      <c r="G17" s="3246"/>
      <c r="H17" s="3246"/>
      <c r="I17" s="3247"/>
      <c r="J17" s="2242"/>
      <c r="K17" s="2401"/>
      <c r="L17" s="1670"/>
      <c r="M17" s="1670"/>
      <c r="N17" s="2242"/>
      <c r="O17" s="1670"/>
      <c r="P17" s="2242"/>
      <c r="Q17" s="2242"/>
      <c r="R17" s="2242"/>
      <c r="S17" s="2242"/>
      <c r="T17" s="2242"/>
      <c r="U17" s="2242"/>
      <c r="V17" s="2242"/>
    </row>
    <row r="18" spans="1:28" ht="24.6" thickBot="1">
      <c r="A18" s="2220" t="s">
        <v>2199</v>
      </c>
      <c r="B18" s="1027" t="s">
        <v>2200</v>
      </c>
      <c r="C18" s="2221">
        <f>'数据-汇总表'!D3</f>
        <v>0</v>
      </c>
      <c r="D18" s="1029" t="s">
        <v>2201</v>
      </c>
      <c r="E18" s="3248" t="s">
        <v>2202</v>
      </c>
      <c r="F18" s="3249"/>
      <c r="G18" s="3249"/>
      <c r="H18" s="3249"/>
      <c r="I18" s="3250"/>
      <c r="J18" s="2242"/>
      <c r="K18" s="2401"/>
      <c r="L18" s="1670"/>
      <c r="M18" s="1670"/>
      <c r="N18" s="2242"/>
      <c r="O18" s="1670"/>
      <c r="P18" s="2242"/>
      <c r="Q18" s="2242"/>
      <c r="R18" s="2242"/>
      <c r="S18" s="2242"/>
      <c r="T18" s="2242"/>
      <c r="U18" s="2242"/>
      <c r="V18" s="2242"/>
    </row>
    <row r="19" spans="1:28" ht="37.200000000000003" thickTop="1" thickBot="1">
      <c r="A19" s="319" t="s">
        <v>1055</v>
      </c>
      <c r="B19" s="299" t="s">
        <v>2203</v>
      </c>
      <c r="C19" s="1455"/>
      <c r="D19" s="1456" t="s">
        <v>2204</v>
      </c>
      <c r="E19" s="1457"/>
      <c r="F19" s="1458" t="str">
        <f>IF(AND(C19="是",E19="否"),"是否提供他项权证或相关说明","")</f>
        <v/>
      </c>
      <c r="G19" s="1459"/>
      <c r="H19" s="2439"/>
      <c r="I19" s="2439"/>
      <c r="J19" s="2242"/>
      <c r="K19" s="2399"/>
      <c r="L19" s="2396"/>
      <c r="M19" s="2396"/>
      <c r="N19" s="2242"/>
      <c r="O19" s="1670"/>
      <c r="P19" s="2242"/>
      <c r="Q19" s="2242"/>
      <c r="R19" s="2242"/>
      <c r="S19" s="2242"/>
      <c r="T19" s="2242"/>
      <c r="U19" s="2242"/>
      <c r="V19" s="2242"/>
    </row>
    <row r="20" spans="1:28">
      <c r="A20" s="2414" t="s">
        <v>2205</v>
      </c>
      <c r="B20" s="3235" t="s">
        <v>2206</v>
      </c>
      <c r="C20" s="3236"/>
      <c r="D20" s="3237" t="s">
        <v>2207</v>
      </c>
      <c r="E20" s="3238"/>
      <c r="F20" s="2427" t="s">
        <v>1056</v>
      </c>
      <c r="G20" s="2439"/>
      <c r="H20" s="2439"/>
      <c r="I20" s="2439"/>
      <c r="J20" s="2242"/>
      <c r="K20" s="3234"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1"/>
      <c r="N20" s="2179"/>
      <c r="O20" s="1466"/>
      <c r="P20" s="2179"/>
      <c r="Q20" s="2179"/>
      <c r="R20" s="2179"/>
      <c r="S20" s="2179"/>
      <c r="T20" s="2179"/>
      <c r="U20" s="2179"/>
      <c r="V20" s="2179"/>
      <c r="W20" s="1618"/>
      <c r="X20" s="1618"/>
      <c r="Y20" s="1618"/>
      <c r="Z20" s="1618"/>
      <c r="AA20" s="1618"/>
      <c r="AB20" s="1618"/>
    </row>
    <row r="21" spans="1:28" ht="36.6" thickBot="1">
      <c r="A21" s="2414"/>
      <c r="B21" s="2415" t="s">
        <v>2209</v>
      </c>
      <c r="C21" s="2293" t="s">
        <v>1057</v>
      </c>
      <c r="D21" s="1460" t="s">
        <v>2210</v>
      </c>
      <c r="E21" s="2416" t="s">
        <v>1057</v>
      </c>
      <c r="F21" s="2428"/>
      <c r="G21" s="2439"/>
      <c r="H21" s="2439"/>
      <c r="I21" s="2439"/>
      <c r="J21" s="2242"/>
      <c r="K21" s="3234"/>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1"/>
      <c r="N21" s="2179"/>
      <c r="O21" s="1466"/>
      <c r="P21" s="2179"/>
      <c r="Q21" s="2179"/>
      <c r="R21" s="2179"/>
      <c r="S21" s="2179"/>
      <c r="T21" s="2179"/>
      <c r="U21" s="2179"/>
      <c r="V21" s="2179"/>
      <c r="W21" s="1618"/>
      <c r="X21" s="1618"/>
      <c r="Y21" s="1618"/>
      <c r="Z21" s="1618"/>
      <c r="AA21" s="1618"/>
      <c r="AB21" s="1618"/>
    </row>
    <row r="22" spans="1:28" ht="36.6" thickBot="1">
      <c r="A22" s="2414"/>
      <c r="B22" s="2417" t="s">
        <v>2211</v>
      </c>
      <c r="C22" s="2293" t="s">
        <v>1058</v>
      </c>
      <c r="D22" s="2439"/>
      <c r="E22" s="2439"/>
      <c r="F22" s="2439"/>
      <c r="G22" s="2439"/>
      <c r="H22" s="2439"/>
      <c r="I22" s="2439"/>
      <c r="J22" s="2242"/>
      <c r="K22" s="3234"/>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1"/>
      <c r="N22" s="2179"/>
      <c r="O22" s="1466"/>
      <c r="P22" s="2179"/>
      <c r="Q22" s="2179"/>
      <c r="R22" s="2179"/>
      <c r="S22" s="2179"/>
      <c r="T22" s="2179"/>
      <c r="U22" s="2179"/>
      <c r="V22" s="2179"/>
      <c r="W22" s="1618"/>
      <c r="X22" s="1618"/>
      <c r="Y22" s="1618"/>
      <c r="Z22" s="1618"/>
      <c r="AA22" s="1618"/>
      <c r="AB22" s="1618"/>
    </row>
    <row r="23" spans="1:28">
      <c r="A23" s="2418" t="s">
        <v>2212</v>
      </c>
      <c r="B23" s="2290" t="s">
        <v>2213</v>
      </c>
      <c r="C23" s="2419"/>
      <c r="D23" s="2420" t="s">
        <v>2213</v>
      </c>
      <c r="E23" s="2421"/>
      <c r="F23" s="2439"/>
      <c r="G23" s="2439"/>
      <c r="H23" s="2439"/>
      <c r="I23" s="2439"/>
      <c r="J23" s="2242"/>
      <c r="K23" s="2398"/>
      <c r="L23" s="121"/>
      <c r="M23" s="2396"/>
      <c r="N23" s="2242"/>
      <c r="O23" s="1670"/>
      <c r="P23" s="2242"/>
      <c r="Q23" s="2242"/>
      <c r="R23" s="2242"/>
      <c r="S23" s="2242"/>
      <c r="T23" s="2242"/>
      <c r="U23" s="2242"/>
      <c r="V23" s="2242"/>
    </row>
    <row r="24" spans="1:28">
      <c r="A24" s="2418"/>
      <c r="B24" s="2290" t="s">
        <v>1059</v>
      </c>
      <c r="C24" s="2268"/>
      <c r="D24" s="2418" t="s">
        <v>1059</v>
      </c>
      <c r="E24" s="2422"/>
      <c r="F24" s="2439"/>
      <c r="G24" s="2439"/>
      <c r="H24" s="2439"/>
      <c r="I24" s="2439"/>
      <c r="J24" s="2242"/>
      <c r="K24" s="2398"/>
      <c r="L24" s="121"/>
      <c r="M24" s="2396"/>
      <c r="N24" s="2242"/>
      <c r="O24" s="1670"/>
      <c r="P24" s="2242"/>
      <c r="Q24" s="2242"/>
      <c r="R24" s="2242"/>
      <c r="S24" s="2242"/>
      <c r="T24" s="2242"/>
      <c r="U24" s="2242"/>
      <c r="V24" s="2242"/>
    </row>
    <row r="25" spans="1:28">
      <c r="A25" s="2418"/>
      <c r="B25" s="2290" t="s">
        <v>1060</v>
      </c>
      <c r="C25" s="2268"/>
      <c r="D25" s="2418" t="s">
        <v>1060</v>
      </c>
      <c r="E25" s="2422"/>
      <c r="F25" s="2439"/>
      <c r="G25" s="2439"/>
      <c r="H25" s="2439"/>
      <c r="I25" s="2439"/>
      <c r="J25" s="2242"/>
      <c r="K25" s="2399"/>
      <c r="L25" s="2396"/>
      <c r="M25" s="2396"/>
      <c r="N25" s="2242"/>
      <c r="O25" s="1670"/>
      <c r="P25" s="2242"/>
      <c r="Q25" s="2242"/>
      <c r="R25" s="2242"/>
      <c r="S25" s="2242"/>
      <c r="T25" s="2242"/>
      <c r="U25" s="2242"/>
      <c r="V25" s="2242"/>
    </row>
    <row r="26" spans="1:28" ht="13.8" thickBot="1">
      <c r="A26" s="2423"/>
      <c r="B26" s="2424" t="s">
        <v>1061</v>
      </c>
      <c r="C26" s="2425"/>
      <c r="D26" s="2423" t="s">
        <v>1061</v>
      </c>
      <c r="E26" s="2426"/>
      <c r="F26" s="2440"/>
      <c r="G26" s="2440"/>
      <c r="H26" s="2440"/>
      <c r="I26" s="2440"/>
      <c r="J26" s="2242"/>
      <c r="K26" s="2399"/>
      <c r="L26" s="2396"/>
      <c r="M26" s="2396"/>
      <c r="N26" s="2242"/>
      <c r="O26" s="1670"/>
      <c r="P26" s="2242"/>
      <c r="Q26" s="2242"/>
      <c r="R26" s="2242"/>
      <c r="S26" s="2242"/>
      <c r="T26" s="2242"/>
      <c r="U26" s="2242"/>
      <c r="V26" s="2242"/>
    </row>
    <row r="27" spans="1:28" ht="13.8" thickTop="1">
      <c r="A27" s="3252" t="s">
        <v>2214</v>
      </c>
      <c r="B27" s="312" t="s">
        <v>2215</v>
      </c>
      <c r="C27" s="2222"/>
      <c r="D27" s="2223"/>
      <c r="E27" s="2439"/>
      <c r="F27" s="2439"/>
      <c r="G27" s="2439"/>
      <c r="H27" s="2439"/>
      <c r="I27" s="2439"/>
      <c r="J27" s="2242"/>
      <c r="K27" s="2400"/>
      <c r="L27" s="1670"/>
      <c r="M27" s="1670"/>
      <c r="N27" s="2242"/>
      <c r="O27" s="1670"/>
      <c r="P27" s="2242"/>
      <c r="Q27" s="2242"/>
      <c r="R27" s="2242"/>
      <c r="S27" s="2242"/>
      <c r="T27" s="2242"/>
      <c r="U27" s="2242"/>
      <c r="V27" s="2242"/>
    </row>
    <row r="28" spans="1:28">
      <c r="A28" s="3252"/>
      <c r="B28" s="294" t="s">
        <v>2216</v>
      </c>
      <c r="C28" s="2224"/>
      <c r="D28" s="2225"/>
      <c r="E28" s="2439"/>
      <c r="F28" s="2439"/>
      <c r="G28" s="2439"/>
      <c r="H28" s="2439"/>
      <c r="I28" s="2439"/>
      <c r="J28" s="2242"/>
      <c r="K28" s="2399"/>
      <c r="L28" s="2396"/>
      <c r="M28" s="2396"/>
      <c r="N28" s="2242"/>
      <c r="O28" s="1670"/>
      <c r="P28" s="2242"/>
      <c r="Q28" s="2242"/>
      <c r="R28" s="2242"/>
      <c r="S28" s="2242"/>
      <c r="T28" s="2242"/>
      <c r="U28" s="2242"/>
      <c r="V28" s="2242"/>
    </row>
    <row r="29" spans="1:28">
      <c r="A29" s="3252"/>
      <c r="B29" s="294" t="s">
        <v>2217</v>
      </c>
      <c r="C29" s="2226"/>
      <c r="D29" s="2227"/>
      <c r="E29" s="2439"/>
      <c r="F29" s="2439"/>
      <c r="G29" s="2439"/>
      <c r="H29" s="2439"/>
      <c r="I29" s="2439"/>
      <c r="J29" s="2242"/>
      <c r="K29" s="2399"/>
      <c r="L29" s="2396"/>
      <c r="M29" s="2396"/>
      <c r="N29" s="2242"/>
      <c r="O29" s="1670"/>
      <c r="P29" s="2242"/>
      <c r="Q29" s="2242"/>
      <c r="R29" s="2242"/>
      <c r="S29" s="2242"/>
      <c r="T29" s="2242"/>
      <c r="U29" s="2242"/>
      <c r="V29" s="2242"/>
    </row>
    <row r="30" spans="1:28">
      <c r="A30" s="3253"/>
      <c r="B30" s="294" t="s">
        <v>2218</v>
      </c>
      <c r="C30" s="3254"/>
      <c r="D30" s="3255"/>
      <c r="E30" s="2439"/>
      <c r="F30" s="2439"/>
      <c r="G30" s="2439"/>
      <c r="H30" s="2439"/>
      <c r="I30" s="2439"/>
      <c r="J30" s="2242"/>
      <c r="K30" s="2399"/>
      <c r="L30" s="2396"/>
      <c r="M30" s="2396"/>
      <c r="N30" s="2242"/>
      <c r="O30" s="1670"/>
      <c r="P30" s="2242"/>
      <c r="Q30" s="2242"/>
      <c r="R30" s="2242"/>
      <c r="S30" s="2242"/>
      <c r="T30" s="2242"/>
      <c r="U30" s="2242"/>
      <c r="V30" s="2242"/>
    </row>
    <row r="31" spans="1:28">
      <c r="A31" s="3256" t="s">
        <v>2219</v>
      </c>
      <c r="B31" s="2228"/>
      <c r="C31" s="12" t="str">
        <f>IF(B31="现房","成新及维护状况正常否",IF(B31="在建","工程状态是否正常",IF(B31="土地","是否闲置","-")))</f>
        <v>-</v>
      </c>
      <c r="D31" s="1281"/>
      <c r="E31" s="2229"/>
      <c r="F31" s="2439"/>
      <c r="G31" s="2439"/>
      <c r="H31" s="2439"/>
      <c r="I31" s="2439"/>
      <c r="J31" s="2242"/>
      <c r="K31" s="2398"/>
      <c r="L31" s="2396"/>
      <c r="M31" s="2396"/>
      <c r="N31" s="2242"/>
      <c r="O31" s="1670"/>
      <c r="P31" s="2242"/>
      <c r="Q31" s="2242"/>
      <c r="R31" s="2242"/>
      <c r="S31" s="2242"/>
      <c r="T31" s="2242"/>
      <c r="U31" s="2242"/>
      <c r="V31" s="2242"/>
    </row>
    <row r="32" spans="1:28">
      <c r="A32" s="3257"/>
      <c r="B32" s="2228"/>
      <c r="C32" s="12" t="str">
        <f>IF(B32="现房","成新及维护状况是否正常",IF(B32="在建","工程状态是否正常",IF(B32="土地","是否闲置","-")))</f>
        <v>-</v>
      </c>
      <c r="D32" s="1281"/>
      <c r="E32" s="2229"/>
      <c r="F32" s="2439"/>
      <c r="G32" s="2439"/>
      <c r="H32" s="2439"/>
      <c r="I32" s="2439"/>
      <c r="J32" s="2242"/>
      <c r="K32" s="2399"/>
      <c r="L32" s="2396"/>
      <c r="M32" s="2396"/>
      <c r="N32" s="2242"/>
      <c r="O32" s="1670"/>
      <c r="P32" s="2242"/>
      <c r="Q32" s="2242"/>
      <c r="R32" s="2242"/>
      <c r="S32" s="2242"/>
      <c r="T32" s="2242"/>
      <c r="U32" s="2242"/>
      <c r="V32" s="2242"/>
    </row>
    <row r="33" spans="1:30">
      <c r="A33" s="3257"/>
      <c r="B33" s="2231"/>
      <c r="C33" s="1478" t="str">
        <f>IF(B33="现房","成新及维护状况是否正常",IF(B33="在建","工程状态是否正常",IF(B33="土地","是否闲置","-")))</f>
        <v>-</v>
      </c>
      <c r="D33" s="1274"/>
      <c r="E33" s="2232"/>
      <c r="F33" s="2439"/>
      <c r="G33" s="2439"/>
      <c r="H33" s="2439"/>
      <c r="I33" s="2439"/>
      <c r="J33" s="2242"/>
      <c r="K33" s="2399"/>
      <c r="L33" s="2396"/>
      <c r="M33" s="2396"/>
      <c r="N33" s="2242"/>
      <c r="O33" s="1670"/>
      <c r="P33" s="2242"/>
      <c r="Q33" s="2242"/>
      <c r="R33" s="2242"/>
      <c r="S33" s="2242"/>
      <c r="T33" s="2242"/>
      <c r="U33" s="2242"/>
      <c r="V33" s="2242"/>
    </row>
    <row r="34" spans="1:30">
      <c r="A34" s="294" t="s">
        <v>2220</v>
      </c>
      <c r="B34" s="1867"/>
      <c r="C34" s="1867"/>
      <c r="D34" s="1867"/>
      <c r="E34" s="1867"/>
      <c r="F34" s="1867"/>
      <c r="G34" s="1867"/>
      <c r="H34" s="1867"/>
      <c r="I34" s="2439"/>
      <c r="J34" s="2242"/>
      <c r="K34" s="8">
        <f>COUNTIF(B34:H34,"——")</f>
        <v>0</v>
      </c>
      <c r="L34" s="315" t="s">
        <v>2221</v>
      </c>
      <c r="M34" s="315" t="s">
        <v>2222</v>
      </c>
      <c r="N34" s="315" t="s">
        <v>2223</v>
      </c>
      <c r="O34" s="315" t="s">
        <v>2224</v>
      </c>
      <c r="P34" s="315" t="s">
        <v>2225</v>
      </c>
      <c r="Q34" s="315" t="s">
        <v>2226</v>
      </c>
      <c r="R34" s="315" t="s">
        <v>2227</v>
      </c>
      <c r="S34" s="3251" t="s">
        <v>2228</v>
      </c>
      <c r="T34" s="315" t="str">
        <f>NUMBERSTRING(7-K34,1)&amp;"通"</f>
        <v>七通</v>
      </c>
      <c r="U34" s="2242"/>
      <c r="V34" s="2242"/>
    </row>
    <row r="35" spans="1:30">
      <c r="A35" s="2233"/>
      <c r="B35" s="3251" t="s">
        <v>2229</v>
      </c>
      <c r="C35" s="3251"/>
      <c r="D35" s="3251"/>
      <c r="E35" s="3251"/>
      <c r="F35" s="8">
        <f>C10</f>
        <v>0</v>
      </c>
      <c r="G35" s="2439"/>
      <c r="H35" s="2439"/>
      <c r="I35" s="2439"/>
      <c r="J35" s="2242"/>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51"/>
      <c r="T35" s="138" t="str">
        <f>IF(T34="一通",L35,IF(T34="二通",M35,IF(T34="三通",N35,IF(T34="四通",O35,IF(T34="五通",P35,IF(T34="六通",Q35,R35))))))</f>
        <v>、、、、、、</v>
      </c>
      <c r="U35" s="2242"/>
      <c r="V35" s="2242"/>
    </row>
    <row r="36" spans="1:30">
      <c r="A36" s="2180"/>
      <c r="B36" s="8" t="s">
        <v>2185</v>
      </c>
      <c r="C36" s="8" t="s">
        <v>2186</v>
      </c>
      <c r="D36" s="8" t="s">
        <v>2184</v>
      </c>
      <c r="E36" s="8" t="s">
        <v>2189</v>
      </c>
      <c r="F36" s="2798" t="s">
        <v>2578</v>
      </c>
      <c r="G36" s="2439"/>
      <c r="H36" s="2439"/>
      <c r="I36" s="2439"/>
      <c r="J36" s="2242"/>
      <c r="K36" s="2399"/>
      <c r="L36" s="2396"/>
      <c r="M36" s="2396"/>
      <c r="N36" s="2242"/>
      <c r="O36" s="1670"/>
      <c r="P36" s="2242"/>
      <c r="Q36" s="2242"/>
      <c r="R36" s="2242"/>
      <c r="S36" s="2242"/>
      <c r="T36" s="2242"/>
      <c r="U36" s="2242"/>
      <c r="V36" s="2242"/>
    </row>
    <row r="37" spans="1:30">
      <c r="A37" s="2412" t="s">
        <v>2230</v>
      </c>
      <c r="B37" s="2234"/>
      <c r="C37" s="2234"/>
      <c r="D37" s="2234"/>
      <c r="E37" s="2234"/>
      <c r="F37" s="2234"/>
      <c r="G37" s="2439"/>
      <c r="H37" s="2439"/>
      <c r="I37" s="2439"/>
      <c r="J37" s="2242"/>
      <c r="K37" s="2399"/>
      <c r="L37" s="2396"/>
      <c r="M37" s="2396"/>
      <c r="N37" s="2242"/>
      <c r="O37" s="1670"/>
      <c r="P37" s="2242"/>
      <c r="Q37" s="2242"/>
      <c r="R37" s="2242"/>
      <c r="S37" s="2242"/>
      <c r="T37" s="2242"/>
      <c r="U37" s="2242"/>
      <c r="V37" s="2242"/>
    </row>
    <row r="38" spans="1:30" ht="13.8" thickBot="1">
      <c r="A38" s="2413" t="s">
        <v>2231</v>
      </c>
      <c r="B38" s="2235"/>
      <c r="C38" s="2235"/>
      <c r="D38" s="2235"/>
      <c r="E38" s="2235"/>
      <c r="F38" s="2235"/>
      <c r="G38" s="2440"/>
      <c r="H38" s="2440"/>
      <c r="I38" s="2440"/>
      <c r="J38" s="2242"/>
      <c r="K38" s="2399"/>
      <c r="L38" s="2396"/>
      <c r="M38" s="2396"/>
      <c r="N38" s="2242"/>
      <c r="O38" s="1670"/>
      <c r="P38" s="2242"/>
      <c r="Q38" s="2242"/>
      <c r="R38" s="2242"/>
      <c r="S38" s="2242"/>
      <c r="T38" s="2242"/>
      <c r="U38" s="2242"/>
      <c r="V38" s="2242"/>
    </row>
    <row r="39" spans="1:30" s="2238" customFormat="1" ht="14.4" thickTop="1" thickBot="1">
      <c r="A39" s="2236" t="s">
        <v>2232</v>
      </c>
      <c r="B39" s="2237"/>
      <c r="C39" s="2237"/>
      <c r="D39" s="2237"/>
      <c r="E39" s="2237"/>
      <c r="F39" s="2237"/>
      <c r="G39" s="2237"/>
      <c r="H39" s="2237"/>
      <c r="I39" s="2237"/>
      <c r="J39" s="2404"/>
      <c r="K39" s="2405"/>
      <c r="L39" s="2404"/>
      <c r="M39" s="2404"/>
      <c r="N39" s="2404"/>
      <c r="O39" s="2406"/>
      <c r="P39" s="2404"/>
      <c r="Q39" s="2404"/>
      <c r="R39" s="2404"/>
      <c r="S39" s="2404"/>
      <c r="T39" s="2404"/>
      <c r="U39" s="2404"/>
      <c r="V39" s="2404"/>
      <c r="W39" s="2407"/>
      <c r="X39" s="2407"/>
      <c r="Y39" s="2407"/>
      <c r="Z39" s="2407"/>
      <c r="AA39" s="2407"/>
      <c r="AB39" s="2407"/>
      <c r="AC39" s="2407"/>
      <c r="AD39" s="2407"/>
    </row>
    <row r="40" spans="1:30">
      <c r="A40" s="2179"/>
      <c r="B40" s="2179"/>
      <c r="C40" s="2179"/>
      <c r="D40" s="2179"/>
      <c r="E40" s="2179"/>
      <c r="F40" s="2179"/>
      <c r="G40" s="2179"/>
      <c r="H40" s="2179"/>
      <c r="I40" s="1466"/>
      <c r="J40" s="2242"/>
      <c r="K40" s="2398"/>
      <c r="L40" s="1670"/>
      <c r="M40" s="1670"/>
      <c r="N40" s="2242"/>
      <c r="O40" s="1670"/>
      <c r="P40" s="2242"/>
      <c r="Q40" s="2242"/>
      <c r="R40" s="2242"/>
      <c r="S40" s="2242"/>
      <c r="T40" s="2242"/>
      <c r="U40" s="2242"/>
      <c r="V40" s="2242"/>
    </row>
    <row r="41" spans="1:30">
      <c r="A41" s="2239" t="s">
        <v>2233</v>
      </c>
      <c r="B41" s="1627"/>
      <c r="C41" s="1281"/>
      <c r="D41" s="2179"/>
      <c r="E41" s="2179"/>
      <c r="F41" s="2179"/>
      <c r="G41" s="2179"/>
      <c r="H41" s="2179"/>
      <c r="I41" s="1466"/>
      <c r="J41" s="2242"/>
      <c r="K41" s="2399"/>
      <c r="L41" s="2396"/>
      <c r="M41" s="2396"/>
      <c r="N41" s="2242"/>
      <c r="O41" s="1670"/>
      <c r="P41" s="2242"/>
      <c r="Q41" s="2242"/>
      <c r="R41" s="2242"/>
      <c r="S41" s="2242"/>
      <c r="T41" s="2242"/>
      <c r="U41" s="2242"/>
      <c r="V41" s="2242"/>
    </row>
    <row r="42" spans="1:30" ht="25.2">
      <c r="A42" s="315" t="s">
        <v>2234</v>
      </c>
      <c r="B42" s="8" t="s">
        <v>2235</v>
      </c>
      <c r="C42" s="8" t="s">
        <v>2236</v>
      </c>
      <c r="D42" s="8" t="s">
        <v>2237</v>
      </c>
      <c r="E42" s="8" t="s">
        <v>2238</v>
      </c>
      <c r="F42" s="8" t="s">
        <v>2239</v>
      </c>
      <c r="G42" s="8" t="s">
        <v>2240</v>
      </c>
      <c r="H42" s="8" t="s">
        <v>2241</v>
      </c>
      <c r="I42" s="8" t="s">
        <v>2242</v>
      </c>
      <c r="J42" s="2408" t="s">
        <v>2243</v>
      </c>
      <c r="K42" s="2409" t="s">
        <v>2244</v>
      </c>
      <c r="L42" s="2409" t="s">
        <v>2245</v>
      </c>
      <c r="M42" s="2409" t="s">
        <v>2246</v>
      </c>
      <c r="N42" s="2402" t="s">
        <v>2247</v>
      </c>
      <c r="O42" s="2402" t="s">
        <v>2248</v>
      </c>
      <c r="P42" s="2402" t="s">
        <v>2249</v>
      </c>
      <c r="Q42" s="2403" t="s">
        <v>2250</v>
      </c>
      <c r="R42" s="2403" t="s">
        <v>2251</v>
      </c>
      <c r="S42" s="2242"/>
      <c r="T42" s="2242"/>
      <c r="U42" s="2242"/>
      <c r="V42" s="2242"/>
    </row>
    <row r="43" spans="1:30" s="1616" customFormat="1">
      <c r="A43" s="1462"/>
      <c r="B43" s="628"/>
      <c r="C43" s="628"/>
      <c r="D43" s="628"/>
      <c r="E43" s="628"/>
      <c r="F43" s="628"/>
      <c r="G43" s="628"/>
      <c r="H43" s="628"/>
      <c r="I43" s="628"/>
      <c r="J43" s="2240"/>
      <c r="K43" s="2241"/>
      <c r="L43" s="2241"/>
      <c r="M43" s="628"/>
      <c r="N43" s="628"/>
      <c r="O43" s="628"/>
      <c r="P43" s="628"/>
      <c r="Q43" s="628"/>
      <c r="R43" s="628"/>
      <c r="S43" s="2242"/>
      <c r="T43" s="2242"/>
      <c r="U43" s="2242"/>
      <c r="V43" s="2242"/>
    </row>
    <row r="44" spans="1:30" s="1616" customFormat="1">
      <c r="A44" s="1462"/>
      <c r="B44" s="1462"/>
      <c r="C44" s="628"/>
      <c r="D44" s="628"/>
      <c r="E44" s="628"/>
      <c r="F44" s="628"/>
      <c r="G44" s="628"/>
      <c r="H44" s="628"/>
      <c r="I44" s="628"/>
      <c r="J44" s="2240"/>
      <c r="K44" s="2241"/>
      <c r="L44" s="2241"/>
      <c r="M44" s="628"/>
      <c r="N44" s="628"/>
      <c r="O44" s="628"/>
      <c r="P44" s="628"/>
      <c r="Q44" s="628"/>
      <c r="R44" s="628"/>
      <c r="S44" s="2242"/>
      <c r="T44" s="2242"/>
      <c r="U44" s="2242"/>
      <c r="V44" s="2242"/>
    </row>
    <row r="45" spans="1:30" s="1616" customFormat="1">
      <c r="A45" s="1462"/>
      <c r="B45" s="1462"/>
      <c r="C45" s="628"/>
      <c r="D45" s="628"/>
      <c r="E45" s="628"/>
      <c r="F45" s="628"/>
      <c r="G45" s="628"/>
      <c r="H45" s="628"/>
      <c r="I45" s="628"/>
      <c r="J45" s="2240"/>
      <c r="K45" s="2241"/>
      <c r="L45" s="2241"/>
      <c r="M45" s="628"/>
      <c r="N45" s="628"/>
      <c r="O45" s="628"/>
      <c r="P45" s="628"/>
      <c r="Q45" s="628"/>
      <c r="R45" s="628"/>
      <c r="S45" s="2242"/>
      <c r="T45" s="2242"/>
      <c r="U45" s="2242"/>
      <c r="V45" s="2242"/>
    </row>
    <row r="46" spans="1:30" s="1616" customFormat="1">
      <c r="A46" s="1462"/>
      <c r="B46" s="1462"/>
      <c r="C46" s="628"/>
      <c r="D46" s="628"/>
      <c r="E46" s="628"/>
      <c r="F46" s="628"/>
      <c r="G46" s="628"/>
      <c r="H46" s="628"/>
      <c r="I46" s="628"/>
      <c r="J46" s="2240"/>
      <c r="K46" s="2241"/>
      <c r="L46" s="2241"/>
      <c r="M46" s="628"/>
      <c r="N46" s="628"/>
      <c r="O46" s="628"/>
      <c r="P46" s="628"/>
      <c r="Q46" s="628"/>
      <c r="R46" s="628"/>
      <c r="S46" s="2242"/>
      <c r="T46" s="2242"/>
      <c r="U46" s="2242"/>
      <c r="V46" s="2242"/>
    </row>
    <row r="47" spans="1:30" s="1616" customFormat="1">
      <c r="A47" s="1462"/>
      <c r="B47" s="1462"/>
      <c r="C47" s="628"/>
      <c r="D47" s="628"/>
      <c r="E47" s="628"/>
      <c r="F47" s="628"/>
      <c r="G47" s="628"/>
      <c r="H47" s="628"/>
      <c r="I47" s="628"/>
      <c r="J47" s="2240"/>
      <c r="K47" s="2241"/>
      <c r="L47" s="2241"/>
      <c r="M47" s="628"/>
      <c r="N47" s="628"/>
      <c r="O47" s="628"/>
      <c r="P47" s="628"/>
      <c r="Q47" s="628"/>
      <c r="R47" s="628"/>
      <c r="S47" s="2242"/>
      <c r="T47" s="2242"/>
      <c r="U47" s="2242"/>
      <c r="V47" s="2242"/>
    </row>
    <row r="48" spans="1:30" s="1616" customFormat="1">
      <c r="A48" s="1462"/>
      <c r="B48" s="1462"/>
      <c r="C48" s="628"/>
      <c r="D48" s="628"/>
      <c r="E48" s="628"/>
      <c r="F48" s="628"/>
      <c r="G48" s="628"/>
      <c r="H48" s="628"/>
      <c r="I48" s="628"/>
      <c r="J48" s="2240"/>
      <c r="K48" s="2241"/>
      <c r="L48" s="2241"/>
      <c r="M48" s="628"/>
      <c r="N48" s="628"/>
      <c r="O48" s="628"/>
      <c r="P48" s="628"/>
      <c r="Q48" s="628"/>
      <c r="R48" s="628"/>
      <c r="S48" s="2242"/>
      <c r="T48" s="2242"/>
      <c r="U48" s="2242"/>
      <c r="V48" s="2242"/>
    </row>
    <row r="49" spans="1:22" s="1616" customFormat="1">
      <c r="A49" s="1462"/>
      <c r="B49" s="1462"/>
      <c r="C49" s="628"/>
      <c r="D49" s="628"/>
      <c r="E49" s="628"/>
      <c r="F49" s="628"/>
      <c r="G49" s="628"/>
      <c r="H49" s="628"/>
      <c r="I49" s="628"/>
      <c r="J49" s="2240"/>
      <c r="K49" s="2241"/>
      <c r="L49" s="2241"/>
      <c r="M49" s="628"/>
      <c r="N49" s="628"/>
      <c r="O49" s="628"/>
      <c r="P49" s="628"/>
      <c r="Q49" s="628"/>
      <c r="R49" s="628"/>
      <c r="S49" s="2242"/>
      <c r="T49" s="2242"/>
      <c r="U49" s="2242"/>
      <c r="V49" s="2242"/>
    </row>
    <row r="50" spans="1:22" s="1616" customFormat="1">
      <c r="A50" s="1462"/>
      <c r="B50" s="1462"/>
      <c r="C50" s="628"/>
      <c r="D50" s="628"/>
      <c r="E50" s="628"/>
      <c r="F50" s="628"/>
      <c r="G50" s="628"/>
      <c r="H50" s="628"/>
      <c r="I50" s="628"/>
      <c r="J50" s="2240"/>
      <c r="K50" s="2241"/>
      <c r="L50" s="2241"/>
      <c r="M50" s="628"/>
      <c r="N50" s="628"/>
      <c r="O50" s="628"/>
      <c r="P50" s="628"/>
      <c r="Q50" s="628"/>
      <c r="R50" s="628"/>
      <c r="S50" s="2242"/>
      <c r="T50" s="2242"/>
      <c r="U50" s="2242"/>
      <c r="V50" s="2242"/>
    </row>
    <row r="51" spans="1:22" s="1616" customFormat="1">
      <c r="A51" s="1462"/>
      <c r="B51" s="1462"/>
      <c r="C51" s="628"/>
      <c r="D51" s="628"/>
      <c r="E51" s="628"/>
      <c r="F51" s="628"/>
      <c r="G51" s="628"/>
      <c r="H51" s="628"/>
      <c r="I51" s="628"/>
      <c r="J51" s="2240"/>
      <c r="K51" s="2241"/>
      <c r="L51" s="2241"/>
      <c r="M51" s="628"/>
      <c r="N51" s="628"/>
      <c r="O51" s="628"/>
      <c r="P51" s="628"/>
      <c r="Q51" s="628"/>
      <c r="R51" s="628"/>
    </row>
    <row r="52" spans="1:22" s="1616" customFormat="1">
      <c r="A52" s="1462"/>
      <c r="B52" s="1462"/>
      <c r="C52" s="1462"/>
      <c r="D52" s="1462"/>
      <c r="E52" s="1462"/>
      <c r="F52" s="628"/>
      <c r="G52" s="1462"/>
      <c r="H52" s="1462"/>
      <c r="I52" s="1462"/>
      <c r="J52" s="2243"/>
      <c r="K52" s="2241"/>
      <c r="L52" s="2241"/>
      <c r="M52" s="2241"/>
      <c r="N52" s="1462"/>
      <c r="O52" s="1462"/>
      <c r="P52" s="1462"/>
      <c r="Q52" s="1462"/>
      <c r="R52" s="1462"/>
    </row>
    <row r="53" spans="1:22" s="1616" customFormat="1">
      <c r="A53" s="1462"/>
      <c r="B53" s="1462"/>
      <c r="C53" s="1462"/>
      <c r="D53" s="1462"/>
      <c r="E53" s="1462"/>
      <c r="F53" s="628"/>
      <c r="G53" s="1462"/>
      <c r="H53" s="1462"/>
      <c r="I53" s="1462"/>
      <c r="J53" s="2243"/>
      <c r="K53" s="2241"/>
      <c r="L53" s="2241"/>
      <c r="M53" s="2241"/>
      <c r="N53" s="1462"/>
      <c r="O53" s="1462"/>
      <c r="P53" s="1462"/>
      <c r="Q53" s="1462"/>
      <c r="R53" s="1462"/>
    </row>
    <row r="54" spans="1:22" s="1616" customFormat="1">
      <c r="A54" s="1462"/>
      <c r="B54" s="1462"/>
      <c r="C54" s="1462"/>
      <c r="D54" s="1462"/>
      <c r="E54" s="1462"/>
      <c r="F54" s="628"/>
      <c r="G54" s="1462"/>
      <c r="H54" s="1462"/>
      <c r="I54" s="1462"/>
      <c r="J54" s="2243"/>
      <c r="K54" s="2241"/>
      <c r="L54" s="2241"/>
      <c r="M54" s="2241"/>
      <c r="N54" s="1462"/>
      <c r="O54" s="1462"/>
      <c r="P54" s="1462"/>
      <c r="Q54" s="1462"/>
      <c r="R54" s="1462"/>
    </row>
    <row r="55" spans="1:22" s="1616" customFormat="1">
      <c r="A55" s="1462"/>
      <c r="B55" s="1462"/>
      <c r="C55" s="1462"/>
      <c r="D55" s="1462"/>
      <c r="E55" s="1462"/>
      <c r="F55" s="628"/>
      <c r="G55" s="1462"/>
      <c r="H55" s="1462"/>
      <c r="I55" s="1462"/>
      <c r="J55" s="2243"/>
      <c r="K55" s="2241"/>
      <c r="L55" s="2241"/>
      <c r="M55" s="2241"/>
      <c r="N55" s="1462"/>
      <c r="O55" s="1462"/>
      <c r="P55" s="1462"/>
      <c r="Q55" s="1462"/>
      <c r="R55" s="1462"/>
    </row>
    <row r="56" spans="1:22" s="1616" customFormat="1">
      <c r="A56" s="1462"/>
      <c r="B56" s="1462"/>
      <c r="C56" s="1462"/>
      <c r="D56" s="1462"/>
      <c r="E56" s="1462"/>
      <c r="F56" s="628"/>
      <c r="G56" s="1462"/>
      <c r="H56" s="1462"/>
      <c r="I56" s="1462"/>
      <c r="J56" s="2243"/>
      <c r="K56" s="2241"/>
      <c r="L56" s="2241"/>
      <c r="M56" s="2241"/>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57.2</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57.2</v>
      </c>
      <c r="H5" s="13">
        <f t="shared" ref="H5:AT5" si="0">SUM(H13:H656)</f>
        <v>57.2</v>
      </c>
      <c r="I5" s="13">
        <f t="shared" si="0"/>
        <v>57.2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57.2</v>
      </c>
      <c r="BA5" s="15">
        <f t="shared" si="1"/>
        <v>57.2</v>
      </c>
      <c r="BB5" s="15">
        <f t="shared" si="1"/>
        <v>57.2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3424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3422</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住宅</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c r="D13" s="1513" t="s">
        <v>3425</v>
      </c>
      <c r="E13" s="13">
        <f>IF($C$3="是",ROUND($A$3*G13/$B$3,2),ROUND($A$3*(G13-AT13)/$B$3,2))</f>
        <v>0</v>
      </c>
      <c r="F13" s="29"/>
      <c r="G13" s="30">
        <f>H13+AC13+AT13</f>
        <v>57.2</v>
      </c>
      <c r="H13" s="17">
        <f>SUMIF(I$12:AB$12,"总值",I13:AB13)</f>
        <v>57.2</v>
      </c>
      <c r="I13" s="1514">
        <v>57.2</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57.2</v>
      </c>
      <c r="BA13" s="13">
        <f>SUM(BB13:BK13)</f>
        <v>57.2</v>
      </c>
      <c r="BB13" s="13">
        <f>IF($D13="是",I13-J13,0)</f>
        <v>57.2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20" sqref="G20"/>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67" t="s">
        <v>1131</v>
      </c>
      <c r="B2" s="3267"/>
      <c r="C2" s="3267"/>
      <c r="D2" s="748" t="s">
        <v>1107</v>
      </c>
      <c r="E2" s="1523" t="s">
        <v>1108</v>
      </c>
      <c r="F2" s="2436"/>
      <c r="G2" s="2429"/>
      <c r="H2" s="2430"/>
      <c r="I2" s="2143" t="s">
        <v>1132</v>
      </c>
      <c r="J2" s="2436"/>
      <c r="K2" s="2436"/>
      <c r="L2" s="2436"/>
      <c r="M2" s="2436"/>
      <c r="N2" s="2437"/>
      <c r="O2" s="2436"/>
      <c r="P2" s="2436"/>
    </row>
    <row r="3" spans="1:16" ht="15" thickBot="1">
      <c r="A3" s="3268" t="s">
        <v>1105</v>
      </c>
      <c r="B3" s="3268"/>
      <c r="C3" s="3268"/>
      <c r="D3" s="41">
        <f>'数据-基础表'!AY6</f>
        <v>0</v>
      </c>
      <c r="E3" s="41">
        <f>'数据-基础表'!AZ5</f>
        <v>57.2</v>
      </c>
      <c r="F3" s="2436"/>
      <c r="G3" s="42"/>
      <c r="H3" s="43" t="s">
        <v>1106</v>
      </c>
      <c r="I3" s="802" t="e">
        <f>ROUND('数据-基础表'!B3/'数据-基础表'!A3,2)</f>
        <v>#DIV/0!</v>
      </c>
      <c r="J3" s="2436"/>
      <c r="K3" s="2436"/>
      <c r="L3" s="2436"/>
      <c r="M3" s="2436"/>
      <c r="N3" s="2437"/>
      <c r="O3" s="2436"/>
      <c r="P3" s="2436"/>
    </row>
    <row r="4" spans="1:16" ht="14.4">
      <c r="A4" s="3269"/>
      <c r="B4" s="3270"/>
      <c r="C4" s="3271"/>
      <c r="D4" s="1524" t="s">
        <v>1107</v>
      </c>
      <c r="E4" s="1525" t="s">
        <v>1108</v>
      </c>
      <c r="F4" s="2436"/>
      <c r="G4" s="2431" t="s">
        <v>1133</v>
      </c>
      <c r="H4" s="43" t="s">
        <v>1113</v>
      </c>
      <c r="I4" s="802" t="e">
        <f>ROUND(SUMIF('数据-基础表'!I9:AS9,"地上",'数据-基础表'!I5:AS5)/'数据-基础表'!A3,2)</f>
        <v>#DIV/0!</v>
      </c>
      <c r="J4" s="2436"/>
      <c r="K4" s="2436"/>
      <c r="L4" s="2436"/>
      <c r="M4" s="2436"/>
      <c r="N4" s="2437"/>
      <c r="O4" s="2436"/>
      <c r="P4" s="2436"/>
    </row>
    <row r="5" spans="1:16" ht="14.4">
      <c r="A5" s="42" t="s">
        <v>1109</v>
      </c>
      <c r="B5" s="3272" t="s">
        <v>1110</v>
      </c>
      <c r="C5" s="3272"/>
      <c r="D5" s="43">
        <f>ROUND($D$3*E5/$E$3,2)</f>
        <v>0</v>
      </c>
      <c r="E5" s="44">
        <f>SUMIF('数据-基础表'!$11:$11,"住宅",'数据-基础表'!$5:$5)</f>
        <v>57.2</v>
      </c>
      <c r="F5" s="2436"/>
      <c r="G5" s="42"/>
      <c r="H5" s="43" t="s">
        <v>1106</v>
      </c>
      <c r="I5" s="802" t="e">
        <f>ROUND(E31/D31,2)</f>
        <v>#DIV/0!</v>
      </c>
      <c r="J5" s="2436"/>
      <c r="K5" s="2436"/>
      <c r="L5" s="2436"/>
      <c r="M5" s="2436"/>
      <c r="N5" s="2436"/>
      <c r="O5" s="2436"/>
      <c r="P5" s="2436"/>
    </row>
    <row r="6" spans="1:16" ht="15" thickBot="1">
      <c r="A6" s="1527"/>
      <c r="B6" s="3272" t="s">
        <v>1111</v>
      </c>
      <c r="C6" s="3272"/>
      <c r="D6" s="43">
        <f>ROUND($D$3*E6/$E$3,2)</f>
        <v>0</v>
      </c>
      <c r="E6" s="44">
        <f>E3-E5</f>
        <v>0</v>
      </c>
      <c r="F6" s="2436"/>
      <c r="G6" s="1529" t="s">
        <v>1112</v>
      </c>
      <c r="H6" s="45" t="s">
        <v>1113</v>
      </c>
      <c r="I6" s="2432" t="e">
        <f>ROUND(F31/D31,2)</f>
        <v>#DIV/0!</v>
      </c>
      <c r="J6" s="2436"/>
      <c r="K6" s="2436"/>
      <c r="L6" s="2436"/>
      <c r="M6" s="2436"/>
      <c r="N6" s="2436"/>
      <c r="O6" s="2436"/>
      <c r="P6" s="2436"/>
    </row>
    <row r="7" spans="1:16" ht="15" thickBot="1">
      <c r="A7" s="3264"/>
      <c r="B7" s="3265"/>
      <c r="C7" s="3266"/>
      <c r="D7" s="1524" t="s">
        <v>1107</v>
      </c>
      <c r="E7" s="1528" t="s">
        <v>1114</v>
      </c>
      <c r="F7" s="2436"/>
      <c r="G7" s="2433" t="s">
        <v>1115</v>
      </c>
      <c r="H7" s="95"/>
      <c r="I7" s="2434">
        <v>2.5</v>
      </c>
      <c r="J7" s="2436"/>
      <c r="K7" s="2436"/>
      <c r="L7" s="2436"/>
      <c r="M7" s="2436"/>
      <c r="N7" s="2436"/>
      <c r="O7" s="2436"/>
      <c r="P7" s="2436"/>
    </row>
    <row r="8" spans="1:16" ht="14.4">
      <c r="A8" s="42" t="s">
        <v>1116</v>
      </c>
      <c r="B8" s="45" t="s">
        <v>1117</v>
      </c>
      <c r="C8" s="43" t="s">
        <v>1118</v>
      </c>
      <c r="D8" s="43">
        <f t="shared" ref="D8:D15" si="0">ROUND($D$3*E8/$E$3,2)</f>
        <v>0</v>
      </c>
      <c r="E8" s="46">
        <f>SUMIF('数据-基础表'!BB10:BK10,"地上",'数据-基础表'!BB5:BK5)</f>
        <v>57.2</v>
      </c>
      <c r="F8" s="2436"/>
      <c r="G8" s="2436"/>
      <c r="H8" s="2436"/>
      <c r="I8" s="2436"/>
      <c r="J8" s="2436"/>
      <c r="K8" s="2436"/>
      <c r="L8" s="2436"/>
      <c r="M8" s="2436"/>
      <c r="N8" s="2436"/>
      <c r="O8" s="2436"/>
      <c r="P8" s="2436"/>
    </row>
    <row r="9" spans="1:16" ht="14.4">
      <c r="A9" s="1529"/>
      <c r="B9" s="1530"/>
      <c r="C9" s="43" t="s">
        <v>1119</v>
      </c>
      <c r="D9" s="43">
        <f t="shared" si="0"/>
        <v>0</v>
      </c>
      <c r="E9" s="47">
        <v>0</v>
      </c>
      <c r="F9" s="2436"/>
      <c r="G9" s="2436"/>
      <c r="H9" s="2436"/>
      <c r="I9" s="2436"/>
      <c r="J9" s="2436"/>
      <c r="K9" s="2436"/>
      <c r="L9" s="2436"/>
      <c r="M9" s="2436"/>
      <c r="N9" s="2436"/>
      <c r="O9" s="2436"/>
      <c r="P9" s="2436"/>
    </row>
    <row r="10" spans="1:16" ht="14.4">
      <c r="A10" s="1529"/>
      <c r="B10" s="1530"/>
      <c r="C10" s="43" t="s">
        <v>1128</v>
      </c>
      <c r="D10" s="43">
        <f t="shared" si="0"/>
        <v>0</v>
      </c>
      <c r="E10" s="46">
        <f>SUMPRODUCT(('数据-基础表'!BB10:BK10="地下")*('数据-基础表'!BB11:BK11="商业")*('数据-基础表'!BB5:BK5))</f>
        <v>0</v>
      </c>
      <c r="F10" s="2436"/>
      <c r="G10" s="2436"/>
      <c r="H10" s="2436"/>
      <c r="I10" s="2436"/>
      <c r="J10" s="2436"/>
      <c r="K10" s="2436"/>
      <c r="L10" s="2436"/>
      <c r="M10" s="2436"/>
      <c r="N10" s="2436"/>
      <c r="O10" s="2436"/>
      <c r="P10" s="2436"/>
    </row>
    <row r="11" spans="1:16" ht="14.4">
      <c r="A11" s="1529"/>
      <c r="B11" s="1530"/>
      <c r="C11" s="43" t="s">
        <v>1120</v>
      </c>
      <c r="D11" s="43">
        <f t="shared" si="0"/>
        <v>0</v>
      </c>
      <c r="E11" s="46">
        <f>SUMPRODUCT(('数据-基础表'!BB10:BK10="地下")*('数据-基础表'!BB11:BK11="办公")*('数据-基础表'!BB5:BK5))+'数据-基础表'!BP5</f>
        <v>0</v>
      </c>
      <c r="F11" s="2436"/>
      <c r="G11" s="2436"/>
      <c r="H11" s="2436"/>
      <c r="I11" s="2436"/>
      <c r="J11" s="2436"/>
      <c r="K11" s="2436"/>
      <c r="L11" s="2436"/>
      <c r="M11" s="2436"/>
      <c r="N11" s="2436"/>
      <c r="O11" s="2436"/>
      <c r="P11" s="2436"/>
    </row>
    <row r="12" spans="1:16" ht="14.4">
      <c r="A12" s="1529"/>
      <c r="B12" s="1530"/>
      <c r="C12" s="43" t="s">
        <v>1121</v>
      </c>
      <c r="D12" s="43">
        <f t="shared" si="0"/>
        <v>0</v>
      </c>
      <c r="E12" s="46">
        <f>SUMPRODUCT(('数据-基础表'!BB10:BK10="地下")*('数据-基础表'!BB11:BK11="仓储")*('数据-基础表'!BB5:BK5))</f>
        <v>0</v>
      </c>
      <c r="F12" s="2436"/>
      <c r="G12" s="2436"/>
      <c r="H12" s="2436"/>
      <c r="I12" s="2436"/>
      <c r="J12" s="2436"/>
      <c r="K12" s="2436"/>
      <c r="L12" s="2436"/>
      <c r="M12" s="2436"/>
      <c r="N12" s="2436"/>
      <c r="O12" s="2436"/>
      <c r="P12" s="2436"/>
    </row>
    <row r="13" spans="1:16" ht="14.4">
      <c r="A13" s="1529"/>
      <c r="B13" s="1530"/>
      <c r="C13" s="43" t="s">
        <v>1122</v>
      </c>
      <c r="D13" s="43">
        <f t="shared" si="0"/>
        <v>0</v>
      </c>
      <c r="E13" s="46">
        <f>SUMPRODUCT(('数据-基础表'!BB10:BK10="地下")*('数据-基础表'!BB11:BK11="车库")*('数据-基础表'!BB5:BK5))</f>
        <v>0</v>
      </c>
      <c r="F13" s="2436"/>
      <c r="G13" s="2436"/>
      <c r="H13" s="2436"/>
      <c r="I13" s="2436"/>
      <c r="J13" s="2436"/>
      <c r="K13" s="2436"/>
      <c r="L13" s="2436"/>
      <c r="M13" s="2436"/>
      <c r="N13" s="2436"/>
      <c r="O13" s="2436"/>
      <c r="P13" s="2436"/>
    </row>
    <row r="14" spans="1:16" ht="14.4">
      <c r="A14" s="1529"/>
      <c r="B14" s="1530"/>
      <c r="C14" s="43" t="s">
        <v>1134</v>
      </c>
      <c r="D14" s="43">
        <f t="shared" si="0"/>
        <v>0</v>
      </c>
      <c r="E14" s="46">
        <f>SUMPRODUCT(('数据-基础表'!BB10:BK10="地下")*('数据-基础表'!BB11:BK11="车库—商业")*('数据-基础表'!BB5:BK5))</f>
        <v>0</v>
      </c>
      <c r="F14" s="2436"/>
      <c r="G14" s="2436"/>
      <c r="H14" s="2436"/>
      <c r="I14" s="2436"/>
      <c r="J14" s="2436"/>
      <c r="K14" s="2436"/>
      <c r="L14" s="2436"/>
      <c r="M14" s="2436"/>
      <c r="N14" s="2436"/>
      <c r="O14" s="2436"/>
      <c r="P14" s="2436"/>
    </row>
    <row r="15" spans="1:16" ht="15" thickBot="1">
      <c r="A15" s="1529"/>
      <c r="B15" s="1530"/>
      <c r="C15" s="43" t="s">
        <v>1129</v>
      </c>
      <c r="D15" s="43">
        <f t="shared" si="0"/>
        <v>0</v>
      </c>
      <c r="E15" s="46">
        <f>SUMPRODUCT(('数据-基础表'!BB10:BK10="地下")*('数据-基础表'!BB11:BK11="车库—办公")*('数据-基础表'!BB5:BK5))</f>
        <v>0</v>
      </c>
      <c r="F15" s="2436"/>
      <c r="G15" s="2436"/>
      <c r="H15" s="2436"/>
      <c r="I15" s="2436"/>
      <c r="J15" s="2436"/>
      <c r="K15" s="2436"/>
      <c r="L15" s="2436"/>
      <c r="M15" s="2436"/>
      <c r="N15" s="2436"/>
      <c r="O15" s="2436"/>
      <c r="P15" s="2436"/>
    </row>
    <row r="16" spans="1:16" ht="15" thickBot="1">
      <c r="A16" s="1527"/>
      <c r="B16" s="1530"/>
      <c r="C16" s="45" t="s">
        <v>1123</v>
      </c>
      <c r="D16" s="45">
        <f>SUM(D8:D15)</f>
        <v>0</v>
      </c>
      <c r="E16" s="48">
        <f>SUM(E8:E15)</f>
        <v>57.2</v>
      </c>
      <c r="F16" s="2436"/>
      <c r="G16" s="2436"/>
      <c r="H16" s="1531" t="s">
        <v>1135</v>
      </c>
      <c r="I16" s="1532"/>
      <c r="J16" s="1071"/>
      <c r="K16" s="3261" t="s">
        <v>1135</v>
      </c>
      <c r="L16" s="3262"/>
      <c r="M16" s="3262"/>
      <c r="N16" s="3262"/>
      <c r="O16" s="3262"/>
      <c r="P16" s="3263"/>
    </row>
    <row r="17" spans="1:19" ht="14.4">
      <c r="A17" s="1533" t="s">
        <v>1136</v>
      </c>
      <c r="B17" s="1534" t="s">
        <v>1137</v>
      </c>
      <c r="C17" s="1535" t="s">
        <v>1138</v>
      </c>
      <c r="D17" s="1536" t="s">
        <v>1126</v>
      </c>
      <c r="E17" s="1537" t="s">
        <v>1127</v>
      </c>
      <c r="F17" s="1538"/>
      <c r="G17" s="1539"/>
      <c r="H17" s="1540" t="s">
        <v>1139</v>
      </c>
      <c r="I17" s="1541" t="s">
        <v>1124</v>
      </c>
      <c r="J17" s="1071"/>
      <c r="K17" s="3258" t="s">
        <v>1140</v>
      </c>
      <c r="L17" s="3259"/>
      <c r="M17" s="3260"/>
      <c r="N17" s="3258" t="s">
        <v>1141</v>
      </c>
      <c r="O17" s="3259"/>
      <c r="P17" s="3260"/>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3" t="s">
        <v>3426</v>
      </c>
      <c r="D19" s="43">
        <f>ROUND($D$3*E19/$E$3,2)</f>
        <v>0</v>
      </c>
      <c r="E19" s="51">
        <f t="shared" ref="E19:E26" si="1">SUM(F19:G19)</f>
        <v>57.2</v>
      </c>
      <c r="F19" s="2555">
        <f>'数据-基础表'!I13</f>
        <v>57.2</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57.2</v>
      </c>
    </row>
    <row r="20" spans="1:19" ht="14.4">
      <c r="A20" s="1549"/>
      <c r="B20" s="45" t="s">
        <v>1153</v>
      </c>
      <c r="C20" s="3113"/>
      <c r="D20" s="43">
        <f t="shared" ref="D20:D26" si="6">ROUND($D$3*E20/$E$3,2)</f>
        <v>0</v>
      </c>
      <c r="E20" s="51">
        <f t="shared" si="1"/>
        <v>0</v>
      </c>
      <c r="F20" s="2555"/>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3"/>
      <c r="D21" s="43">
        <f t="shared" si="6"/>
        <v>0</v>
      </c>
      <c r="E21" s="51">
        <f t="shared" si="1"/>
        <v>0</v>
      </c>
      <c r="F21" s="2555"/>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4"/>
      <c r="D22" s="43">
        <f t="shared" si="6"/>
        <v>0</v>
      </c>
      <c r="E22" s="51">
        <f t="shared" si="1"/>
        <v>0</v>
      </c>
      <c r="F22" s="2556"/>
      <c r="G22" s="2557"/>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4"/>
      <c r="D23" s="43">
        <f>ROUND($D$3*E23/$E$3,2)</f>
        <v>0</v>
      </c>
      <c r="E23" s="51">
        <f>SUM(F23:G23)</f>
        <v>0</v>
      </c>
      <c r="F23" s="2556"/>
      <c r="G23" s="2557"/>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4"/>
      <c r="D24" s="43">
        <f>ROUND($D$3*E24/$E$3,2)</f>
        <v>0</v>
      </c>
      <c r="E24" s="51">
        <f>SUM(F24:G24)</f>
        <v>0</v>
      </c>
      <c r="F24" s="2556"/>
      <c r="G24" s="2557"/>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4"/>
      <c r="D25" s="43">
        <f t="shared" si="6"/>
        <v>0</v>
      </c>
      <c r="E25" s="51">
        <f t="shared" si="1"/>
        <v>0</v>
      </c>
      <c r="F25" s="2556"/>
      <c r="G25" s="2557"/>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6"/>
      <c r="G26" s="2557"/>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57.2</v>
      </c>
      <c r="F27" s="1072">
        <f>IF(SUM(F19:F26)=E8,SUM(F19:F26),"地上面积有误")</f>
        <v>57.2</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57.2</v>
      </c>
    </row>
    <row r="28" spans="1:19" ht="14.4">
      <c r="A28" s="1549"/>
      <c r="B28" s="45" t="s">
        <v>1155</v>
      </c>
      <c r="C28" s="54" t="s">
        <v>1156</v>
      </c>
      <c r="D28" s="43">
        <f>ROUND($D$3*E28/$E$3,2)</f>
        <v>0</v>
      </c>
      <c r="E28" s="51">
        <f>SUM(F28:G28)</f>
        <v>0</v>
      </c>
      <c r="F28" s="54">
        <f>'数据-基础表'!BQ5+'数据-基础表'!BS5</f>
        <v>0</v>
      </c>
      <c r="G28" s="55">
        <f>'数据-基础表'!BR5+'数据-基础表'!BT5</f>
        <v>0</v>
      </c>
      <c r="H28" s="2436"/>
      <c r="I28" s="2436"/>
      <c r="J28" s="2436"/>
      <c r="K28" s="2436"/>
      <c r="L28" s="2436"/>
      <c r="M28" s="2436"/>
      <c r="N28" s="2436"/>
      <c r="O28" s="2436"/>
      <c r="P28" s="2436"/>
    </row>
    <row r="29" spans="1:19" ht="14.4">
      <c r="A29" s="1549"/>
      <c r="B29" s="45" t="s">
        <v>1155</v>
      </c>
      <c r="C29" s="1555" t="s">
        <v>1157</v>
      </c>
      <c r="D29" s="43">
        <f>ROUND($D$3*E29/$E$3,2)</f>
        <v>0</v>
      </c>
      <c r="E29" s="51">
        <f>SUM(F29:G29)</f>
        <v>0</v>
      </c>
      <c r="F29" s="56">
        <f>'数据-基础表'!BM5+'数据-基础表'!BO5</f>
        <v>0</v>
      </c>
      <c r="G29" s="48">
        <f>'数据-基础表'!BN5+'数据-基础表'!BP5</f>
        <v>0</v>
      </c>
      <c r="H29" s="2436"/>
      <c r="I29" s="2436"/>
      <c r="J29" s="2436"/>
      <c r="K29" s="2436"/>
      <c r="L29" s="2436"/>
      <c r="M29" s="2436"/>
      <c r="N29" s="2436"/>
      <c r="O29" s="2436"/>
      <c r="P29" s="2436"/>
    </row>
    <row r="30" spans="1:19" ht="14.4">
      <c r="A30" s="1549"/>
      <c r="B30" s="45"/>
      <c r="C30" s="1556" t="s">
        <v>1154</v>
      </c>
      <c r="D30" s="1072">
        <f>SUM(D28:D29)</f>
        <v>0</v>
      </c>
      <c r="E30" s="1072">
        <f>SUM(E28:E29)</f>
        <v>0</v>
      </c>
      <c r="F30" s="1072">
        <f>SUM(F28:F29)</f>
        <v>0</v>
      </c>
      <c r="G30" s="1074">
        <f>SUM(G28:G29)</f>
        <v>0</v>
      </c>
      <c r="H30" s="2436"/>
      <c r="I30" s="2436"/>
      <c r="J30" s="2436"/>
      <c r="K30" s="2436"/>
      <c r="L30" s="2436"/>
      <c r="M30" s="2436"/>
      <c r="N30" s="2436"/>
      <c r="O30" s="2436"/>
      <c r="P30" s="2436"/>
    </row>
    <row r="31" spans="1:19" ht="15" thickBot="1">
      <c r="A31" s="1557"/>
      <c r="B31" s="96"/>
      <c r="C31" s="785" t="s">
        <v>1158</v>
      </c>
      <c r="D31" s="643">
        <f>D27+D30</f>
        <v>0</v>
      </c>
      <c r="E31" s="643">
        <f>E27+E30</f>
        <v>57.2</v>
      </c>
      <c r="F31" s="644">
        <f>F27+F30</f>
        <v>57.2</v>
      </c>
      <c r="G31" s="645">
        <f>G27+G30</f>
        <v>0</v>
      </c>
      <c r="H31" s="2436"/>
      <c r="I31" s="2436"/>
      <c r="J31" s="2436"/>
      <c r="K31" s="2436"/>
      <c r="L31" s="2436"/>
      <c r="M31" s="2436"/>
      <c r="N31" s="2436"/>
      <c r="O31" s="2436"/>
      <c r="P31" s="2436"/>
    </row>
    <row r="32" spans="1:19" ht="14.4">
      <c r="A32" s="1526"/>
      <c r="B32" s="1526" t="s">
        <v>1159</v>
      </c>
      <c r="C32" s="1526"/>
      <c r="D32" s="1526"/>
      <c r="E32" s="990">
        <f>SUMIF(C19:C26,"*住宅*",E19:E26)</f>
        <v>57.2</v>
      </c>
      <c r="F32" s="1526"/>
      <c r="G32" s="1526"/>
      <c r="H32" s="2436"/>
      <c r="I32" s="2436"/>
      <c r="J32" s="2436"/>
      <c r="K32" s="2436"/>
      <c r="L32" s="2436"/>
      <c r="M32" s="2436"/>
      <c r="N32" s="2436"/>
      <c r="O32" s="2436"/>
      <c r="P32" s="2436"/>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R6" activePane="bottomRight" state="frozen"/>
      <selection activeCell="C50" sqref="C50"/>
      <selection pane="topRight" activeCell="C50" sqref="C50"/>
      <selection pane="bottomLeft" activeCell="C50" sqref="C50"/>
      <selection pane="bottomRight" activeCell="T23" sqref="T23:T24"/>
    </sheetView>
  </sheetViews>
  <sheetFormatPr defaultColWidth="13.77734375" defaultRowHeight="13.2"/>
  <cols>
    <col min="1" max="1" width="20.88671875" style="1618" customWidth="1"/>
    <col min="2" max="2" width="12" style="1561" customWidth="1"/>
    <col min="3" max="3" width="22.886718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10.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51" customFormat="1" ht="15" thickBot="1">
      <c r="A2" s="1562" t="s">
        <v>1161</v>
      </c>
      <c r="B2" s="984">
        <f>项目基本情况!D3</f>
        <v>45755</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6"/>
      <c r="AO2" s="2436"/>
      <c r="AP2" s="2436"/>
      <c r="AQ2" s="2436"/>
      <c r="AR2" s="2436"/>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6"/>
      <c r="AO3" s="2436"/>
      <c r="AP3" s="2436"/>
      <c r="AQ3" s="2436"/>
      <c r="AR3" s="2436"/>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5"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6"/>
      <c r="AO4" s="2436"/>
      <c r="AP4" s="2436"/>
      <c r="AQ4" s="2436"/>
      <c r="AR4" s="2436"/>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3428</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4">
      <c r="A6" s="1586" t="str">
        <f>'数据-汇总表'!C19</f>
        <v>住宅</v>
      </c>
      <c r="B6" s="1587" t="str">
        <f>IF(A6=0,"","经营性")</f>
        <v>经营性</v>
      </c>
      <c r="C6" s="3153" t="s">
        <v>3427</v>
      </c>
      <c r="D6" s="805">
        <f>SUMIF(项目基本情况!C$12:I$12,C6,项目基本情况!C$14:I$14)</f>
        <v>70</v>
      </c>
      <c r="E6" s="804">
        <f>IF(B6="","",SUMIF(项目基本情况!C$12:I$12,C6,项目基本情况!C$13:I$13))</f>
        <v>61452</v>
      </c>
      <c r="F6" s="61">
        <f>SUMIF(项目基本情况!C$12:I$12,C6,项目基本情况!C$15:I$15)</f>
        <v>43</v>
      </c>
      <c r="G6" s="62">
        <f>IF(ISERROR(ROUND(POWER(1+H6,D6-F6)*(POWER(1+H6,F6)-1)/(POWER(1+H6,D6)-1),3)),0,ROUND(POWER(1+H6,D6-F6)*(POWER(1+H6,F6)-1)/(POWER(1+H6,D6)-1),3))</f>
        <v>0.871</v>
      </c>
      <c r="H6" s="691">
        <v>0.04</v>
      </c>
      <c r="I6" s="691">
        <v>0.04</v>
      </c>
      <c r="J6" s="63">
        <v>0.06</v>
      </c>
      <c r="K6" s="970">
        <f>SUMIF('数据-汇总表'!C$19:C$33,A6,'数据-汇总表'!E$19:E$33)</f>
        <v>57.2</v>
      </c>
      <c r="L6" s="692">
        <v>3500</v>
      </c>
      <c r="M6" s="64">
        <f t="shared" ref="M6:M14" si="0">ROUND(K6*L6/10000,0)</f>
        <v>20</v>
      </c>
      <c r="N6" s="690">
        <f>O21</f>
        <v>0.62</v>
      </c>
      <c r="O6" s="64" t="str">
        <f>IF($N$5="成新度","——",ROUND(M6*N6,0))</f>
        <v>——</v>
      </c>
      <c r="P6" s="65" t="str">
        <f>IF($N$5="成新度","——",M6-O6)</f>
        <v>——</v>
      </c>
      <c r="Q6" s="693">
        <v>0.2</v>
      </c>
      <c r="R6" s="66">
        <f ca="1">SUMIF('数据-汇总表'!C$19:C$33,A6,'数据-汇总表'!R$19:R$27)</f>
        <v>0</v>
      </c>
      <c r="S6" s="49">
        <f>IF('数据-汇总表'!$I$17="按面积比例",SUMIF('数据-汇总表'!C$19:C$33,A6,'数据-汇总表'!K$19:K$33),SUMIF('数据-汇总表'!C$19:C$33,A6,'数据-汇总表'!N$19:N$33))</f>
        <v>0</v>
      </c>
      <c r="T6" s="1092">
        <f>ROUND($L$14*S6/10000,0)</f>
        <v>0</v>
      </c>
      <c r="U6" s="3124">
        <v>6000</v>
      </c>
      <c r="V6" s="67">
        <v>2.5000000000000001E-2</v>
      </c>
      <c r="W6" s="67">
        <v>0.05</v>
      </c>
      <c r="X6" s="979"/>
      <c r="Y6" s="68">
        <f>N6</f>
        <v>0.62</v>
      </c>
      <c r="Z6" s="69"/>
      <c r="AA6" s="63"/>
      <c r="AB6" s="63"/>
      <c r="AC6" s="979"/>
      <c r="AD6" s="70"/>
      <c r="AE6" s="980">
        <f ca="1">IF(AN6="",0,SUMIF(INDIRECT("'"&amp;AN6&amp;"'"&amp;"!E:E"),$AE$5,INDIRECT("'"&amp;AN6&amp;"'"&amp;"!F:F")))</f>
        <v>43</v>
      </c>
      <c r="AF6" s="74"/>
      <c r="AG6" s="130">
        <f>IF(AF6="",0,AE6-AF6)</f>
        <v>0</v>
      </c>
      <c r="AH6" s="71">
        <v>1</v>
      </c>
      <c r="AI6" s="73">
        <v>12</v>
      </c>
      <c r="AJ6" s="74"/>
      <c r="AK6" s="75">
        <v>1E-3</v>
      </c>
      <c r="AL6" s="76">
        <v>1E-3</v>
      </c>
      <c r="AM6" s="77">
        <v>1E-3</v>
      </c>
      <c r="AN6" s="1589" t="s">
        <v>3429</v>
      </c>
      <c r="AO6" s="50">
        <f ca="1">SUMIF(INDIRECT("'"&amp;AN6&amp;"'"&amp;"!A:A"),"总价",INDIRECT("'"&amp;AN6&amp;"'"&amp;"!B:B"))</f>
        <v>274.77530000000002</v>
      </c>
      <c r="AP6" s="1590">
        <f>IF(C6="住宅",K6*L6,0)</f>
        <v>200200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4"/>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5"/>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4"/>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4"/>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4"/>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4"/>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6"/>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6"/>
      <c r="AO14" s="2436"/>
      <c r="AP14" s="2436"/>
      <c r="AQ14" s="2436"/>
      <c r="AR14" s="2436"/>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6"/>
      <c r="AO15" s="2436"/>
      <c r="AP15" s="2436"/>
      <c r="AQ15" s="2436"/>
      <c r="AR15" s="2436"/>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f>ROUND(SUMPRODUCT(G6:G13,K6:K13)/SUMPRODUCT((G6:G13&gt;0)*(K6:K13)),3)</f>
        <v>0.871</v>
      </c>
      <c r="H16" s="84">
        <f>ROUND(SUMPRODUCT(H6:H13,K6:K13)/SUMPRODUCT((H6:H13&gt;0)*(K6:K13)),3)</f>
        <v>0.04</v>
      </c>
      <c r="I16" s="85"/>
      <c r="J16" s="85"/>
      <c r="K16" s="86">
        <f>SUM(K6:K15)</f>
        <v>57.2</v>
      </c>
      <c r="L16" s="87">
        <f>ROUND(M16*10000/SUM(K6:K14),0)</f>
        <v>3497</v>
      </c>
      <c r="M16" s="87">
        <f>SUM(M6:M14)</f>
        <v>20</v>
      </c>
      <c r="N16" s="88">
        <f>ROUND(SUMPRODUCT(M6:M14,N6:N14)/M16,3)</f>
        <v>0.62</v>
      </c>
      <c r="O16" s="87">
        <f>SUM(O6:O14)</f>
        <v>0</v>
      </c>
      <c r="P16" s="87">
        <f>SUM(P6:P14)</f>
        <v>0</v>
      </c>
      <c r="Q16" s="89">
        <f>ROUND(SUMPRODUCT(Q6:Q13,K6:K13)/SUMPRODUCT((Q6:Q13&gt;0)*(K6:K13)),2)</f>
        <v>0.2</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6"/>
      <c r="AP16" s="2436"/>
      <c r="AQ16" s="2436"/>
      <c r="AR16" s="2436"/>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6"/>
      <c r="D18" s="2449"/>
      <c r="E18" s="2436"/>
      <c r="F18" s="2436"/>
      <c r="G18" s="2436"/>
      <c r="H18" s="2436"/>
      <c r="I18" s="2436"/>
      <c r="J18" s="2436"/>
      <c r="K18" s="2447"/>
      <c r="L18" s="2447"/>
      <c r="M18" s="2446"/>
      <c r="N18" s="2446">
        <v>2025</v>
      </c>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4">
      <c r="A19" s="1596" t="s">
        <v>1211</v>
      </c>
      <c r="B19" s="97">
        <v>0</v>
      </c>
      <c r="C19" s="2558" t="s">
        <v>2302</v>
      </c>
      <c r="D19" s="2449"/>
      <c r="E19" s="2436"/>
      <c r="F19" s="2436"/>
      <c r="G19" s="2436"/>
      <c r="H19" s="2436"/>
      <c r="I19" s="2436"/>
      <c r="J19" s="2436"/>
      <c r="K19" s="2447"/>
      <c r="L19" s="2447"/>
      <c r="M19" s="2446"/>
      <c r="N19" s="2446">
        <v>2000</v>
      </c>
      <c r="O19" s="3154">
        <f>ROUND(1-(N18-N19)/60,2)</f>
        <v>0.57999999999999996</v>
      </c>
      <c r="P19" s="3155">
        <v>0.5</v>
      </c>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4">
      <c r="A20" s="1597" t="s">
        <v>1212</v>
      </c>
      <c r="B20" s="98">
        <v>2</v>
      </c>
      <c r="C20" s="2559" t="s">
        <v>2300</v>
      </c>
      <c r="D20" s="2449"/>
      <c r="E20" s="2436"/>
      <c r="F20" s="2436"/>
      <c r="G20" s="2436"/>
      <c r="H20" s="2436"/>
      <c r="I20" s="2436"/>
      <c r="J20" s="2436"/>
      <c r="K20" s="2447"/>
      <c r="L20" s="2447"/>
      <c r="M20" s="2446"/>
      <c r="N20" s="2446"/>
      <c r="O20" s="3155">
        <v>0.65</v>
      </c>
      <c r="P20" s="3155">
        <v>0.5</v>
      </c>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4">
      <c r="A21" s="1598" t="s">
        <v>1213</v>
      </c>
      <c r="B21" s="98">
        <v>2</v>
      </c>
      <c r="C21" s="2436"/>
      <c r="D21" s="2449"/>
      <c r="E21" s="2436"/>
      <c r="F21" s="2436"/>
      <c r="G21" s="2436"/>
      <c r="H21" s="2436"/>
      <c r="I21" s="2436"/>
      <c r="J21" s="2436"/>
      <c r="K21" s="2447"/>
      <c r="L21" s="2447"/>
      <c r="M21" s="2446"/>
      <c r="N21" s="2446"/>
      <c r="O21" s="3156">
        <f>ROUND(O19*P19+O20*P20,2)</f>
        <v>0.62</v>
      </c>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4">
      <c r="A22" s="1597" t="s">
        <v>1214</v>
      </c>
      <c r="B22" s="99">
        <f>B19+B20</f>
        <v>2</v>
      </c>
      <c r="C22" s="2436"/>
      <c r="D22" s="2449"/>
      <c r="E22" s="2436"/>
      <c r="F22" s="2436"/>
      <c r="G22" s="2436"/>
      <c r="H22" s="2436"/>
      <c r="I22" s="2436"/>
      <c r="J22" s="2436"/>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4">
      <c r="A23" s="1598" t="s">
        <v>1215</v>
      </c>
      <c r="B23" s="99">
        <f>B19+B21</f>
        <v>2</v>
      </c>
      <c r="C23" s="2436"/>
      <c r="D23" s="2449"/>
      <c r="E23" s="2436"/>
      <c r="F23" s="2436"/>
      <c r="G23" s="2436"/>
      <c r="H23" s="2436"/>
      <c r="I23" s="2436"/>
      <c r="J23" s="2436"/>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9" t="s">
        <v>1216</v>
      </c>
      <c r="B24" s="100">
        <f>B20-B21</f>
        <v>0</v>
      </c>
      <c r="C24" s="2436"/>
      <c r="D24" s="2449"/>
      <c r="E24" s="2436"/>
      <c r="F24" s="2436"/>
      <c r="G24" s="2436"/>
      <c r="H24" s="2436"/>
      <c r="I24" s="2436"/>
      <c r="J24" s="2436"/>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4.4" thickBot="1">
      <c r="A25" s="1449"/>
      <c r="B25" s="1542"/>
      <c r="C25" s="2436"/>
      <c r="D25" s="2449"/>
      <c r="E25" s="2436"/>
      <c r="F25" s="2436"/>
      <c r="G25" s="2436"/>
      <c r="H25" s="2436"/>
      <c r="I25" s="2436"/>
      <c r="J25" s="2436"/>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2" t="s">
        <v>1217</v>
      </c>
      <c r="B26" s="1600" t="s">
        <v>1218</v>
      </c>
      <c r="C26" s="2450" t="s">
        <v>1219</v>
      </c>
      <c r="D26" s="2449"/>
      <c r="E26" s="2436"/>
      <c r="F26" s="2436"/>
      <c r="G26" s="2436"/>
      <c r="H26" s="2436"/>
      <c r="I26" s="2436"/>
      <c r="J26" s="2436"/>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8.8">
      <c r="A27" s="1601" t="s">
        <v>1220</v>
      </c>
      <c r="B27" s="101">
        <v>160</v>
      </c>
      <c r="C27" s="2560" t="s">
        <v>2304</v>
      </c>
      <c r="D27" s="2452"/>
      <c r="E27" s="2437"/>
      <c r="F27" s="2437"/>
      <c r="G27" s="2436"/>
      <c r="H27" s="2436"/>
      <c r="I27" s="2436"/>
      <c r="J27" s="2436"/>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8.8">
      <c r="A28" s="1602" t="s">
        <v>1221</v>
      </c>
      <c r="B28" s="103">
        <v>200</v>
      </c>
      <c r="C28" s="2453"/>
      <c r="D28" s="2452"/>
      <c r="E28" s="2437"/>
      <c r="F28" s="2437"/>
      <c r="G28" s="2436"/>
      <c r="H28" s="2436"/>
      <c r="I28" s="2436"/>
      <c r="J28" s="2436"/>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9.4" thickBot="1">
      <c r="A29" s="1603" t="s">
        <v>1222</v>
      </c>
      <c r="B29" s="105"/>
      <c r="C29" s="2561" t="s">
        <v>2294</v>
      </c>
      <c r="D29" s="2452"/>
      <c r="E29" s="2437"/>
      <c r="F29" s="2437"/>
      <c r="G29" s="2436"/>
      <c r="H29" s="2436"/>
      <c r="I29" s="2436"/>
      <c r="J29" s="2436"/>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8.8">
      <c r="A30" s="1604" t="s">
        <v>1223</v>
      </c>
      <c r="B30" s="638">
        <v>200</v>
      </c>
      <c r="C30" s="2453"/>
      <c r="D30" s="2452"/>
      <c r="E30" s="2437"/>
      <c r="F30" s="2437"/>
      <c r="G30" s="2436"/>
      <c r="H30" s="2436"/>
      <c r="I30" s="2436"/>
      <c r="J30" s="2436"/>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8.8">
      <c r="A31" s="1602" t="s">
        <v>1224</v>
      </c>
      <c r="B31" s="104">
        <f>B30-B32</f>
        <v>200</v>
      </c>
      <c r="C31" s="2451"/>
      <c r="D31" s="2452"/>
      <c r="E31" s="2437"/>
      <c r="F31" s="2437"/>
      <c r="G31" s="2436"/>
      <c r="H31" s="2436"/>
      <c r="I31" s="2436"/>
      <c r="J31" s="2436"/>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9.4" thickBot="1">
      <c r="A32" s="1605" t="s">
        <v>1225</v>
      </c>
      <c r="B32" s="639">
        <v>0</v>
      </c>
      <c r="C32" s="2453"/>
      <c r="D32" s="2449"/>
      <c r="E32" s="2436"/>
      <c r="F32" s="2436"/>
      <c r="G32" s="2436"/>
      <c r="H32" s="2436"/>
      <c r="I32" s="2436"/>
      <c r="J32" s="2436"/>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4">
      <c r="A33" s="1601" t="s">
        <v>1226</v>
      </c>
      <c r="B33" s="640">
        <v>0.05</v>
      </c>
      <c r="C33" s="2562" t="s">
        <v>3385</v>
      </c>
      <c r="D33" s="2449"/>
      <c r="E33" s="2436"/>
      <c r="F33" s="2436"/>
      <c r="G33" s="2436"/>
      <c r="H33" s="2436"/>
      <c r="I33" s="2436"/>
      <c r="J33" s="2436"/>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4">
      <c r="A34" s="1602" t="s">
        <v>1227</v>
      </c>
      <c r="B34" s="106">
        <v>0.05</v>
      </c>
      <c r="C34" s="2562" t="s">
        <v>2295</v>
      </c>
      <c r="D34" s="2457" t="s">
        <v>2301</v>
      </c>
      <c r="E34" s="2455"/>
      <c r="F34" s="2436"/>
      <c r="G34" s="2436"/>
      <c r="H34" s="2436"/>
      <c r="I34" s="2436"/>
      <c r="J34" s="2436"/>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4">
      <c r="A35" s="1602" t="s">
        <v>1228</v>
      </c>
      <c r="B35" s="103">
        <v>200</v>
      </c>
      <c r="C35" s="2562" t="s">
        <v>2296</v>
      </c>
      <c r="D35" s="2452"/>
      <c r="E35" s="2437"/>
      <c r="F35" s="2437"/>
      <c r="G35" s="2436"/>
      <c r="H35" s="2436"/>
      <c r="I35" s="2436"/>
      <c r="J35" s="2436"/>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3" t="s">
        <v>1229</v>
      </c>
      <c r="B36" s="107">
        <v>0.02</v>
      </c>
      <c r="C36" s="2562" t="s">
        <v>3403</v>
      </c>
      <c r="D36" s="2449"/>
      <c r="E36" s="2436"/>
      <c r="F36" s="2436"/>
      <c r="G36" s="2436"/>
      <c r="H36" s="2436"/>
      <c r="I36" s="2436"/>
      <c r="J36" s="2436"/>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4">
      <c r="A37" s="1604" t="s">
        <v>1230</v>
      </c>
      <c r="B37" s="108">
        <v>0.01</v>
      </c>
      <c r="C37" s="2562" t="s">
        <v>3386</v>
      </c>
      <c r="D37" s="2449"/>
      <c r="E37" s="2436"/>
      <c r="F37" s="2436"/>
      <c r="G37" s="2436"/>
      <c r="H37" s="2436"/>
      <c r="I37" s="2436"/>
      <c r="J37" s="2436"/>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4">
      <c r="A38" s="1602" t="s">
        <v>1231</v>
      </c>
      <c r="B38" s="106">
        <v>0.03</v>
      </c>
      <c r="C38" s="2562" t="s">
        <v>3387</v>
      </c>
      <c r="D38" s="2449"/>
      <c r="E38" s="2436"/>
      <c r="F38" s="2436"/>
      <c r="G38" s="2436"/>
      <c r="H38" s="2436"/>
      <c r="I38" s="2436"/>
      <c r="J38" s="2436"/>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4">
      <c r="A39" s="1605" t="s">
        <v>1232</v>
      </c>
      <c r="B39" s="309">
        <f ca="1">存贷款利率!I1</f>
        <v>1.4999999999999999E-2</v>
      </c>
      <c r="C39" s="2454"/>
      <c r="D39" s="2449"/>
      <c r="E39" s="2436"/>
      <c r="F39" s="2436"/>
      <c r="G39" s="2436"/>
      <c r="H39" s="2436"/>
      <c r="I39" s="2436"/>
      <c r="J39" s="2436"/>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28.2" thickBot="1">
      <c r="A40" s="2571" t="s">
        <v>3430</v>
      </c>
      <c r="B40" s="1015">
        <f ca="1">IF(A40="利息：取LPR",存贷款利率!G1,存贷款利率!G1+C40)</f>
        <v>3.1E-2</v>
      </c>
      <c r="C40" s="2570"/>
      <c r="D40" s="2446"/>
      <c r="E40" s="2449"/>
      <c r="F40" s="2436"/>
      <c r="G40" s="2436"/>
      <c r="H40" s="2436"/>
      <c r="I40" s="2436"/>
      <c r="J40" s="2436"/>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4">
      <c r="A41" s="1601" t="s">
        <v>1233</v>
      </c>
      <c r="B41" s="109">
        <f>B42+B43</f>
        <v>5.6000000000000001E-2</v>
      </c>
      <c r="C41" s="2451"/>
      <c r="D41" s="2446"/>
      <c r="E41" s="2449"/>
      <c r="F41" s="2436"/>
      <c r="G41" s="2436"/>
      <c r="H41" s="2436"/>
      <c r="I41" s="2436"/>
      <c r="J41" s="2436"/>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4">
      <c r="A42" s="1606" t="s">
        <v>1234</v>
      </c>
      <c r="B42" s="110">
        <v>0.05</v>
      </c>
      <c r="C42" s="2456">
        <f>IF(B2&lt;DATE(2016,5,1),0,B42)</f>
        <v>0.05</v>
      </c>
      <c r="D42" s="2449"/>
      <c r="E42" s="2436"/>
      <c r="F42" s="2436"/>
      <c r="G42" s="2436"/>
      <c r="H42" s="2436"/>
      <c r="I42" s="2436"/>
      <c r="J42" s="2436"/>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4">
      <c r="A43" s="1606" t="s">
        <v>1235</v>
      </c>
      <c r="B43" s="111">
        <f>B42*(B44+B45+B46)+B47</f>
        <v>6.000000000000001E-3</v>
      </c>
      <c r="C43" s="2451"/>
      <c r="D43" s="2449"/>
      <c r="E43" s="2436"/>
      <c r="F43" s="2436"/>
      <c r="G43" s="2436"/>
      <c r="H43" s="2436"/>
      <c r="I43" s="2436"/>
      <c r="J43" s="2436"/>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4">
      <c r="A44" s="1607" t="s">
        <v>1236</v>
      </c>
      <c r="B44" s="112">
        <v>7.0000000000000007E-2</v>
      </c>
      <c r="C44" s="2562" t="s">
        <v>3388</v>
      </c>
      <c r="D44" s="2449"/>
      <c r="E44" s="2436"/>
      <c r="F44" s="2436"/>
      <c r="G44" s="2436"/>
      <c r="H44" s="2436"/>
      <c r="I44" s="2436"/>
      <c r="J44" s="2436"/>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4">
      <c r="A45" s="1607" t="s">
        <v>1237</v>
      </c>
      <c r="B45" s="110">
        <v>0.03</v>
      </c>
      <c r="C45" s="2561" t="s">
        <v>2297</v>
      </c>
      <c r="D45" s="2449"/>
      <c r="E45" s="2436"/>
      <c r="F45" s="2436"/>
      <c r="G45" s="2436"/>
      <c r="H45" s="2436"/>
      <c r="I45" s="2436"/>
      <c r="J45" s="2436"/>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4">
      <c r="A46" s="1607" t="s">
        <v>1238</v>
      </c>
      <c r="B46" s="110">
        <v>0.02</v>
      </c>
      <c r="C46" s="2561" t="s">
        <v>2298</v>
      </c>
      <c r="D46" s="2449"/>
      <c r="E46" s="2436"/>
      <c r="F46" s="2436"/>
      <c r="G46" s="2436"/>
      <c r="H46" s="2436"/>
      <c r="I46" s="2436"/>
      <c r="J46" s="2436"/>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8" t="s">
        <v>1239</v>
      </c>
      <c r="B47" s="113"/>
      <c r="C47" s="2564" t="s">
        <v>2305</v>
      </c>
      <c r="D47" s="2449"/>
      <c r="E47" s="2436"/>
      <c r="F47" s="2436"/>
      <c r="G47" s="2436"/>
      <c r="H47" s="2436"/>
      <c r="I47" s="2436"/>
      <c r="J47" s="2436"/>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4">
      <c r="A48" s="1609" t="s">
        <v>1240</v>
      </c>
      <c r="B48" s="114">
        <v>0.03</v>
      </c>
      <c r="C48" s="2561" t="s">
        <v>2297</v>
      </c>
      <c r="D48" s="2449"/>
      <c r="E48" s="2436"/>
      <c r="F48" s="2436"/>
      <c r="G48" s="2436"/>
      <c r="H48" s="2436"/>
      <c r="I48" s="2436"/>
      <c r="J48" s="2436"/>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5" t="s">
        <v>1241</v>
      </c>
      <c r="B49" s="110">
        <v>5.0000000000000001E-4</v>
      </c>
      <c r="C49" s="2561" t="s">
        <v>2299</v>
      </c>
      <c r="D49" s="2449"/>
      <c r="E49" s="2436"/>
      <c r="F49" s="2436"/>
      <c r="G49" s="2436"/>
      <c r="H49" s="2436"/>
      <c r="I49" s="2436"/>
      <c r="J49" s="2436"/>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4">
      <c r="A50" s="1610" t="s">
        <v>1242</v>
      </c>
      <c r="B50" s="115">
        <v>1.2E-2</v>
      </c>
      <c r="C50" s="2437"/>
      <c r="D50" s="2449"/>
      <c r="E50" s="2436"/>
      <c r="F50" s="2436"/>
      <c r="G50" s="2436"/>
      <c r="H50" s="2436"/>
      <c r="I50" s="2436"/>
      <c r="J50" s="2436"/>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3" t="s">
        <v>1243</v>
      </c>
      <c r="B51" s="116">
        <v>0.12</v>
      </c>
      <c r="C51" s="2437"/>
      <c r="D51" s="2449"/>
      <c r="E51" s="2436"/>
      <c r="F51" s="2436"/>
      <c r="G51" s="2436"/>
      <c r="H51" s="2436"/>
      <c r="I51" s="2436"/>
      <c r="J51" s="2436"/>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4">
      <c r="A52" s="1610" t="s">
        <v>1244</v>
      </c>
      <c r="B52" s="117">
        <f>SUMIF(A54:A63,B53,B54:B63)</f>
        <v>18</v>
      </c>
      <c r="C52" s="2437"/>
      <c r="D52" s="2449"/>
      <c r="E52" s="2436"/>
      <c r="F52" s="2436"/>
      <c r="G52" s="2436"/>
      <c r="H52" s="2436"/>
      <c r="I52" s="2436"/>
      <c r="J52" s="2436"/>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8.8">
      <c r="A53" s="1602" t="s">
        <v>1245</v>
      </c>
      <c r="B53" s="1611" t="s">
        <v>296</v>
      </c>
      <c r="C53" s="2437" t="s">
        <v>1246</v>
      </c>
      <c r="D53" s="2563" t="s">
        <v>2303</v>
      </c>
      <c r="E53" s="2436"/>
      <c r="F53" s="2436"/>
      <c r="G53" s="2436"/>
      <c r="H53" s="2436"/>
      <c r="I53" s="2436"/>
      <c r="J53" s="2436"/>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4">
      <c r="A54" s="1612" t="s">
        <v>1247</v>
      </c>
      <c r="B54" s="72"/>
      <c r="C54" s="2437">
        <v>30</v>
      </c>
      <c r="D54" s="2449"/>
      <c r="E54" s="2436"/>
      <c r="F54" s="2436"/>
      <c r="G54" s="2436"/>
      <c r="H54" s="2436"/>
      <c r="I54" s="2436"/>
      <c r="J54" s="2436"/>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4">
      <c r="A55" s="1612" t="s">
        <v>1248</v>
      </c>
      <c r="B55" s="72"/>
      <c r="C55" s="2437">
        <v>24</v>
      </c>
      <c r="D55" s="2449"/>
      <c r="E55" s="2436"/>
      <c r="F55" s="2436"/>
      <c r="G55" s="2436"/>
      <c r="H55" s="2436"/>
      <c r="I55" s="2436"/>
      <c r="J55" s="2436"/>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4">
      <c r="A56" s="1612" t="s">
        <v>1249</v>
      </c>
      <c r="B56" s="72">
        <v>18</v>
      </c>
      <c r="C56" s="2437">
        <v>18</v>
      </c>
      <c r="D56" s="2449"/>
      <c r="E56" s="2436"/>
      <c r="F56" s="2436"/>
      <c r="G56" s="2436"/>
      <c r="H56" s="2436"/>
      <c r="I56" s="2436"/>
      <c r="J56" s="2436"/>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4">
      <c r="A57" s="1612" t="s">
        <v>1250</v>
      </c>
      <c r="B57" s="72"/>
      <c r="C57" s="2437">
        <v>12</v>
      </c>
      <c r="D57" s="2449"/>
      <c r="E57" s="2436"/>
      <c r="F57" s="2436"/>
      <c r="G57" s="2436"/>
      <c r="H57" s="2436"/>
      <c r="I57" s="2436"/>
      <c r="J57" s="2436"/>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4">
      <c r="A58" s="1612" t="s">
        <v>1251</v>
      </c>
      <c r="B58" s="72"/>
      <c r="C58" s="2437">
        <v>3</v>
      </c>
      <c r="D58" s="2449"/>
      <c r="E58" s="2436"/>
      <c r="F58" s="2436"/>
      <c r="G58" s="2436"/>
      <c r="H58" s="2436"/>
      <c r="I58" s="2436"/>
      <c r="J58" s="2436"/>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4">
      <c r="A59" s="1612" t="s">
        <v>1252</v>
      </c>
      <c r="B59" s="72">
        <f>C59</f>
        <v>1.5</v>
      </c>
      <c r="C59" s="2437">
        <v>1.5</v>
      </c>
      <c r="D59" s="2449"/>
      <c r="E59" s="2436"/>
      <c r="F59" s="2436"/>
      <c r="G59" s="2436"/>
      <c r="H59" s="2436"/>
      <c r="I59" s="2436"/>
      <c r="J59" s="2436"/>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4">
      <c r="A60" s="1612" t="s">
        <v>1253</v>
      </c>
      <c r="B60" s="72"/>
      <c r="C60" s="2436"/>
      <c r="D60" s="2449"/>
      <c r="E60" s="2436"/>
      <c r="F60" s="2436"/>
      <c r="G60" s="2436"/>
      <c r="H60" s="2436"/>
      <c r="I60" s="2436"/>
      <c r="J60" s="2436"/>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4">
      <c r="A61" s="1612" t="s">
        <v>1254</v>
      </c>
      <c r="B61" s="72"/>
      <c r="C61" s="2436"/>
      <c r="D61" s="2449"/>
      <c r="E61" s="2436"/>
      <c r="F61" s="2436"/>
      <c r="G61" s="2436"/>
      <c r="H61" s="2436"/>
      <c r="I61" s="2436"/>
      <c r="J61" s="2436"/>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4">
      <c r="A62" s="1612" t="s">
        <v>1255</v>
      </c>
      <c r="B62" s="72"/>
      <c r="C62" s="2436"/>
      <c r="D62" s="2449"/>
      <c r="E62" s="2436"/>
      <c r="F62" s="2436"/>
      <c r="G62" s="2436"/>
      <c r="H62" s="2436"/>
      <c r="I62" s="2436"/>
      <c r="J62" s="2436"/>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3" t="s">
        <v>1256</v>
      </c>
      <c r="B63" s="118"/>
      <c r="C63" s="2436"/>
      <c r="D63" s="2449"/>
      <c r="E63" s="2436"/>
      <c r="F63" s="2436"/>
      <c r="G63" s="2436"/>
      <c r="H63" s="2436"/>
      <c r="I63" s="2436"/>
      <c r="J63" s="2436"/>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4" customFormat="1">
      <c r="A64" s="2439"/>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4" customFormat="1">
      <c r="A65" s="2439"/>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4" customFormat="1">
      <c r="A66" s="2439"/>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4" customFormat="1">
      <c r="A67" s="2439"/>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4" customFormat="1">
      <c r="A68" s="2439"/>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4" customWidth="1"/>
    <col min="9" max="9" width="16.77734375" style="2274" customWidth="1"/>
    <col min="10" max="10" width="2.6640625" style="2274" customWidth="1"/>
    <col min="11" max="11" width="11.88671875" style="2274" customWidth="1"/>
    <col min="12" max="12" width="16.77734375" style="2274" customWidth="1"/>
    <col min="13" max="13" width="2.6640625" style="2274" customWidth="1"/>
    <col min="14" max="14" width="11.88671875" style="2274" customWidth="1"/>
    <col min="15" max="15" width="16.77734375" style="2274" customWidth="1"/>
    <col min="16" max="16" width="2.6640625" style="2274" customWidth="1"/>
    <col min="17" max="17" width="11.88671875" style="2274" customWidth="1"/>
    <col min="18" max="18" width="16.77734375" style="751" customWidth="1"/>
    <col min="19" max="29" width="9" style="751"/>
    <col min="30" max="16384" width="9" style="1522"/>
  </cols>
  <sheetData>
    <row r="1" spans="1:29" s="2256" customFormat="1" ht="18" thickBot="1">
      <c r="A1" s="3273" t="s">
        <v>2286</v>
      </c>
      <c r="B1" s="3274"/>
      <c r="C1" s="3274"/>
      <c r="D1" s="3274"/>
      <c r="E1" s="3274"/>
      <c r="F1" s="3274"/>
      <c r="G1" s="3274"/>
      <c r="H1" s="2253"/>
      <c r="I1" s="2253"/>
      <c r="J1" s="2253"/>
      <c r="K1" s="2253"/>
      <c r="L1" s="2253"/>
      <c r="M1" s="2253"/>
      <c r="N1" s="2253"/>
      <c r="O1" s="2253"/>
      <c r="P1" s="2253"/>
      <c r="Q1" s="2254"/>
      <c r="R1" s="2255"/>
      <c r="S1" s="2255"/>
      <c r="T1" s="2255"/>
      <c r="U1" s="2255"/>
      <c r="V1" s="2255"/>
      <c r="W1" s="2255"/>
      <c r="X1" s="2255"/>
      <c r="Y1" s="2255"/>
      <c r="Z1" s="2255"/>
      <c r="AA1" s="2255"/>
      <c r="AB1" s="2255"/>
      <c r="AC1" s="2255"/>
    </row>
    <row r="2" spans="1:29" ht="14.4" thickBot="1">
      <c r="A2" s="2257"/>
      <c r="B2" s="2258"/>
      <c r="C2" s="2259" t="s">
        <v>2281</v>
      </c>
      <c r="D2" s="1595"/>
      <c r="E2" s="2257"/>
      <c r="F2" s="2260"/>
      <c r="G2" s="2259" t="s">
        <v>2282</v>
      </c>
      <c r="H2" s="751"/>
      <c r="I2" s="751"/>
      <c r="J2" s="751"/>
      <c r="K2" s="751"/>
      <c r="L2" s="751"/>
      <c r="M2" s="751"/>
      <c r="N2" s="751"/>
      <c r="O2" s="751"/>
      <c r="P2" s="751"/>
      <c r="Q2" s="751"/>
    </row>
    <row r="3" spans="1:29" ht="48">
      <c r="A3" s="2244" t="s">
        <v>2283</v>
      </c>
      <c r="B3" s="2261" t="s">
        <v>2252</v>
      </c>
      <c r="C3" s="2262" t="s">
        <v>2284</v>
      </c>
      <c r="D3" s="2263"/>
      <c r="E3" s="2245" t="s">
        <v>2283</v>
      </c>
      <c r="F3" s="2264" t="s">
        <v>2253</v>
      </c>
      <c r="G3" s="2265" t="s">
        <v>2285</v>
      </c>
      <c r="H3" s="751"/>
      <c r="I3" s="751"/>
      <c r="J3" s="751"/>
      <c r="K3" s="751"/>
      <c r="L3" s="751"/>
      <c r="M3" s="751"/>
      <c r="N3" s="751"/>
      <c r="O3" s="751"/>
      <c r="P3" s="751"/>
      <c r="Q3" s="751"/>
    </row>
    <row r="4" spans="1:29" ht="37.200000000000003">
      <c r="A4" s="2245"/>
      <c r="B4" s="315" t="s">
        <v>2254</v>
      </c>
      <c r="C4" s="2266" t="s">
        <v>2255</v>
      </c>
      <c r="D4" s="2263"/>
      <c r="E4" s="2267"/>
      <c r="F4" s="1281" t="s">
        <v>2256</v>
      </c>
      <c r="G4" s="2268" t="s">
        <v>2257</v>
      </c>
      <c r="H4" s="751"/>
      <c r="I4" s="751"/>
      <c r="J4" s="751"/>
      <c r="K4" s="751"/>
      <c r="L4" s="751"/>
      <c r="M4" s="751"/>
      <c r="N4" s="751"/>
      <c r="O4" s="751"/>
      <c r="P4" s="751"/>
      <c r="Q4" s="751"/>
    </row>
    <row r="5" spans="1:29" ht="37.200000000000003">
      <c r="A5" s="2245"/>
      <c r="B5" s="315" t="s">
        <v>2258</v>
      </c>
      <c r="C5" s="2266" t="s">
        <v>2259</v>
      </c>
      <c r="D5" s="2263"/>
      <c r="E5" s="2267"/>
      <c r="F5" s="315" t="s">
        <v>2260</v>
      </c>
      <c r="G5" s="2268" t="s">
        <v>2261</v>
      </c>
      <c r="H5" s="751"/>
      <c r="I5" s="751"/>
      <c r="J5" s="751"/>
      <c r="K5" s="751"/>
      <c r="L5" s="751"/>
      <c r="M5" s="751"/>
      <c r="N5" s="751"/>
      <c r="O5" s="751"/>
      <c r="P5" s="751"/>
      <c r="Q5" s="751"/>
    </row>
    <row r="6" spans="1:29" ht="48">
      <c r="A6" s="2245"/>
      <c r="B6" s="315" t="s">
        <v>2262</v>
      </c>
      <c r="C6" s="2268" t="s">
        <v>2257</v>
      </c>
      <c r="D6" s="2263"/>
      <c r="E6" s="2267"/>
      <c r="F6" s="315" t="s">
        <v>2263</v>
      </c>
      <c r="G6" s="2268" t="s">
        <v>2264</v>
      </c>
      <c r="H6" s="751"/>
      <c r="I6" s="751"/>
      <c r="J6" s="751"/>
      <c r="K6" s="751"/>
      <c r="L6" s="751"/>
      <c r="M6" s="751"/>
      <c r="N6" s="751"/>
      <c r="O6" s="751"/>
      <c r="P6" s="751"/>
      <c r="Q6" s="751"/>
    </row>
    <row r="7" spans="1:29" ht="36.6" thickBot="1">
      <c r="A7" s="2245"/>
      <c r="B7" s="315" t="s">
        <v>2260</v>
      </c>
      <c r="C7" s="2268" t="s">
        <v>2261</v>
      </c>
      <c r="D7" s="2242"/>
      <c r="E7" s="2269"/>
      <c r="F7" s="2270" t="s">
        <v>2265</v>
      </c>
      <c r="G7" s="2271" t="s">
        <v>2266</v>
      </c>
      <c r="H7" s="751"/>
      <c r="I7" s="751"/>
      <c r="J7" s="751"/>
      <c r="K7" s="751"/>
      <c r="L7" s="751"/>
      <c r="M7" s="751"/>
      <c r="N7" s="751"/>
      <c r="O7" s="751"/>
      <c r="P7" s="751"/>
      <c r="Q7" s="751"/>
    </row>
    <row r="8" spans="1:29" ht="24">
      <c r="A8" s="2245"/>
      <c r="B8" s="315" t="s">
        <v>2263</v>
      </c>
      <c r="C8" s="2268" t="s">
        <v>2264</v>
      </c>
      <c r="D8" s="2242"/>
      <c r="E8" s="2242"/>
      <c r="F8" s="121"/>
      <c r="G8" s="121"/>
      <c r="H8" s="751"/>
      <c r="I8" s="751"/>
      <c r="J8" s="751"/>
      <c r="K8" s="751"/>
      <c r="L8" s="751"/>
      <c r="M8" s="751"/>
      <c r="N8" s="751"/>
      <c r="O8" s="751"/>
      <c r="P8" s="751"/>
      <c r="Q8" s="751"/>
    </row>
    <row r="9" spans="1:29" ht="24">
      <c r="A9" s="2245"/>
      <c r="B9" s="315" t="s">
        <v>2267</v>
      </c>
      <c r="C9" s="2266" t="s">
        <v>2268</v>
      </c>
      <c r="D9" s="2263"/>
      <c r="E9" s="2242"/>
      <c r="F9" s="121"/>
      <c r="G9" s="121"/>
      <c r="H9" s="751"/>
      <c r="I9" s="751"/>
      <c r="J9" s="751"/>
      <c r="K9" s="751"/>
      <c r="L9" s="751"/>
      <c r="M9" s="751"/>
      <c r="N9" s="751"/>
      <c r="O9" s="751"/>
      <c r="P9" s="751"/>
      <c r="Q9" s="751"/>
    </row>
    <row r="10" spans="1:29" ht="14.4" thickBot="1">
      <c r="A10" s="2246"/>
      <c r="B10" s="2272" t="s">
        <v>2269</v>
      </c>
      <c r="C10" s="2273"/>
      <c r="D10" s="2263"/>
      <c r="E10" s="2263"/>
      <c r="F10" s="121"/>
      <c r="G10" s="121"/>
      <c r="J10" s="2275"/>
      <c r="M10" s="2275"/>
      <c r="P10" s="2275"/>
      <c r="R10" s="2274"/>
    </row>
    <row r="11" spans="1:29">
      <c r="A11" s="2276"/>
      <c r="B11" s="2242"/>
      <c r="C11" s="2263"/>
      <c r="D11" s="2263"/>
      <c r="E11" s="2263"/>
      <c r="F11" s="2242"/>
      <c r="G11" s="2242"/>
      <c r="J11" s="2275"/>
      <c r="M11" s="2275"/>
      <c r="P11" s="2275"/>
      <c r="R11" s="2274"/>
    </row>
    <row r="12" spans="1:29" s="2256" customFormat="1" ht="17.399999999999999">
      <c r="A12" s="2276"/>
      <c r="B12" s="2242"/>
      <c r="C12" s="2263"/>
      <c r="D12" s="2277"/>
      <c r="E12" s="2263"/>
      <c r="F12" s="2242"/>
      <c r="G12" s="2242"/>
      <c r="H12" s="2278"/>
      <c r="I12" s="2278"/>
      <c r="J12" s="2278"/>
      <c r="K12" s="2278"/>
      <c r="L12" s="2279"/>
      <c r="M12" s="2278"/>
      <c r="N12" s="2280"/>
      <c r="O12" s="2280"/>
      <c r="P12" s="2280"/>
      <c r="Q12" s="2280"/>
      <c r="R12" s="2255"/>
      <c r="S12" s="2255"/>
      <c r="T12" s="2255"/>
      <c r="U12" s="2255"/>
      <c r="V12" s="2255"/>
      <c r="W12" s="2255"/>
      <c r="X12" s="2255"/>
      <c r="Y12" s="2255"/>
      <c r="Z12" s="2255"/>
      <c r="AA12" s="2255"/>
      <c r="AB12" s="2255"/>
      <c r="AC12" s="2255"/>
    </row>
    <row r="13" spans="1:29" ht="15" thickBot="1">
      <c r="A13" s="2281" t="s">
        <v>2287</v>
      </c>
      <c r="B13" s="2277"/>
      <c r="C13" s="2277"/>
      <c r="D13" s="2276"/>
      <c r="E13" s="2277"/>
      <c r="F13" s="2277"/>
      <c r="G13" s="2277"/>
    </row>
    <row r="14" spans="1:29" ht="14.4" thickBot="1">
      <c r="A14" s="2282"/>
      <c r="B14" s="2282"/>
      <c r="C14" s="2283" t="s">
        <v>2270</v>
      </c>
      <c r="D14" s="2263"/>
      <c r="E14" s="2284"/>
      <c r="F14" s="2284"/>
      <c r="G14" s="2259" t="s">
        <v>2271</v>
      </c>
    </row>
    <row r="15" spans="1:29" ht="52.8">
      <c r="A15" s="2247" t="s">
        <v>2272</v>
      </c>
      <c r="B15" s="2285" t="s">
        <v>2252</v>
      </c>
      <c r="C15" s="2286" t="str">
        <f>C3</f>
        <v>估价对象周边居住用地比例、居住小区规模和社区发展完善程度，综合评价居住社区成熟度一般</v>
      </c>
      <c r="D15" s="2263"/>
      <c r="E15" s="2248" t="s">
        <v>2273</v>
      </c>
      <c r="F15" s="2285" t="s">
        <v>2274</v>
      </c>
      <c r="G15" s="2287" t="str">
        <f>G3</f>
        <v>估价对象位于XX开发区，园区建设成熟度XX，产业集聚程度XX</v>
      </c>
    </row>
    <row r="16" spans="1:29" ht="39.6">
      <c r="A16" s="2249"/>
      <c r="B16" s="2288" t="s">
        <v>2254</v>
      </c>
      <c r="C16" s="2289" t="str">
        <f>C4</f>
        <v>估价对象位于XX商圈，周边商业氛围成熟，人流量大，商业繁华度好</v>
      </c>
      <c r="D16" s="2263"/>
      <c r="E16" s="2250"/>
      <c r="F16" s="2290" t="s">
        <v>2256</v>
      </c>
      <c r="G16" s="2291" t="str">
        <f>G4</f>
        <v>估价对象周边道路状况、公共交通通达情况、停车便捷程度，综合评价交通便捷度较好</v>
      </c>
    </row>
    <row r="17" spans="1:17" ht="39.6">
      <c r="A17" s="2249"/>
      <c r="B17" s="2288" t="s">
        <v>2258</v>
      </c>
      <c r="C17" s="2289" t="str">
        <f>C5</f>
        <v>估价对象位于XX商圈，周边办公楼项目较多，入驻率高，办公集聚程度较好</v>
      </c>
      <c r="D17" s="2242"/>
      <c r="E17" s="2250"/>
      <c r="F17" s="2290" t="s">
        <v>2275</v>
      </c>
      <c r="G17" s="2292"/>
    </row>
    <row r="18" spans="1:17" ht="52.8">
      <c r="A18" s="2249"/>
      <c r="B18" s="2290" t="s">
        <v>2262</v>
      </c>
      <c r="C18" s="2291" t="str">
        <f>C6</f>
        <v>估价对象周边道路状况、公共交通通达情况、停车便捷程度，综合评价交通便捷度较好</v>
      </c>
      <c r="D18" s="2242"/>
      <c r="E18" s="2250"/>
      <c r="F18" s="2290" t="s">
        <v>2265</v>
      </c>
      <c r="G18" s="2291" t="str">
        <f>G7</f>
        <v>该园区内是否有污染型企业，绿化情况，卫生条件，整体环境状况判断</v>
      </c>
    </row>
    <row r="19" spans="1:17" ht="26.4">
      <c r="A19" s="2249"/>
      <c r="B19" s="2290" t="s">
        <v>2276</v>
      </c>
      <c r="C19" s="2292"/>
      <c r="D19" s="2263"/>
      <c r="E19" s="2250"/>
      <c r="F19" s="315" t="s">
        <v>2260</v>
      </c>
      <c r="G19" s="2291" t="str">
        <f>G5</f>
        <v>估价对象所在区域公共配套设施齐备情况</v>
      </c>
    </row>
    <row r="20" spans="1:17" ht="26.4">
      <c r="A20" s="2249"/>
      <c r="B20" s="2290" t="s">
        <v>2277</v>
      </c>
      <c r="C20" s="2289" t="str">
        <f>C9</f>
        <v>区域自然环境：；人文环境；综合评价环境状况一般</v>
      </c>
      <c r="D20" s="2242"/>
      <c r="E20" s="2250"/>
      <c r="F20" s="315" t="s">
        <v>2263</v>
      </c>
      <c r="G20" s="2291" t="str">
        <f>G6</f>
        <v>估价对象所在区域基础设施水平</v>
      </c>
    </row>
    <row r="21" spans="1:17" ht="26.4">
      <c r="A21" s="2249"/>
      <c r="B21" s="315" t="s">
        <v>2260</v>
      </c>
      <c r="C21" s="2291" t="str">
        <f>C7</f>
        <v>估价对象所在区域公共配套设施齐备情况</v>
      </c>
      <c r="D21" s="2263"/>
      <c r="E21" s="2250"/>
      <c r="F21" s="2290" t="s">
        <v>2278</v>
      </c>
      <c r="G21" s="2293"/>
    </row>
    <row r="22" spans="1:17" ht="13.5" customHeight="1">
      <c r="A22" s="2249"/>
      <c r="B22" s="315" t="s">
        <v>2263</v>
      </c>
      <c r="C22" s="2291" t="str">
        <f>C8</f>
        <v>估价对象所在区域基础设施水平</v>
      </c>
      <c r="D22" s="2263"/>
      <c r="E22" s="2250"/>
      <c r="F22" s="2290" t="s">
        <v>2269</v>
      </c>
      <c r="G22" s="2292"/>
    </row>
    <row r="23" spans="1:17" s="751" customFormat="1" ht="14.4" thickBot="1">
      <c r="A23" s="2249"/>
      <c r="B23" s="2290" t="s">
        <v>2278</v>
      </c>
      <c r="C23" s="2293"/>
      <c r="D23" s="1614"/>
      <c r="E23" s="2251"/>
      <c r="F23" s="2294" t="s">
        <v>2279</v>
      </c>
      <c r="G23" s="2295"/>
      <c r="H23" s="2274"/>
      <c r="I23" s="2274"/>
      <c r="J23" s="2274"/>
      <c r="K23" s="2274"/>
      <c r="L23" s="2274"/>
      <c r="M23" s="2274"/>
      <c r="N23" s="2274"/>
      <c r="O23" s="2274"/>
      <c r="P23" s="2274"/>
      <c r="Q23" s="2274"/>
    </row>
    <row r="24" spans="1:17" s="751" customFormat="1" ht="14.4" thickBot="1">
      <c r="A24" s="2252"/>
      <c r="B24" s="2294" t="s">
        <v>2280</v>
      </c>
      <c r="C24" s="2296">
        <f>C10</f>
        <v>0</v>
      </c>
      <c r="D24" s="1614"/>
      <c r="E24" s="2242"/>
      <c r="F24" s="2242"/>
      <c r="G24" s="2242"/>
      <c r="H24" s="2274"/>
      <c r="I24" s="2274"/>
      <c r="J24" s="2274"/>
      <c r="K24" s="2274"/>
      <c r="L24" s="2274"/>
      <c r="M24" s="2274"/>
      <c r="N24" s="2274"/>
      <c r="O24" s="2274"/>
      <c r="P24" s="2274"/>
      <c r="Q24" s="2274"/>
    </row>
    <row r="25" spans="1:17" s="751" customFormat="1">
      <c r="B25" s="2274"/>
      <c r="C25" s="2274"/>
      <c r="D25" s="2274"/>
      <c r="H25" s="2274"/>
      <c r="I25" s="2274"/>
      <c r="J25" s="2274"/>
      <c r="K25" s="2274"/>
      <c r="L25" s="2274"/>
      <c r="M25" s="2274"/>
      <c r="N25" s="2274"/>
      <c r="O25" s="2274"/>
      <c r="P25" s="2274"/>
      <c r="Q25" s="2274"/>
    </row>
    <row r="26" spans="1:17" s="751" customFormat="1">
      <c r="B26" s="2274"/>
      <c r="C26" s="2274"/>
      <c r="D26" s="2274"/>
      <c r="H26" s="2274"/>
      <c r="I26" s="2274"/>
      <c r="J26" s="2274"/>
      <c r="K26" s="2274"/>
      <c r="L26" s="2274"/>
      <c r="M26" s="2274"/>
      <c r="N26" s="2274"/>
      <c r="O26" s="2274"/>
      <c r="P26" s="2274"/>
      <c r="Q26" s="2274"/>
    </row>
    <row r="27" spans="1:17" s="751" customFormat="1">
      <c r="B27" s="2274"/>
      <c r="C27" s="2274"/>
      <c r="D27" s="2274"/>
      <c r="H27" s="2274"/>
      <c r="I27" s="2274"/>
      <c r="J27" s="2274"/>
      <c r="K27" s="2274"/>
      <c r="L27" s="2274"/>
      <c r="M27" s="2274"/>
      <c r="N27" s="2274"/>
      <c r="O27" s="2274"/>
      <c r="P27" s="2274"/>
      <c r="Q27" s="2274"/>
    </row>
    <row r="28" spans="1:17" s="751" customFormat="1">
      <c r="B28" s="2274"/>
      <c r="C28" s="2274"/>
      <c r="D28" s="2274"/>
      <c r="H28" s="2274"/>
      <c r="I28" s="2274"/>
      <c r="J28" s="2274"/>
      <c r="K28" s="2274"/>
      <c r="L28" s="2274"/>
      <c r="M28" s="2274"/>
      <c r="N28" s="2274"/>
      <c r="O28" s="2274"/>
      <c r="P28" s="2274"/>
      <c r="Q28" s="2274"/>
    </row>
    <row r="29" spans="1:17" s="751" customFormat="1">
      <c r="B29" s="2274"/>
      <c r="C29" s="2274"/>
      <c r="D29" s="2274"/>
      <c r="H29" s="2274"/>
      <c r="I29" s="2274"/>
      <c r="J29" s="2274"/>
      <c r="K29" s="2274"/>
      <c r="L29" s="2274"/>
      <c r="M29" s="2274"/>
      <c r="N29" s="2274"/>
      <c r="O29" s="2274"/>
      <c r="P29" s="2274"/>
      <c r="Q29" s="2274"/>
    </row>
    <row r="30" spans="1:17" s="751" customFormat="1">
      <c r="B30" s="2274"/>
      <c r="C30" s="2274"/>
      <c r="D30" s="2274"/>
      <c r="H30" s="2274"/>
      <c r="I30" s="2274"/>
      <c r="J30" s="2274"/>
      <c r="K30" s="2274"/>
      <c r="L30" s="2274"/>
      <c r="M30" s="2274"/>
      <c r="N30" s="2274"/>
      <c r="O30" s="2274"/>
      <c r="P30" s="2274"/>
      <c r="Q30" s="2274"/>
    </row>
    <row r="31" spans="1:17" s="751" customFormat="1">
      <c r="B31" s="2274"/>
      <c r="C31" s="2274"/>
      <c r="D31" s="2274"/>
      <c r="H31" s="2274"/>
      <c r="I31" s="2274"/>
      <c r="J31" s="2274"/>
      <c r="K31" s="2274"/>
      <c r="L31" s="2274"/>
      <c r="M31" s="2274"/>
      <c r="N31" s="2274"/>
      <c r="O31" s="2274"/>
      <c r="P31" s="2274"/>
      <c r="Q31" s="2274"/>
    </row>
    <row r="32" spans="1:17" s="751" customFormat="1">
      <c r="B32" s="2274"/>
      <c r="C32" s="2274"/>
      <c r="D32" s="2274"/>
      <c r="H32" s="2274"/>
      <c r="I32" s="2274"/>
      <c r="J32" s="2274"/>
      <c r="K32" s="2274"/>
      <c r="L32" s="2274"/>
      <c r="M32" s="2274"/>
      <c r="N32" s="2274"/>
      <c r="O32" s="2274"/>
      <c r="P32" s="2274"/>
      <c r="Q32" s="2274"/>
    </row>
    <row r="33" spans="2:17" s="751" customFormat="1">
      <c r="B33" s="2274"/>
      <c r="C33" s="2274"/>
      <c r="D33" s="2274"/>
      <c r="H33" s="2274"/>
      <c r="I33" s="2274"/>
      <c r="J33" s="2274"/>
      <c r="K33" s="2274"/>
      <c r="L33" s="2274"/>
      <c r="M33" s="2274"/>
      <c r="N33" s="2274"/>
      <c r="O33" s="2274"/>
      <c r="P33" s="2274"/>
      <c r="Q33" s="2274"/>
    </row>
    <row r="34" spans="2:17" s="751" customFormat="1">
      <c r="B34" s="2274"/>
      <c r="C34" s="2274"/>
      <c r="D34" s="2274"/>
      <c r="H34" s="2274"/>
      <c r="I34" s="2274"/>
      <c r="J34" s="2274"/>
      <c r="K34" s="2274"/>
      <c r="L34" s="2274"/>
      <c r="M34" s="2274"/>
      <c r="N34" s="2274"/>
      <c r="O34" s="2274"/>
      <c r="P34" s="2274"/>
      <c r="Q34" s="2274"/>
    </row>
    <row r="35" spans="2:17" s="751" customFormat="1">
      <c r="B35" s="2274"/>
      <c r="C35" s="2274"/>
      <c r="D35" s="2274"/>
      <c r="H35" s="2274"/>
      <c r="I35" s="2274"/>
      <c r="J35" s="2274"/>
      <c r="K35" s="2274"/>
      <c r="L35" s="2274"/>
      <c r="M35" s="2274"/>
      <c r="N35" s="2274"/>
      <c r="O35" s="2274"/>
      <c r="P35" s="2274"/>
      <c r="Q35" s="2274"/>
    </row>
    <row r="36" spans="2:17" s="751" customFormat="1">
      <c r="B36" s="2274"/>
      <c r="C36" s="2274"/>
      <c r="D36" s="2274"/>
      <c r="H36" s="2274"/>
      <c r="I36" s="2274"/>
      <c r="J36" s="2274"/>
      <c r="K36" s="2274"/>
      <c r="L36" s="2274"/>
      <c r="M36" s="2274"/>
      <c r="N36" s="2274"/>
      <c r="O36" s="2274"/>
      <c r="P36" s="2274"/>
      <c r="Q36" s="2274"/>
    </row>
    <row r="37" spans="2:17" s="751" customFormat="1">
      <c r="B37" s="2274"/>
      <c r="C37" s="2274"/>
      <c r="D37" s="2274"/>
      <c r="H37" s="2274"/>
      <c r="I37" s="2274"/>
      <c r="J37" s="2274"/>
      <c r="K37" s="2274"/>
      <c r="L37" s="2274"/>
      <c r="M37" s="2274"/>
      <c r="N37" s="2274"/>
      <c r="O37" s="2274"/>
      <c r="P37" s="2274"/>
      <c r="Q37" s="2274"/>
    </row>
    <row r="38" spans="2:17" s="751" customFormat="1">
      <c r="B38" s="2274"/>
      <c r="C38" s="2274"/>
      <c r="D38" s="2274"/>
      <c r="E38" s="2274"/>
      <c r="F38" s="2274"/>
      <c r="G38" s="2274"/>
      <c r="H38" s="2274"/>
      <c r="I38" s="2274"/>
      <c r="J38" s="2274"/>
      <c r="K38" s="2274"/>
      <c r="L38" s="2274"/>
      <c r="M38" s="2274"/>
      <c r="N38" s="2274"/>
      <c r="O38" s="2274"/>
      <c r="P38" s="2274"/>
      <c r="Q38" s="2274"/>
    </row>
    <row r="39" spans="2:17" s="751" customFormat="1">
      <c r="B39" s="2274"/>
      <c r="C39" s="2274"/>
      <c r="D39" s="2274"/>
      <c r="E39" s="2274"/>
      <c r="F39" s="2274"/>
      <c r="G39" s="2274"/>
      <c r="H39" s="2274"/>
      <c r="I39" s="2274"/>
      <c r="J39" s="2274"/>
      <c r="K39" s="2274"/>
      <c r="L39" s="2274"/>
      <c r="M39" s="2274"/>
      <c r="N39" s="2274"/>
      <c r="O39" s="2274"/>
      <c r="P39" s="2274"/>
      <c r="Q39" s="2274"/>
    </row>
    <row r="40" spans="2:17" s="751" customFormat="1">
      <c r="B40" s="2274"/>
      <c r="C40" s="2274"/>
      <c r="D40" s="2274"/>
      <c r="E40" s="2274"/>
      <c r="F40" s="2274"/>
      <c r="G40" s="2274"/>
      <c r="H40" s="2274"/>
      <c r="I40" s="2274"/>
      <c r="J40" s="2274"/>
      <c r="K40" s="2274"/>
      <c r="L40" s="2274"/>
      <c r="M40" s="2274"/>
      <c r="N40" s="2274"/>
      <c r="O40" s="2274"/>
      <c r="P40" s="2274"/>
      <c r="Q40" s="2274"/>
    </row>
    <row r="41" spans="2:17" s="751" customFormat="1">
      <c r="B41" s="2274"/>
      <c r="C41" s="2274"/>
      <c r="D41" s="2274"/>
      <c r="E41" s="2274"/>
      <c r="F41" s="2274"/>
      <c r="G41" s="2274"/>
      <c r="H41" s="2274"/>
      <c r="I41" s="2274"/>
      <c r="J41" s="2274"/>
      <c r="K41" s="2274"/>
      <c r="L41" s="2274"/>
      <c r="M41" s="2274"/>
      <c r="N41" s="2274"/>
      <c r="O41" s="2274"/>
      <c r="P41" s="2274"/>
      <c r="Q41" s="2274"/>
    </row>
    <row r="42" spans="2:17" s="751" customFormat="1">
      <c r="B42" s="2274"/>
      <c r="C42" s="2274"/>
      <c r="D42" s="2274"/>
      <c r="E42" s="2274"/>
      <c r="F42" s="2274"/>
      <c r="G42" s="2274"/>
      <c r="H42" s="2274"/>
      <c r="I42" s="2274"/>
      <c r="J42" s="2274"/>
      <c r="K42" s="2274"/>
      <c r="L42" s="2274"/>
      <c r="M42" s="2274"/>
      <c r="N42" s="2274"/>
      <c r="O42" s="2274"/>
      <c r="P42" s="2274"/>
      <c r="Q42" s="2274"/>
    </row>
    <row r="43" spans="2:17" s="751" customFormat="1">
      <c r="B43" s="2274"/>
      <c r="C43" s="2274"/>
      <c r="D43" s="2274"/>
      <c r="E43" s="2274"/>
      <c r="F43" s="2274"/>
      <c r="G43" s="2274"/>
      <c r="H43" s="2274"/>
      <c r="I43" s="2274"/>
      <c r="J43" s="2274"/>
      <c r="K43" s="2274"/>
      <c r="L43" s="2274"/>
      <c r="M43" s="2274"/>
      <c r="N43" s="2274"/>
      <c r="O43" s="2274"/>
      <c r="P43" s="2274"/>
      <c r="Q43" s="2274"/>
    </row>
    <row r="44" spans="2:17" s="751" customFormat="1">
      <c r="B44" s="2274"/>
      <c r="C44" s="2274"/>
      <c r="D44" s="2274"/>
      <c r="E44" s="2274"/>
      <c r="F44" s="2274"/>
      <c r="G44" s="2274"/>
      <c r="H44" s="2274"/>
      <c r="I44" s="2274"/>
      <c r="J44" s="2274"/>
      <c r="K44" s="2274"/>
      <c r="L44" s="2274"/>
      <c r="M44" s="2274"/>
      <c r="N44" s="2274"/>
      <c r="O44" s="2274"/>
      <c r="P44" s="2274"/>
      <c r="Q44" s="2274"/>
    </row>
    <row r="45" spans="2:17" s="751" customFormat="1">
      <c r="B45" s="2274"/>
      <c r="C45" s="2274"/>
      <c r="D45" s="2274"/>
      <c r="E45" s="2274"/>
      <c r="F45" s="2274"/>
      <c r="G45" s="2274"/>
      <c r="H45" s="2274"/>
      <c r="I45" s="2274"/>
      <c r="J45" s="2274"/>
      <c r="K45" s="2274"/>
      <c r="L45" s="2274"/>
      <c r="M45" s="2274"/>
      <c r="N45" s="2274"/>
      <c r="O45" s="2274"/>
      <c r="P45" s="2274"/>
      <c r="Q45" s="2274"/>
    </row>
    <row r="46" spans="2:17" s="751" customFormat="1">
      <c r="B46" s="2274"/>
      <c r="C46" s="2274"/>
      <c r="D46" s="2274"/>
      <c r="E46" s="2274"/>
      <c r="F46" s="2274"/>
      <c r="G46" s="2274"/>
      <c r="H46" s="2274"/>
      <c r="I46" s="2274"/>
      <c r="J46" s="2274"/>
      <c r="K46" s="2274"/>
      <c r="L46" s="2274"/>
      <c r="M46" s="2274"/>
      <c r="N46" s="2274"/>
      <c r="O46" s="2274"/>
      <c r="P46" s="2274"/>
      <c r="Q46" s="2274"/>
    </row>
    <row r="47" spans="2:17" s="751" customFormat="1">
      <c r="B47" s="2274"/>
      <c r="C47" s="2274"/>
      <c r="D47" s="2274"/>
      <c r="E47" s="2274"/>
      <c r="F47" s="2274"/>
      <c r="G47" s="2274"/>
      <c r="H47" s="2274"/>
      <c r="I47" s="2274"/>
      <c r="J47" s="2274"/>
      <c r="K47" s="2274"/>
      <c r="L47" s="2274"/>
      <c r="M47" s="2274"/>
      <c r="N47" s="2274"/>
      <c r="O47" s="2274"/>
      <c r="P47" s="2274"/>
      <c r="Q47" s="2274"/>
    </row>
    <row r="48" spans="2:17" s="751" customFormat="1">
      <c r="B48" s="2274"/>
      <c r="C48" s="2274"/>
      <c r="D48" s="2274"/>
      <c r="E48" s="2274"/>
      <c r="F48" s="2274"/>
      <c r="G48" s="2274"/>
      <c r="H48" s="2274"/>
      <c r="I48" s="2274"/>
      <c r="J48" s="2274"/>
      <c r="K48" s="2274"/>
      <c r="L48" s="2274"/>
      <c r="M48" s="2274"/>
      <c r="N48" s="2274"/>
      <c r="O48" s="2274"/>
      <c r="P48" s="2274"/>
      <c r="Q48" s="2274"/>
    </row>
    <row r="49" spans="2:17" s="751" customFormat="1">
      <c r="B49" s="2274"/>
      <c r="C49" s="2274"/>
      <c r="D49" s="2274"/>
      <c r="E49" s="2274"/>
      <c r="F49" s="2274"/>
      <c r="G49" s="2274"/>
      <c r="H49" s="2274"/>
      <c r="I49" s="2274"/>
      <c r="J49" s="2274"/>
      <c r="K49" s="2274"/>
      <c r="L49" s="2274"/>
      <c r="M49" s="2274"/>
      <c r="N49" s="2274"/>
      <c r="O49" s="2274"/>
      <c r="P49" s="2274"/>
      <c r="Q49" s="2274"/>
    </row>
    <row r="50" spans="2:17" s="751" customFormat="1">
      <c r="B50" s="2274"/>
      <c r="C50" s="2274"/>
      <c r="D50" s="2274"/>
      <c r="E50" s="2274"/>
      <c r="F50" s="2274"/>
      <c r="G50" s="2274"/>
      <c r="H50" s="2274"/>
      <c r="I50" s="2274"/>
      <c r="J50" s="2274"/>
      <c r="K50" s="2274"/>
      <c r="L50" s="2274"/>
      <c r="M50" s="2274"/>
      <c r="N50" s="2274"/>
      <c r="O50" s="2274"/>
      <c r="P50" s="2274"/>
      <c r="Q50" s="2274"/>
    </row>
    <row r="51" spans="2:17" s="751" customFormat="1">
      <c r="B51" s="2274"/>
      <c r="C51" s="2274"/>
      <c r="D51" s="2274"/>
      <c r="E51" s="2274"/>
      <c r="F51" s="2274"/>
      <c r="G51" s="2274"/>
      <c r="H51" s="2274"/>
      <c r="I51" s="2274"/>
      <c r="J51" s="2274"/>
      <c r="K51" s="2274"/>
      <c r="L51" s="2274"/>
      <c r="M51" s="2274"/>
      <c r="N51" s="2274"/>
      <c r="O51" s="2274"/>
      <c r="P51" s="2274"/>
      <c r="Q51" s="2274"/>
    </row>
    <row r="52" spans="2:17" s="751" customFormat="1">
      <c r="B52" s="2274"/>
      <c r="C52" s="2274"/>
      <c r="D52" s="2274"/>
      <c r="E52" s="2274"/>
      <c r="F52" s="2274"/>
      <c r="G52" s="2274"/>
      <c r="H52" s="2274"/>
      <c r="I52" s="2274"/>
      <c r="J52" s="2274"/>
      <c r="K52" s="2274"/>
      <c r="L52" s="2274"/>
      <c r="M52" s="2274"/>
      <c r="N52" s="2274"/>
      <c r="O52" s="2274"/>
      <c r="P52" s="2274"/>
      <c r="Q52" s="2274"/>
    </row>
    <row r="53" spans="2:17" s="751" customFormat="1">
      <c r="B53" s="2274"/>
      <c r="C53" s="2274"/>
      <c r="D53" s="2274"/>
      <c r="E53" s="2274"/>
      <c r="F53" s="2274"/>
      <c r="G53" s="2274"/>
      <c r="H53" s="2274"/>
      <c r="I53" s="2274"/>
      <c r="J53" s="2274"/>
      <c r="K53" s="2274"/>
      <c r="L53" s="2274"/>
      <c r="M53" s="2274"/>
      <c r="N53" s="2274"/>
      <c r="O53" s="2274"/>
      <c r="P53" s="2274"/>
      <c r="Q53" s="2274"/>
    </row>
    <row r="54" spans="2:17" s="751" customFormat="1">
      <c r="B54" s="2274"/>
      <c r="C54" s="2274"/>
      <c r="D54" s="2274"/>
      <c r="E54" s="2274"/>
      <c r="F54" s="2274"/>
      <c r="G54" s="2274"/>
      <c r="H54" s="2274"/>
      <c r="I54" s="2274"/>
      <c r="J54" s="2274"/>
      <c r="K54" s="2274"/>
      <c r="L54" s="2274"/>
      <c r="M54" s="2274"/>
      <c r="N54" s="2274"/>
      <c r="O54" s="2274"/>
      <c r="P54" s="2274"/>
      <c r="Q54" s="2274"/>
    </row>
    <row r="55" spans="2:17" s="751" customFormat="1">
      <c r="B55" s="2274"/>
      <c r="C55" s="2274"/>
      <c r="D55" s="2274"/>
      <c r="E55" s="2274"/>
      <c r="F55" s="2274"/>
      <c r="G55" s="2274"/>
      <c r="H55" s="2274"/>
      <c r="I55" s="2274"/>
      <c r="J55" s="2274"/>
      <c r="K55" s="2274"/>
      <c r="L55" s="2274"/>
      <c r="M55" s="2274"/>
      <c r="N55" s="2274"/>
      <c r="O55" s="2274"/>
      <c r="P55" s="2274"/>
      <c r="Q55" s="2274"/>
    </row>
    <row r="56" spans="2:17" s="751" customFormat="1">
      <c r="B56" s="2274"/>
      <c r="C56" s="2274"/>
      <c r="D56" s="2274"/>
      <c r="E56" s="2274"/>
      <c r="F56" s="2274"/>
      <c r="G56" s="2274"/>
      <c r="H56" s="2274"/>
      <c r="I56" s="2274"/>
      <c r="J56" s="2274"/>
      <c r="K56" s="2274"/>
      <c r="L56" s="2274"/>
      <c r="M56" s="2274"/>
      <c r="N56" s="2274"/>
      <c r="O56" s="2274"/>
      <c r="P56" s="2274"/>
      <c r="Q56" s="2274"/>
    </row>
    <row r="57" spans="2:17" s="751" customFormat="1">
      <c r="B57" s="2274"/>
      <c r="C57" s="2274"/>
      <c r="D57" s="2274"/>
      <c r="E57" s="2274"/>
      <c r="F57" s="2274"/>
      <c r="G57" s="2274"/>
      <c r="H57" s="2274"/>
      <c r="I57" s="2274"/>
      <c r="J57" s="2274"/>
      <c r="K57" s="2274"/>
      <c r="L57" s="2274"/>
      <c r="M57" s="2274"/>
      <c r="N57" s="2274"/>
      <c r="O57" s="2274"/>
      <c r="P57" s="2274"/>
      <c r="Q57" s="2274"/>
    </row>
    <row r="58" spans="2:17" s="751" customFormat="1">
      <c r="B58" s="2274"/>
      <c r="C58" s="2274"/>
      <c r="D58" s="2274"/>
      <c r="E58" s="2274"/>
      <c r="F58" s="2274"/>
      <c r="G58" s="2274"/>
      <c r="H58" s="2274"/>
      <c r="I58" s="2274"/>
      <c r="J58" s="2274"/>
      <c r="K58" s="2274"/>
      <c r="L58" s="2274"/>
      <c r="M58" s="2274"/>
      <c r="N58" s="2274"/>
      <c r="O58" s="2274"/>
      <c r="P58" s="2274"/>
      <c r="Q58" s="2274"/>
    </row>
    <row r="59" spans="2:17" s="751" customFormat="1">
      <c r="B59" s="2274"/>
      <c r="C59" s="2274"/>
      <c r="D59" s="2274"/>
      <c r="E59" s="2274"/>
      <c r="F59" s="2274"/>
      <c r="G59" s="2274"/>
      <c r="H59" s="2274"/>
      <c r="I59" s="2274"/>
      <c r="J59" s="2274"/>
      <c r="K59" s="2274"/>
      <c r="L59" s="2274"/>
      <c r="M59" s="2274"/>
      <c r="N59" s="2274"/>
      <c r="O59" s="2274"/>
      <c r="P59" s="2274"/>
      <c r="Q59" s="2274"/>
    </row>
    <row r="60" spans="2:17" s="751" customFormat="1">
      <c r="B60" s="2274"/>
      <c r="C60" s="2274"/>
      <c r="D60" s="2274"/>
      <c r="E60" s="2274"/>
      <c r="F60" s="2274"/>
      <c r="G60" s="2274"/>
      <c r="H60" s="2274"/>
      <c r="I60" s="2274"/>
      <c r="J60" s="2274"/>
      <c r="K60" s="2274"/>
      <c r="L60" s="2274"/>
      <c r="M60" s="2274"/>
      <c r="N60" s="2274"/>
      <c r="O60" s="2274"/>
      <c r="P60" s="2274"/>
      <c r="Q60" s="2274"/>
    </row>
    <row r="61" spans="2:17" s="751" customFormat="1">
      <c r="B61" s="2274"/>
      <c r="C61" s="2274"/>
      <c r="D61" s="2274"/>
      <c r="E61" s="2274"/>
      <c r="F61" s="2274"/>
      <c r="G61" s="2274"/>
      <c r="H61" s="2274"/>
      <c r="I61" s="2274"/>
      <c r="J61" s="2274"/>
      <c r="K61" s="2274"/>
      <c r="L61" s="2274"/>
      <c r="M61" s="2274"/>
      <c r="N61" s="2274"/>
      <c r="O61" s="2274"/>
      <c r="P61" s="2274"/>
      <c r="Q61" s="2274"/>
    </row>
    <row r="62" spans="2:17" s="751" customFormat="1">
      <c r="B62" s="2274"/>
      <c r="C62" s="2274"/>
      <c r="D62" s="2274"/>
      <c r="E62" s="2274"/>
      <c r="F62" s="2274"/>
      <c r="G62" s="2274"/>
      <c r="H62" s="2274"/>
      <c r="I62" s="2274"/>
      <c r="J62" s="2274"/>
      <c r="K62" s="2274"/>
      <c r="L62" s="2274"/>
      <c r="M62" s="2274"/>
      <c r="N62" s="2274"/>
      <c r="O62" s="2274"/>
      <c r="P62" s="2274"/>
      <c r="Q62" s="2274"/>
    </row>
    <row r="63" spans="2:17" s="751" customFormat="1">
      <c r="B63" s="2274"/>
      <c r="C63" s="2274"/>
      <c r="D63" s="2274"/>
      <c r="E63" s="2274"/>
      <c r="F63" s="2274"/>
      <c r="G63" s="2274"/>
      <c r="H63" s="2274"/>
      <c r="I63" s="2274"/>
      <c r="J63" s="2274"/>
      <c r="K63" s="2274"/>
      <c r="L63" s="2274"/>
      <c r="M63" s="2274"/>
      <c r="N63" s="2274"/>
      <c r="O63" s="2274"/>
      <c r="P63" s="2274"/>
      <c r="Q63" s="2274"/>
    </row>
    <row r="64" spans="2:17" s="751" customFormat="1">
      <c r="B64" s="2274"/>
      <c r="C64" s="2274"/>
      <c r="D64" s="2274"/>
      <c r="E64" s="2274"/>
      <c r="F64" s="2274"/>
      <c r="G64" s="2274"/>
      <c r="H64" s="2274"/>
      <c r="I64" s="2274"/>
      <c r="J64" s="2274"/>
      <c r="K64" s="2274"/>
      <c r="L64" s="2274"/>
      <c r="M64" s="2274"/>
      <c r="N64" s="2274"/>
      <c r="O64" s="2274"/>
      <c r="P64" s="2274"/>
      <c r="Q64" s="2274"/>
    </row>
    <row r="65" spans="2:17" s="751" customFormat="1">
      <c r="B65" s="2274"/>
      <c r="C65" s="2274"/>
      <c r="D65" s="2274"/>
      <c r="E65" s="2274"/>
      <c r="F65" s="2274"/>
      <c r="G65" s="2274"/>
      <c r="H65" s="2274"/>
      <c r="I65" s="2274"/>
      <c r="J65" s="2274"/>
      <c r="K65" s="2274"/>
      <c r="L65" s="2274"/>
      <c r="M65" s="2274"/>
      <c r="N65" s="2274"/>
      <c r="O65" s="2274"/>
      <c r="P65" s="2274"/>
      <c r="Q65" s="2274"/>
    </row>
    <row r="66" spans="2:17" s="751" customFormat="1">
      <c r="B66" s="2274"/>
      <c r="C66" s="2274"/>
      <c r="D66" s="2274"/>
      <c r="E66" s="2274"/>
      <c r="F66" s="2274"/>
      <c r="G66" s="2274"/>
      <c r="H66" s="2274"/>
      <c r="I66" s="2274"/>
      <c r="J66" s="2274"/>
      <c r="K66" s="2274"/>
      <c r="L66" s="2274"/>
      <c r="M66" s="2274"/>
      <c r="N66" s="2274"/>
      <c r="O66" s="2274"/>
      <c r="P66" s="2274"/>
      <c r="Q66" s="2274"/>
    </row>
    <row r="67" spans="2:17" s="751" customFormat="1">
      <c r="B67" s="2274"/>
      <c r="C67" s="2274"/>
      <c r="D67" s="2274"/>
      <c r="E67" s="2274"/>
      <c r="F67" s="2274"/>
      <c r="G67" s="2274"/>
      <c r="H67" s="2274"/>
      <c r="I67" s="2274"/>
      <c r="J67" s="2274"/>
      <c r="K67" s="2274"/>
      <c r="L67" s="2274"/>
      <c r="M67" s="2274"/>
      <c r="N67" s="2274"/>
      <c r="O67" s="2274"/>
      <c r="P67" s="2274"/>
      <c r="Q67" s="2274"/>
    </row>
    <row r="68" spans="2:17" s="751" customFormat="1">
      <c r="B68" s="2274"/>
      <c r="C68" s="2274"/>
      <c r="D68" s="2274"/>
      <c r="E68" s="2274"/>
      <c r="F68" s="2274"/>
      <c r="G68" s="2274"/>
      <c r="H68" s="2274"/>
      <c r="I68" s="2274"/>
      <c r="J68" s="2274"/>
      <c r="K68" s="2274"/>
      <c r="L68" s="2274"/>
      <c r="M68" s="2274"/>
      <c r="N68" s="2274"/>
      <c r="O68" s="2274"/>
      <c r="P68" s="2274"/>
      <c r="Q68" s="2274"/>
    </row>
    <row r="69" spans="2:17" s="751" customFormat="1">
      <c r="B69" s="2274"/>
      <c r="C69" s="2274"/>
      <c r="D69" s="2274"/>
      <c r="E69" s="2274"/>
      <c r="F69" s="2274"/>
      <c r="G69" s="2274"/>
      <c r="H69" s="2274"/>
      <c r="I69" s="2274"/>
      <c r="J69" s="2274"/>
      <c r="K69" s="2274"/>
      <c r="L69" s="2274"/>
      <c r="M69" s="2274"/>
      <c r="N69" s="2274"/>
      <c r="O69" s="2274"/>
      <c r="P69" s="2274"/>
      <c r="Q69" s="2274"/>
    </row>
    <row r="70" spans="2:17" s="751" customFormat="1">
      <c r="B70" s="2274"/>
      <c r="C70" s="2274"/>
      <c r="D70" s="2274"/>
      <c r="E70" s="2274"/>
      <c r="F70" s="2274"/>
      <c r="G70" s="2274"/>
      <c r="H70" s="2274"/>
      <c r="I70" s="2274"/>
      <c r="J70" s="2274"/>
      <c r="K70" s="2274"/>
      <c r="L70" s="2274"/>
      <c r="M70" s="2274"/>
      <c r="N70" s="2274"/>
      <c r="O70" s="2274"/>
      <c r="P70" s="2274"/>
      <c r="Q70" s="2274"/>
    </row>
    <row r="71" spans="2:17" s="751" customFormat="1">
      <c r="B71" s="2274"/>
      <c r="C71" s="2274"/>
      <c r="D71" s="2274"/>
      <c r="E71" s="2274"/>
      <c r="F71" s="2274"/>
      <c r="G71" s="2274"/>
      <c r="H71" s="2274"/>
      <c r="I71" s="2274"/>
      <c r="J71" s="2274"/>
      <c r="K71" s="2274"/>
      <c r="L71" s="2274"/>
      <c r="M71" s="2274"/>
      <c r="N71" s="2274"/>
      <c r="O71" s="2274"/>
      <c r="P71" s="2274"/>
      <c r="Q71" s="2274"/>
    </row>
    <row r="72" spans="2:17" s="751" customFormat="1">
      <c r="B72" s="2274"/>
      <c r="C72" s="2274"/>
      <c r="D72" s="2274"/>
      <c r="E72" s="2274"/>
      <c r="F72" s="2274"/>
      <c r="G72" s="2274"/>
      <c r="H72" s="2274"/>
      <c r="I72" s="2274"/>
      <c r="J72" s="2274"/>
      <c r="K72" s="2274"/>
      <c r="L72" s="2274"/>
      <c r="M72" s="2274"/>
      <c r="N72" s="2274"/>
      <c r="O72" s="2274"/>
      <c r="P72" s="2274"/>
      <c r="Q72" s="2274"/>
    </row>
    <row r="73" spans="2:17" s="751" customFormat="1">
      <c r="B73" s="2274"/>
      <c r="C73" s="2274"/>
      <c r="D73" s="2274"/>
      <c r="E73" s="2274"/>
      <c r="F73" s="2274"/>
      <c r="G73" s="2274"/>
      <c r="H73" s="2274"/>
      <c r="I73" s="2274"/>
      <c r="J73" s="2274"/>
      <c r="K73" s="2274"/>
      <c r="L73" s="2274"/>
      <c r="M73" s="2274"/>
      <c r="N73" s="2274"/>
      <c r="O73" s="2274"/>
      <c r="P73" s="2274"/>
      <c r="Q73" s="2274"/>
    </row>
    <row r="74" spans="2:17" s="751" customFormat="1">
      <c r="B74" s="2274"/>
      <c r="C74" s="2274"/>
      <c r="D74" s="2274"/>
      <c r="E74" s="2274"/>
      <c r="F74" s="2274"/>
      <c r="G74" s="2274"/>
      <c r="H74" s="2274"/>
      <c r="I74" s="2274"/>
      <c r="J74" s="2274"/>
      <c r="K74" s="2274"/>
      <c r="L74" s="2274"/>
      <c r="M74" s="2274"/>
      <c r="N74" s="2274"/>
      <c r="O74" s="2274"/>
      <c r="P74" s="2274"/>
      <c r="Q74" s="2274"/>
    </row>
    <row r="75" spans="2:17" s="751" customFormat="1">
      <c r="B75" s="2274"/>
      <c r="C75" s="2274"/>
      <c r="D75" s="2274"/>
      <c r="E75" s="2274"/>
      <c r="F75" s="2274"/>
      <c r="G75" s="2274"/>
      <c r="H75" s="2274"/>
      <c r="I75" s="2274"/>
      <c r="J75" s="2274"/>
      <c r="K75" s="2274"/>
      <c r="L75" s="2274"/>
      <c r="M75" s="2274"/>
      <c r="N75" s="2274"/>
      <c r="O75" s="2274"/>
      <c r="P75" s="2274"/>
      <c r="Q75" s="2274"/>
    </row>
    <row r="76" spans="2:17" s="751" customFormat="1">
      <c r="B76" s="2274"/>
      <c r="C76" s="2274"/>
      <c r="D76" s="2274"/>
      <c r="E76" s="2274"/>
      <c r="F76" s="2274"/>
      <c r="G76" s="2274"/>
      <c r="H76" s="2274"/>
      <c r="I76" s="2274"/>
      <c r="J76" s="2274"/>
      <c r="K76" s="2274"/>
      <c r="L76" s="2274"/>
      <c r="M76" s="2274"/>
      <c r="N76" s="2274"/>
      <c r="O76" s="2274"/>
      <c r="P76" s="2274"/>
      <c r="Q76" s="2274"/>
    </row>
    <row r="77" spans="2:17" s="751" customFormat="1">
      <c r="B77" s="2274"/>
      <c r="C77" s="2274"/>
      <c r="D77" s="2274"/>
      <c r="E77" s="2274"/>
      <c r="F77" s="2274"/>
      <c r="G77" s="2274"/>
      <c r="H77" s="2274"/>
      <c r="I77" s="2274"/>
      <c r="J77" s="2274"/>
      <c r="K77" s="2274"/>
      <c r="L77" s="2274"/>
      <c r="M77" s="2274"/>
      <c r="N77" s="2274"/>
      <c r="O77" s="2274"/>
      <c r="P77" s="2274"/>
      <c r="Q77" s="2274"/>
    </row>
    <row r="78" spans="2:17" s="751" customFormat="1">
      <c r="B78" s="2274"/>
      <c r="C78" s="2274"/>
      <c r="D78" s="2274"/>
      <c r="E78" s="2274"/>
      <c r="F78" s="2274"/>
      <c r="G78" s="2274"/>
      <c r="H78" s="2274"/>
      <c r="I78" s="2274"/>
      <c r="J78" s="2274"/>
      <c r="K78" s="2274"/>
      <c r="L78" s="2274"/>
      <c r="M78" s="2274"/>
      <c r="N78" s="2274"/>
      <c r="O78" s="2274"/>
      <c r="P78" s="2274"/>
      <c r="Q78" s="2274"/>
    </row>
    <row r="79" spans="2:17" s="751" customFormat="1">
      <c r="B79" s="2274"/>
      <c r="C79" s="2274"/>
      <c r="D79" s="2274"/>
      <c r="E79" s="2274"/>
      <c r="F79" s="2274"/>
      <c r="G79" s="2274"/>
      <c r="H79" s="2274"/>
      <c r="I79" s="2274"/>
      <c r="J79" s="2274"/>
      <c r="K79" s="2274"/>
      <c r="L79" s="2274"/>
      <c r="M79" s="2274"/>
      <c r="N79" s="2274"/>
      <c r="O79" s="2274"/>
      <c r="P79" s="2274"/>
      <c r="Q79" s="2274"/>
    </row>
    <row r="80" spans="2:17" s="751" customFormat="1">
      <c r="B80" s="2274"/>
      <c r="C80" s="2274"/>
      <c r="D80" s="2274"/>
      <c r="E80" s="2274"/>
      <c r="F80" s="2274"/>
      <c r="G80" s="2274"/>
      <c r="H80" s="2274"/>
      <c r="I80" s="2274"/>
      <c r="J80" s="2274"/>
      <c r="K80" s="2274"/>
      <c r="L80" s="2274"/>
      <c r="M80" s="2274"/>
      <c r="N80" s="2274"/>
      <c r="O80" s="2274"/>
      <c r="P80" s="2274"/>
      <c r="Q80" s="2274"/>
    </row>
    <row r="81" spans="2:17" s="751" customFormat="1">
      <c r="B81" s="2274"/>
      <c r="C81" s="2274"/>
      <c r="D81" s="2274"/>
      <c r="E81" s="2274"/>
      <c r="F81" s="2274"/>
      <c r="G81" s="2274"/>
      <c r="H81" s="2274"/>
      <c r="I81" s="2274"/>
      <c r="J81" s="2274"/>
      <c r="K81" s="2274"/>
      <c r="L81" s="2274"/>
      <c r="M81" s="2274"/>
      <c r="N81" s="2274"/>
      <c r="O81" s="2274"/>
      <c r="P81" s="2274"/>
      <c r="Q81" s="2274"/>
    </row>
    <row r="82" spans="2:17" s="751" customFormat="1">
      <c r="B82" s="2274"/>
      <c r="C82" s="2274"/>
      <c r="D82" s="2274"/>
      <c r="E82" s="2274"/>
      <c r="F82" s="2274"/>
      <c r="G82" s="2274"/>
      <c r="H82" s="2274"/>
      <c r="I82" s="2274"/>
      <c r="J82" s="2274"/>
      <c r="K82" s="2274"/>
      <c r="L82" s="2274"/>
      <c r="M82" s="2274"/>
      <c r="N82" s="2274"/>
      <c r="O82" s="2274"/>
      <c r="P82" s="2274"/>
      <c r="Q82" s="2274"/>
    </row>
    <row r="83" spans="2:17" s="751" customFormat="1">
      <c r="B83" s="2274"/>
      <c r="C83" s="2274"/>
      <c r="D83" s="2274"/>
      <c r="E83" s="2274"/>
      <c r="F83" s="2274"/>
      <c r="G83" s="2274"/>
      <c r="H83" s="2274"/>
      <c r="I83" s="2274"/>
      <c r="J83" s="2274"/>
      <c r="K83" s="2274"/>
      <c r="L83" s="2274"/>
      <c r="M83" s="2274"/>
      <c r="N83" s="2274"/>
      <c r="O83" s="2274"/>
      <c r="P83" s="2274"/>
      <c r="Q83" s="2274"/>
    </row>
    <row r="84" spans="2:17" s="751" customFormat="1">
      <c r="B84" s="2274"/>
      <c r="C84" s="2274"/>
      <c r="D84" s="2274"/>
      <c r="E84" s="2274"/>
      <c r="F84" s="2274"/>
      <c r="G84" s="2274"/>
      <c r="H84" s="2274"/>
      <c r="I84" s="2274"/>
      <c r="J84" s="2274"/>
      <c r="K84" s="2274"/>
      <c r="L84" s="2274"/>
      <c r="M84" s="2274"/>
      <c r="N84" s="2274"/>
      <c r="O84" s="2274"/>
      <c r="P84" s="2274"/>
      <c r="Q84" s="2274"/>
    </row>
    <row r="85" spans="2:17" s="751" customFormat="1">
      <c r="B85" s="2274"/>
      <c r="C85" s="2274"/>
      <c r="D85" s="2274"/>
      <c r="E85" s="2274"/>
      <c r="F85" s="2274"/>
      <c r="G85" s="2274"/>
      <c r="H85" s="2274"/>
      <c r="I85" s="2274"/>
      <c r="J85" s="2274"/>
      <c r="K85" s="2274"/>
      <c r="L85" s="2274"/>
      <c r="M85" s="2274"/>
      <c r="N85" s="2274"/>
      <c r="O85" s="2274"/>
      <c r="P85" s="2274"/>
      <c r="Q85" s="2274"/>
    </row>
    <row r="86" spans="2:17" s="751" customFormat="1">
      <c r="B86" s="2274"/>
      <c r="C86" s="2274"/>
      <c r="D86" s="2274"/>
      <c r="E86" s="2274"/>
      <c r="F86" s="2274"/>
      <c r="G86" s="2274"/>
      <c r="H86" s="2274"/>
      <c r="I86" s="2274"/>
      <c r="J86" s="2274"/>
      <c r="K86" s="2274"/>
      <c r="L86" s="2274"/>
      <c r="M86" s="2274"/>
      <c r="N86" s="2274"/>
      <c r="O86" s="2274"/>
      <c r="P86" s="2274"/>
      <c r="Q86" s="2274"/>
    </row>
    <row r="87" spans="2:17" s="751" customFormat="1">
      <c r="B87" s="2274"/>
      <c r="C87" s="2274"/>
      <c r="D87" s="2274"/>
      <c r="E87" s="2274"/>
      <c r="F87" s="2274"/>
      <c r="G87" s="2274"/>
      <c r="H87" s="2274"/>
      <c r="I87" s="2274"/>
      <c r="J87" s="2274"/>
      <c r="K87" s="2274"/>
      <c r="L87" s="2274"/>
      <c r="M87" s="2274"/>
      <c r="N87" s="2274"/>
      <c r="O87" s="2274"/>
      <c r="P87" s="2274"/>
      <c r="Q87" s="2274"/>
    </row>
    <row r="88" spans="2:17" s="751" customFormat="1">
      <c r="B88" s="2274"/>
      <c r="C88" s="2274"/>
      <c r="D88" s="2274"/>
      <c r="E88" s="2274"/>
      <c r="F88" s="2274"/>
      <c r="G88" s="2274"/>
      <c r="H88" s="2274"/>
      <c r="I88" s="2274"/>
      <c r="J88" s="2274"/>
      <c r="K88" s="2274"/>
      <c r="L88" s="2274"/>
      <c r="M88" s="2274"/>
      <c r="N88" s="2274"/>
      <c r="O88" s="2274"/>
      <c r="P88" s="2274"/>
      <c r="Q88" s="2274"/>
    </row>
    <row r="89" spans="2:17" s="751" customFormat="1">
      <c r="B89" s="2274"/>
      <c r="C89" s="2274"/>
      <c r="D89" s="2274"/>
      <c r="E89" s="2274"/>
      <c r="F89" s="2274"/>
      <c r="G89" s="2274"/>
      <c r="H89" s="2274"/>
      <c r="I89" s="2274"/>
      <c r="J89" s="2274"/>
      <c r="K89" s="2274"/>
      <c r="L89" s="2274"/>
      <c r="M89" s="2274"/>
      <c r="N89" s="2274"/>
      <c r="O89" s="2274"/>
      <c r="P89" s="2274"/>
      <c r="Q89" s="2274"/>
    </row>
    <row r="90" spans="2:17" s="751" customFormat="1">
      <c r="B90" s="2274"/>
      <c r="C90" s="2274"/>
      <c r="D90" s="2274"/>
      <c r="E90" s="2274"/>
      <c r="F90" s="2274"/>
      <c r="G90" s="2274"/>
      <c r="H90" s="2274"/>
      <c r="I90" s="2274"/>
      <c r="J90" s="2274"/>
      <c r="K90" s="2274"/>
      <c r="L90" s="2274"/>
      <c r="M90" s="2274"/>
      <c r="N90" s="2274"/>
      <c r="O90" s="2274"/>
      <c r="P90" s="2274"/>
      <c r="Q90" s="2274"/>
    </row>
    <row r="91" spans="2:17" s="751" customFormat="1">
      <c r="B91" s="2274"/>
      <c r="C91" s="2274"/>
      <c r="D91" s="2274"/>
      <c r="E91" s="2274"/>
      <c r="F91" s="2274"/>
      <c r="G91" s="2274"/>
      <c r="H91" s="2274"/>
      <c r="I91" s="2274"/>
      <c r="J91" s="2274"/>
      <c r="K91" s="2274"/>
      <c r="L91" s="2274"/>
      <c r="M91" s="2274"/>
      <c r="N91" s="2274"/>
      <c r="O91" s="2274"/>
      <c r="P91" s="2274"/>
      <c r="Q91" s="2274"/>
    </row>
    <row r="92" spans="2:17" s="751" customFormat="1">
      <c r="B92" s="2274"/>
      <c r="C92" s="2274"/>
      <c r="D92" s="2274"/>
      <c r="E92" s="2274"/>
      <c r="F92" s="2274"/>
      <c r="G92" s="2274"/>
      <c r="H92" s="2274"/>
      <c r="I92" s="2274"/>
      <c r="J92" s="2274"/>
      <c r="K92" s="2274"/>
      <c r="L92" s="2274"/>
      <c r="M92" s="2274"/>
      <c r="N92" s="2274"/>
      <c r="O92" s="2274"/>
      <c r="P92" s="2274"/>
      <c r="Q92" s="2274"/>
    </row>
    <row r="93" spans="2:17" s="751" customFormat="1">
      <c r="B93" s="2274"/>
      <c r="C93" s="2274"/>
      <c r="D93" s="2274"/>
      <c r="E93" s="2274"/>
      <c r="F93" s="2274"/>
      <c r="G93" s="2274"/>
      <c r="H93" s="2274"/>
      <c r="I93" s="2274"/>
      <c r="J93" s="2274"/>
      <c r="K93" s="2274"/>
      <c r="L93" s="2274"/>
      <c r="M93" s="2274"/>
      <c r="N93" s="2274"/>
      <c r="O93" s="2274"/>
      <c r="P93" s="2274"/>
      <c r="Q93" s="2274"/>
    </row>
    <row r="94" spans="2:17" s="751" customFormat="1">
      <c r="B94" s="2274"/>
      <c r="C94" s="2274"/>
      <c r="D94" s="2274"/>
      <c r="E94" s="2274"/>
      <c r="F94" s="2274"/>
      <c r="G94" s="2274"/>
      <c r="H94" s="2274"/>
      <c r="I94" s="2274"/>
      <c r="J94" s="2274"/>
      <c r="K94" s="2274"/>
      <c r="L94" s="2274"/>
      <c r="M94" s="2274"/>
      <c r="N94" s="2274"/>
      <c r="O94" s="2274"/>
      <c r="P94" s="2274"/>
      <c r="Q94" s="2274"/>
    </row>
    <row r="95" spans="2:17" s="751" customFormat="1">
      <c r="B95" s="2274"/>
      <c r="C95" s="2274"/>
      <c r="D95" s="2274"/>
      <c r="E95" s="2274"/>
      <c r="F95" s="2274"/>
      <c r="G95" s="2274"/>
      <c r="H95" s="2274"/>
      <c r="I95" s="2274"/>
      <c r="J95" s="2274"/>
      <c r="K95" s="2274"/>
      <c r="L95" s="2274"/>
      <c r="M95" s="2274"/>
      <c r="N95" s="2274"/>
      <c r="O95" s="2274"/>
      <c r="P95" s="2274"/>
      <c r="Q95" s="2274"/>
    </row>
    <row r="96" spans="2:17" s="751" customFormat="1">
      <c r="B96" s="2274"/>
      <c r="C96" s="2274"/>
      <c r="D96" s="2274"/>
      <c r="E96" s="2274"/>
      <c r="F96" s="2274"/>
      <c r="G96" s="2274"/>
      <c r="H96" s="2274"/>
      <c r="I96" s="2274"/>
      <c r="J96" s="2274"/>
      <c r="K96" s="2274"/>
      <c r="L96" s="2274"/>
      <c r="M96" s="2274"/>
      <c r="N96" s="2274"/>
      <c r="O96" s="2274"/>
      <c r="P96" s="2274"/>
      <c r="Q96" s="2274"/>
    </row>
    <row r="97" spans="2:17" s="751" customFormat="1">
      <c r="B97" s="2274"/>
      <c r="C97" s="2274"/>
      <c r="D97" s="2274"/>
      <c r="E97" s="2274"/>
      <c r="F97" s="2274"/>
      <c r="G97" s="2274"/>
      <c r="H97" s="2274"/>
      <c r="I97" s="2274"/>
      <c r="J97" s="2274"/>
      <c r="K97" s="2274"/>
      <c r="L97" s="2274"/>
      <c r="M97" s="2274"/>
      <c r="N97" s="2274"/>
      <c r="O97" s="2274"/>
      <c r="P97" s="2274"/>
      <c r="Q97" s="2274"/>
    </row>
    <row r="98" spans="2:17" s="751" customFormat="1">
      <c r="B98" s="2274"/>
      <c r="C98" s="2274"/>
      <c r="D98" s="2274"/>
      <c r="E98" s="2274"/>
      <c r="F98" s="2274"/>
      <c r="G98" s="2274"/>
      <c r="H98" s="2274"/>
      <c r="I98" s="2274"/>
      <c r="J98" s="2274"/>
      <c r="K98" s="2274"/>
      <c r="L98" s="2274"/>
      <c r="M98" s="2274"/>
      <c r="N98" s="2274"/>
      <c r="O98" s="2274"/>
      <c r="P98" s="2274"/>
      <c r="Q98" s="2274"/>
    </row>
    <row r="99" spans="2:17" s="751" customFormat="1">
      <c r="B99" s="2274"/>
      <c r="C99" s="2274"/>
      <c r="D99" s="2274"/>
      <c r="E99" s="2274"/>
      <c r="F99" s="2274"/>
      <c r="G99" s="2274"/>
      <c r="H99" s="2274"/>
      <c r="I99" s="2274"/>
      <c r="J99" s="2274"/>
      <c r="K99" s="2274"/>
      <c r="L99" s="2274"/>
      <c r="M99" s="2274"/>
      <c r="N99" s="2274"/>
      <c r="O99" s="2274"/>
      <c r="P99" s="2274"/>
      <c r="Q99" s="2274"/>
    </row>
    <row r="100" spans="2:17" s="751" customFormat="1">
      <c r="B100" s="2274"/>
      <c r="C100" s="2274"/>
      <c r="D100" s="2274"/>
      <c r="E100" s="2274"/>
      <c r="F100" s="2274"/>
      <c r="G100" s="2274"/>
      <c r="H100" s="2274"/>
      <c r="I100" s="2274"/>
      <c r="J100" s="2274"/>
      <c r="K100" s="2274"/>
      <c r="L100" s="2274"/>
      <c r="M100" s="2274"/>
      <c r="N100" s="2274"/>
      <c r="O100" s="2274"/>
      <c r="P100" s="2274"/>
      <c r="Q100" s="2274"/>
    </row>
    <row r="101" spans="2:17" s="751" customFormat="1">
      <c r="B101" s="2274"/>
      <c r="C101" s="2274"/>
      <c r="D101" s="2274"/>
      <c r="E101" s="2274"/>
      <c r="F101" s="2274"/>
      <c r="G101" s="2274"/>
      <c r="H101" s="2274"/>
      <c r="I101" s="2274"/>
      <c r="J101" s="2274"/>
      <c r="K101" s="2274"/>
      <c r="L101" s="2274"/>
      <c r="M101" s="2274"/>
      <c r="N101" s="2274"/>
      <c r="O101" s="2274"/>
      <c r="P101" s="2274"/>
      <c r="Q101" s="2274"/>
    </row>
    <row r="102" spans="2:17" s="751" customFormat="1">
      <c r="B102" s="2274"/>
      <c r="C102" s="2274"/>
      <c r="D102" s="2274"/>
      <c r="E102" s="2274"/>
      <c r="F102" s="2274"/>
      <c r="G102" s="2274"/>
      <c r="H102" s="2274"/>
      <c r="I102" s="2274"/>
      <c r="J102" s="2274"/>
      <c r="K102" s="2274"/>
      <c r="L102" s="2274"/>
      <c r="M102" s="2274"/>
      <c r="N102" s="2274"/>
      <c r="O102" s="2274"/>
      <c r="P102" s="2274"/>
      <c r="Q102" s="2274"/>
    </row>
    <row r="103" spans="2:17" s="751" customFormat="1">
      <c r="B103" s="2274"/>
      <c r="C103" s="2274"/>
      <c r="D103" s="2274"/>
      <c r="E103" s="2274"/>
      <c r="F103" s="2274"/>
      <c r="G103" s="2274"/>
      <c r="H103" s="2274"/>
      <c r="I103" s="2274"/>
      <c r="J103" s="2274"/>
      <c r="K103" s="2274"/>
      <c r="L103" s="2274"/>
      <c r="M103" s="2274"/>
      <c r="N103" s="2274"/>
      <c r="O103" s="2274"/>
      <c r="P103" s="2274"/>
      <c r="Q103" s="2274"/>
    </row>
    <row r="104" spans="2:17" s="751" customFormat="1">
      <c r="B104" s="2274"/>
      <c r="C104" s="2274"/>
      <c r="D104" s="2274"/>
      <c r="E104" s="2274"/>
      <c r="F104" s="2274"/>
      <c r="G104" s="2274"/>
      <c r="H104" s="2274"/>
      <c r="I104" s="2274"/>
      <c r="J104" s="2274"/>
      <c r="K104" s="2274"/>
      <c r="L104" s="2274"/>
      <c r="M104" s="2274"/>
      <c r="N104" s="2274"/>
      <c r="O104" s="2274"/>
      <c r="P104" s="2274"/>
      <c r="Q104" s="2274"/>
    </row>
    <row r="105" spans="2:17" s="751" customFormat="1">
      <c r="B105" s="2274"/>
      <c r="C105" s="2274"/>
      <c r="D105" s="2274"/>
      <c r="E105" s="2274"/>
      <c r="F105" s="2274"/>
      <c r="G105" s="2274"/>
      <c r="H105" s="2274"/>
      <c r="I105" s="2274"/>
      <c r="J105" s="2274"/>
      <c r="K105" s="2274"/>
      <c r="L105" s="2274"/>
      <c r="M105" s="2274"/>
      <c r="N105" s="2274"/>
      <c r="O105" s="2274"/>
      <c r="P105" s="2274"/>
      <c r="Q105" s="2274"/>
    </row>
    <row r="106" spans="2:17" s="751" customFormat="1">
      <c r="B106" s="2274"/>
      <c r="C106" s="2274"/>
      <c r="D106" s="2274"/>
      <c r="E106" s="2274"/>
      <c r="F106" s="2274"/>
      <c r="G106" s="2274"/>
      <c r="H106" s="2274"/>
      <c r="I106" s="2274"/>
      <c r="J106" s="2274"/>
      <c r="K106" s="2274"/>
      <c r="L106" s="2274"/>
      <c r="M106" s="2274"/>
      <c r="N106" s="2274"/>
      <c r="O106" s="2274"/>
      <c r="P106" s="2274"/>
      <c r="Q106" s="2274"/>
    </row>
    <row r="107" spans="2:17" s="751" customFormat="1">
      <c r="B107" s="2274"/>
      <c r="C107" s="2274"/>
      <c r="D107" s="2274"/>
      <c r="E107" s="2274"/>
      <c r="F107" s="2274"/>
      <c r="G107" s="2274"/>
      <c r="H107" s="2274"/>
      <c r="I107" s="2274"/>
      <c r="J107" s="2274"/>
      <c r="K107" s="2274"/>
      <c r="L107" s="2274"/>
      <c r="M107" s="2274"/>
      <c r="N107" s="2274"/>
      <c r="O107" s="2274"/>
      <c r="P107" s="2274"/>
      <c r="Q107" s="2274"/>
    </row>
    <row r="108" spans="2:17" s="751" customFormat="1">
      <c r="B108" s="2274"/>
      <c r="C108" s="2274"/>
      <c r="D108" s="2274"/>
      <c r="E108" s="2274"/>
      <c r="F108" s="2274"/>
      <c r="G108" s="2274"/>
      <c r="H108" s="2274"/>
      <c r="I108" s="2274"/>
      <c r="J108" s="2274"/>
      <c r="K108" s="2274"/>
      <c r="L108" s="2274"/>
      <c r="M108" s="2274"/>
      <c r="N108" s="2274"/>
      <c r="O108" s="2274"/>
      <c r="P108" s="2274"/>
      <c r="Q108" s="2274"/>
    </row>
    <row r="109" spans="2:17" s="751" customFormat="1">
      <c r="B109" s="2274"/>
      <c r="C109" s="2274"/>
      <c r="D109" s="2274"/>
      <c r="E109" s="2274"/>
      <c r="F109" s="2274"/>
      <c r="G109" s="2274"/>
      <c r="H109" s="2274"/>
      <c r="I109" s="2274"/>
      <c r="J109" s="2274"/>
      <c r="K109" s="2274"/>
      <c r="L109" s="2274"/>
      <c r="M109" s="2274"/>
      <c r="N109" s="2274"/>
      <c r="O109" s="2274"/>
      <c r="P109" s="2274"/>
      <c r="Q109" s="2274"/>
    </row>
    <row r="110" spans="2:17" s="751" customFormat="1">
      <c r="B110" s="2274"/>
      <c r="C110" s="2274"/>
      <c r="D110" s="2274"/>
      <c r="E110" s="2274"/>
      <c r="F110" s="2274"/>
      <c r="G110" s="2274"/>
      <c r="H110" s="2274"/>
      <c r="I110" s="2274"/>
      <c r="J110" s="2274"/>
      <c r="K110" s="2274"/>
      <c r="L110" s="2274"/>
      <c r="M110" s="2274"/>
      <c r="N110" s="2274"/>
      <c r="O110" s="2274"/>
      <c r="P110" s="2274"/>
      <c r="Q110" s="2274"/>
    </row>
    <row r="111" spans="2:17" s="751" customFormat="1">
      <c r="B111" s="2274"/>
      <c r="C111" s="2274"/>
      <c r="D111" s="2274"/>
      <c r="E111" s="2274"/>
      <c r="F111" s="2274"/>
      <c r="G111" s="2274"/>
      <c r="H111" s="2274"/>
      <c r="I111" s="2274"/>
      <c r="J111" s="2274"/>
      <c r="K111" s="2274"/>
      <c r="L111" s="2274"/>
      <c r="M111" s="2274"/>
      <c r="N111" s="2274"/>
      <c r="O111" s="2274"/>
      <c r="P111" s="2274"/>
      <c r="Q111" s="2274"/>
    </row>
    <row r="112" spans="2:17" s="751" customFormat="1">
      <c r="B112" s="2274"/>
      <c r="C112" s="2274"/>
      <c r="D112" s="2274"/>
      <c r="E112" s="2274"/>
      <c r="F112" s="2274"/>
      <c r="G112" s="2274"/>
      <c r="H112" s="2274"/>
      <c r="I112" s="2274"/>
      <c r="J112" s="2274"/>
      <c r="K112" s="2274"/>
      <c r="L112" s="2274"/>
      <c r="M112" s="2274"/>
      <c r="N112" s="2274"/>
      <c r="O112" s="2274"/>
      <c r="P112" s="2274"/>
      <c r="Q112" s="2274"/>
    </row>
    <row r="113" spans="2:17" s="751" customFormat="1">
      <c r="B113" s="2274"/>
      <c r="C113" s="2274"/>
      <c r="D113" s="2274"/>
      <c r="E113" s="2274"/>
      <c r="F113" s="2274"/>
      <c r="G113" s="2274"/>
      <c r="H113" s="2274"/>
      <c r="I113" s="2274"/>
      <c r="J113" s="2274"/>
      <c r="K113" s="2274"/>
      <c r="L113" s="2274"/>
      <c r="M113" s="2274"/>
      <c r="N113" s="2274"/>
      <c r="O113" s="2274"/>
      <c r="P113" s="2274"/>
      <c r="Q113" s="2274"/>
    </row>
    <row r="114" spans="2:17" s="751" customFormat="1">
      <c r="B114" s="2274"/>
      <c r="C114" s="2274"/>
      <c r="D114" s="2274"/>
      <c r="E114" s="2274"/>
      <c r="F114" s="2274"/>
      <c r="G114" s="2274"/>
      <c r="H114" s="2274"/>
      <c r="I114" s="2274"/>
      <c r="J114" s="2274"/>
      <c r="K114" s="2274"/>
      <c r="L114" s="2274"/>
      <c r="M114" s="2274"/>
      <c r="N114" s="2274"/>
      <c r="O114" s="2274"/>
      <c r="P114" s="2274"/>
      <c r="Q114" s="2274"/>
    </row>
    <row r="115" spans="2:17" s="751" customFormat="1">
      <c r="B115" s="2274"/>
      <c r="C115" s="2274"/>
      <c r="D115" s="2274"/>
      <c r="E115" s="2274"/>
      <c r="F115" s="2274"/>
      <c r="G115" s="2274"/>
      <c r="H115" s="2274"/>
      <c r="I115" s="2274"/>
      <c r="J115" s="2274"/>
      <c r="K115" s="2274"/>
      <c r="L115" s="2274"/>
      <c r="M115" s="2274"/>
      <c r="N115" s="2274"/>
      <c r="O115" s="2274"/>
      <c r="P115" s="2274"/>
      <c r="Q115" s="2274"/>
    </row>
    <row r="116" spans="2:17" s="751" customFormat="1">
      <c r="B116" s="2274"/>
      <c r="C116" s="2274"/>
      <c r="D116" s="2274"/>
      <c r="E116" s="2274"/>
      <c r="F116" s="2274"/>
      <c r="G116" s="2274"/>
      <c r="H116" s="2274"/>
      <c r="I116" s="2274"/>
      <c r="J116" s="2274"/>
      <c r="K116" s="2274"/>
      <c r="L116" s="2274"/>
      <c r="M116" s="2274"/>
      <c r="N116" s="2274"/>
      <c r="O116" s="2274"/>
      <c r="P116" s="2274"/>
      <c r="Q116" s="2274"/>
    </row>
    <row r="117" spans="2:17" s="751" customFormat="1">
      <c r="B117" s="2274"/>
      <c r="C117" s="2274"/>
      <c r="D117" s="2274"/>
      <c r="E117" s="2274"/>
      <c r="F117" s="2274"/>
      <c r="G117" s="2274"/>
      <c r="H117" s="2274"/>
      <c r="I117" s="2274"/>
      <c r="J117" s="2274"/>
      <c r="K117" s="2274"/>
      <c r="L117" s="2274"/>
      <c r="M117" s="2274"/>
      <c r="N117" s="2274"/>
      <c r="O117" s="2274"/>
      <c r="P117" s="2274"/>
      <c r="Q117" s="2274"/>
    </row>
    <row r="118" spans="2:17" s="751" customFormat="1">
      <c r="B118" s="2274"/>
      <c r="C118" s="2274"/>
      <c r="D118" s="2274"/>
      <c r="E118" s="2274"/>
      <c r="F118" s="2274"/>
      <c r="G118" s="2274"/>
      <c r="H118" s="2274"/>
      <c r="I118" s="2274"/>
      <c r="J118" s="2274"/>
      <c r="K118" s="2274"/>
      <c r="L118" s="2274"/>
      <c r="M118" s="2274"/>
      <c r="N118" s="2274"/>
      <c r="O118" s="2274"/>
      <c r="P118" s="2274"/>
      <c r="Q118" s="2274"/>
    </row>
    <row r="119" spans="2:17" s="751" customFormat="1">
      <c r="B119" s="2274"/>
      <c r="C119" s="2274"/>
      <c r="D119" s="2274"/>
      <c r="E119" s="2274"/>
      <c r="F119" s="2274"/>
      <c r="G119" s="2274"/>
      <c r="H119" s="2274"/>
      <c r="I119" s="2274"/>
      <c r="J119" s="2274"/>
      <c r="K119" s="2274"/>
      <c r="L119" s="2274"/>
      <c r="M119" s="2274"/>
      <c r="N119" s="2274"/>
      <c r="O119" s="2274"/>
      <c r="P119" s="2274"/>
      <c r="Q119" s="2274"/>
    </row>
    <row r="120" spans="2:17" s="751" customFormat="1">
      <c r="B120" s="2274"/>
      <c r="C120" s="2274"/>
      <c r="D120" s="2274"/>
      <c r="E120" s="2274"/>
      <c r="F120" s="2274"/>
      <c r="G120" s="2274"/>
      <c r="H120" s="2274"/>
      <c r="I120" s="2274"/>
      <c r="J120" s="2274"/>
      <c r="K120" s="2274"/>
      <c r="L120" s="2274"/>
      <c r="M120" s="2274"/>
      <c r="N120" s="2274"/>
      <c r="O120" s="2274"/>
      <c r="P120" s="2274"/>
      <c r="Q120" s="2274"/>
    </row>
    <row r="121" spans="2:17" s="751" customFormat="1">
      <c r="B121" s="2274"/>
      <c r="C121" s="2274"/>
      <c r="D121" s="2274"/>
      <c r="E121" s="2274"/>
      <c r="F121" s="2274"/>
      <c r="G121" s="2274"/>
      <c r="H121" s="2274"/>
      <c r="I121" s="2274"/>
      <c r="J121" s="2274"/>
      <c r="K121" s="2274"/>
      <c r="L121" s="2274"/>
      <c r="M121" s="2274"/>
      <c r="N121" s="2274"/>
      <c r="O121" s="2274"/>
      <c r="P121" s="2274"/>
      <c r="Q121" s="2274"/>
    </row>
    <row r="122" spans="2:17" s="751" customFormat="1">
      <c r="B122" s="2274"/>
      <c r="C122" s="2274"/>
      <c r="D122" s="2274"/>
      <c r="E122" s="2274"/>
      <c r="F122" s="2274"/>
      <c r="G122" s="2274"/>
      <c r="H122" s="2274"/>
      <c r="I122" s="2274"/>
      <c r="J122" s="2274"/>
      <c r="K122" s="2274"/>
      <c r="L122" s="2274"/>
      <c r="M122" s="2274"/>
      <c r="N122" s="2274"/>
      <c r="O122" s="2274"/>
      <c r="P122" s="2274"/>
      <c r="Q122" s="2274"/>
    </row>
    <row r="123" spans="2:17" s="751" customFormat="1">
      <c r="B123" s="2274"/>
      <c r="C123" s="2274"/>
      <c r="D123" s="2274"/>
      <c r="E123" s="2274"/>
      <c r="F123" s="2274"/>
      <c r="G123" s="2274"/>
      <c r="H123" s="2274"/>
      <c r="I123" s="2274"/>
      <c r="J123" s="2274"/>
      <c r="K123" s="2274"/>
      <c r="L123" s="2274"/>
      <c r="M123" s="2274"/>
      <c r="N123" s="2274"/>
      <c r="O123" s="2274"/>
      <c r="P123" s="2274"/>
      <c r="Q123" s="2274"/>
    </row>
    <row r="124" spans="2:17" s="751" customFormat="1">
      <c r="B124" s="2274"/>
      <c r="C124" s="2274"/>
      <c r="D124" s="2274"/>
      <c r="E124" s="2274"/>
      <c r="F124" s="2274"/>
      <c r="G124" s="2274"/>
      <c r="H124" s="2274"/>
      <c r="I124" s="2274"/>
      <c r="J124" s="2274"/>
      <c r="K124" s="2274"/>
      <c r="L124" s="2274"/>
      <c r="M124" s="2274"/>
      <c r="N124" s="2274"/>
      <c r="O124" s="2274"/>
      <c r="P124" s="2274"/>
      <c r="Q124" s="2274"/>
    </row>
    <row r="125" spans="2:17" s="751" customFormat="1">
      <c r="B125" s="2274"/>
      <c r="C125" s="2274"/>
      <c r="D125" s="2274"/>
      <c r="E125" s="2274"/>
      <c r="F125" s="2274"/>
      <c r="G125" s="2274"/>
      <c r="H125" s="2274"/>
      <c r="I125" s="2274"/>
      <c r="J125" s="2274"/>
      <c r="K125" s="2274"/>
      <c r="L125" s="2274"/>
      <c r="M125" s="2274"/>
      <c r="N125" s="2274"/>
      <c r="O125" s="2274"/>
      <c r="P125" s="2274"/>
      <c r="Q125" s="2274"/>
    </row>
    <row r="126" spans="2:17" s="751" customFormat="1">
      <c r="B126" s="2274"/>
      <c r="C126" s="2274"/>
      <c r="D126" s="2274"/>
      <c r="E126" s="2274"/>
      <c r="F126" s="2274"/>
      <c r="G126" s="2274"/>
      <c r="H126" s="2274"/>
      <c r="I126" s="2274"/>
      <c r="J126" s="2274"/>
      <c r="K126" s="2274"/>
      <c r="L126" s="2274"/>
      <c r="M126" s="2274"/>
      <c r="N126" s="2274"/>
      <c r="O126" s="2274"/>
      <c r="P126" s="2274"/>
      <c r="Q126" s="2274"/>
    </row>
    <row r="127" spans="2:17" s="751" customFormat="1">
      <c r="B127" s="2274"/>
      <c r="C127" s="2274"/>
      <c r="D127" s="2274"/>
      <c r="E127" s="2274"/>
      <c r="F127" s="2274"/>
      <c r="G127" s="2274"/>
      <c r="H127" s="2274"/>
      <c r="I127" s="2274"/>
      <c r="J127" s="2274"/>
      <c r="K127" s="2274"/>
      <c r="L127" s="2274"/>
      <c r="M127" s="2274"/>
      <c r="N127" s="2274"/>
      <c r="O127" s="2274"/>
      <c r="P127" s="2274"/>
      <c r="Q127" s="2274"/>
    </row>
    <row r="128" spans="2:17" s="751" customFormat="1">
      <c r="B128" s="2274"/>
      <c r="C128" s="2274"/>
      <c r="D128" s="2274"/>
      <c r="E128" s="2274"/>
      <c r="F128" s="2274"/>
      <c r="G128" s="2274"/>
      <c r="H128" s="2274"/>
      <c r="I128" s="2274"/>
      <c r="J128" s="2274"/>
      <c r="K128" s="2274"/>
      <c r="L128" s="2274"/>
      <c r="M128" s="2274"/>
      <c r="N128" s="2274"/>
      <c r="O128" s="2274"/>
      <c r="P128" s="2274"/>
      <c r="Q128" s="2274"/>
    </row>
    <row r="129" spans="2:17" s="751" customFormat="1">
      <c r="B129" s="2274"/>
      <c r="C129" s="2274"/>
      <c r="D129" s="2274"/>
      <c r="E129" s="2274"/>
      <c r="F129" s="2274"/>
      <c r="G129" s="2274"/>
      <c r="H129" s="2274"/>
      <c r="I129" s="2274"/>
      <c r="J129" s="2274"/>
      <c r="K129" s="2274"/>
      <c r="L129" s="2274"/>
      <c r="M129" s="2274"/>
      <c r="N129" s="2274"/>
      <c r="O129" s="2274"/>
      <c r="P129" s="2274"/>
      <c r="Q129" s="2274"/>
    </row>
    <row r="130" spans="2:17" s="751" customFormat="1">
      <c r="B130" s="2274"/>
      <c r="C130" s="2274"/>
      <c r="D130" s="2274"/>
      <c r="E130" s="2274"/>
      <c r="F130" s="2274"/>
      <c r="G130" s="2274"/>
      <c r="H130" s="2274"/>
      <c r="I130" s="2274"/>
      <c r="J130" s="2274"/>
      <c r="K130" s="2274"/>
      <c r="L130" s="2274"/>
      <c r="M130" s="2274"/>
      <c r="N130" s="2274"/>
      <c r="O130" s="2274"/>
      <c r="P130" s="2274"/>
      <c r="Q130" s="2274"/>
    </row>
    <row r="131" spans="2:17" s="751" customFormat="1">
      <c r="B131" s="2274"/>
      <c r="C131" s="2274"/>
      <c r="D131" s="2274"/>
      <c r="E131" s="2274"/>
      <c r="F131" s="2274"/>
      <c r="G131" s="2274"/>
      <c r="H131" s="2274"/>
      <c r="I131" s="2274"/>
      <c r="J131" s="2274"/>
      <c r="K131" s="2274"/>
      <c r="L131" s="2274"/>
      <c r="M131" s="2274"/>
      <c r="N131" s="2274"/>
      <c r="O131" s="2274"/>
      <c r="P131" s="2274"/>
      <c r="Q131" s="2274"/>
    </row>
    <row r="132" spans="2:17" s="751" customFormat="1">
      <c r="B132" s="2274"/>
      <c r="C132" s="2274"/>
      <c r="D132" s="2274"/>
      <c r="E132" s="2274"/>
      <c r="F132" s="2274"/>
      <c r="G132" s="2274"/>
      <c r="H132" s="2274"/>
      <c r="I132" s="2274"/>
      <c r="J132" s="2274"/>
      <c r="K132" s="2274"/>
      <c r="L132" s="2274"/>
      <c r="M132" s="2274"/>
      <c r="N132" s="2274"/>
      <c r="O132" s="2274"/>
      <c r="P132" s="2274"/>
      <c r="Q132" s="2274"/>
    </row>
    <row r="133" spans="2:17" s="751" customFormat="1">
      <c r="B133" s="2274"/>
      <c r="C133" s="2274"/>
      <c r="D133" s="2274"/>
      <c r="E133" s="2274"/>
      <c r="F133" s="2274"/>
      <c r="G133" s="2274"/>
      <c r="H133" s="2274"/>
      <c r="I133" s="2274"/>
      <c r="J133" s="2274"/>
      <c r="K133" s="2274"/>
      <c r="L133" s="2274"/>
      <c r="M133" s="2274"/>
      <c r="N133" s="2274"/>
      <c r="O133" s="2274"/>
      <c r="P133" s="2274"/>
      <c r="Q133" s="2274"/>
    </row>
    <row r="134" spans="2:17" s="751" customFormat="1">
      <c r="B134" s="2274"/>
      <c r="C134" s="2274"/>
      <c r="D134" s="2274"/>
      <c r="E134" s="2274"/>
      <c r="F134" s="2274"/>
      <c r="G134" s="2274"/>
      <c r="H134" s="2274"/>
      <c r="I134" s="2274"/>
      <c r="J134" s="2274"/>
      <c r="K134" s="2274"/>
      <c r="L134" s="2274"/>
      <c r="M134" s="2274"/>
      <c r="N134" s="2274"/>
      <c r="O134" s="2274"/>
      <c r="P134" s="2274"/>
      <c r="Q134" s="2274"/>
    </row>
    <row r="135" spans="2:17" s="751" customFormat="1">
      <c r="B135" s="2274"/>
      <c r="C135" s="2274"/>
      <c r="D135" s="2274"/>
      <c r="E135" s="2274"/>
      <c r="F135" s="2274"/>
      <c r="G135" s="2274"/>
      <c r="H135" s="2274"/>
      <c r="I135" s="2274"/>
      <c r="J135" s="2274"/>
      <c r="K135" s="2274"/>
      <c r="L135" s="2274"/>
      <c r="M135" s="2274"/>
      <c r="N135" s="2274"/>
      <c r="O135" s="2274"/>
      <c r="P135" s="2274"/>
      <c r="Q135" s="2274"/>
    </row>
    <row r="136" spans="2:17" s="751" customFormat="1">
      <c r="B136" s="2274"/>
      <c r="C136" s="2274"/>
      <c r="D136" s="2274"/>
      <c r="E136" s="2274"/>
      <c r="F136" s="2274"/>
      <c r="G136" s="2274"/>
      <c r="H136" s="2274"/>
      <c r="I136" s="2274"/>
      <c r="J136" s="2274"/>
      <c r="K136" s="2274"/>
      <c r="L136" s="2274"/>
      <c r="M136" s="2274"/>
      <c r="N136" s="2274"/>
      <c r="O136" s="2274"/>
      <c r="P136" s="2274"/>
      <c r="Q136" s="2274"/>
    </row>
    <row r="137" spans="2:17" s="751" customFormat="1">
      <c r="B137" s="2274"/>
      <c r="C137" s="2274"/>
      <c r="D137" s="2274"/>
      <c r="E137" s="2274"/>
      <c r="F137" s="2274"/>
      <c r="G137" s="2274"/>
      <c r="H137" s="2274"/>
      <c r="I137" s="2274"/>
      <c r="J137" s="2274"/>
      <c r="K137" s="2274"/>
      <c r="L137" s="2274"/>
      <c r="M137" s="2274"/>
      <c r="N137" s="2274"/>
      <c r="O137" s="2274"/>
      <c r="P137" s="2274"/>
      <c r="Q137" s="2274"/>
    </row>
    <row r="138" spans="2:17" s="751" customFormat="1">
      <c r="B138" s="2274"/>
      <c r="C138" s="2274"/>
      <c r="D138" s="2274"/>
      <c r="E138" s="2274"/>
      <c r="F138" s="2274"/>
      <c r="G138" s="2274"/>
      <c r="H138" s="2274"/>
      <c r="I138" s="2274"/>
      <c r="J138" s="2274"/>
      <c r="K138" s="2274"/>
      <c r="L138" s="2274"/>
      <c r="M138" s="2274"/>
      <c r="N138" s="2274"/>
      <c r="O138" s="2274"/>
      <c r="P138" s="2274"/>
      <c r="Q138" s="2274"/>
    </row>
    <row r="139" spans="2:17" s="751" customFormat="1">
      <c r="B139" s="2274"/>
      <c r="C139" s="2274"/>
      <c r="D139" s="2274"/>
      <c r="E139" s="2274"/>
      <c r="F139" s="2274"/>
      <c r="G139" s="2274"/>
      <c r="H139" s="2274"/>
      <c r="I139" s="2274"/>
      <c r="J139" s="2274"/>
      <c r="K139" s="2274"/>
      <c r="L139" s="2274"/>
      <c r="M139" s="2274"/>
      <c r="N139" s="2274"/>
      <c r="O139" s="2274"/>
      <c r="P139" s="2274"/>
      <c r="Q139" s="2274"/>
    </row>
    <row r="140" spans="2:17" s="751" customFormat="1">
      <c r="B140" s="2274"/>
      <c r="C140" s="2274"/>
      <c r="D140" s="2274"/>
      <c r="E140" s="2274"/>
      <c r="F140" s="2274"/>
      <c r="G140" s="2274"/>
      <c r="H140" s="2274"/>
      <c r="I140" s="2274"/>
      <c r="J140" s="2274"/>
      <c r="K140" s="2274"/>
      <c r="L140" s="2274"/>
      <c r="M140" s="2274"/>
      <c r="N140" s="2274"/>
      <c r="O140" s="2274"/>
      <c r="P140" s="2274"/>
      <c r="Q140" s="2274"/>
    </row>
    <row r="141" spans="2:17" s="751" customFormat="1">
      <c r="B141" s="2274"/>
      <c r="C141" s="2274"/>
      <c r="D141" s="2274"/>
      <c r="E141" s="2274"/>
      <c r="F141" s="2274"/>
      <c r="G141" s="2274"/>
      <c r="H141" s="2274"/>
      <c r="I141" s="2274"/>
      <c r="J141" s="2274"/>
      <c r="K141" s="2274"/>
      <c r="L141" s="2274"/>
      <c r="M141" s="2274"/>
      <c r="N141" s="2274"/>
      <c r="O141" s="2274"/>
      <c r="P141" s="2274"/>
      <c r="Q141" s="2274"/>
    </row>
    <row r="142" spans="2:17" s="751" customFormat="1">
      <c r="B142" s="2274"/>
      <c r="C142" s="2274"/>
      <c r="D142" s="2274"/>
      <c r="E142" s="2274"/>
      <c r="F142" s="2274"/>
      <c r="G142" s="2274"/>
      <c r="H142" s="2274"/>
      <c r="I142" s="2274"/>
      <c r="J142" s="2274"/>
      <c r="K142" s="2274"/>
      <c r="L142" s="2274"/>
      <c r="M142" s="2274"/>
      <c r="N142" s="2274"/>
      <c r="O142" s="2274"/>
      <c r="P142" s="2274"/>
      <c r="Q142" s="2274"/>
    </row>
    <row r="143" spans="2:17" s="751" customFormat="1">
      <c r="B143" s="2274"/>
      <c r="C143" s="2274"/>
      <c r="D143" s="2274"/>
      <c r="E143" s="2274"/>
      <c r="F143" s="2274"/>
      <c r="G143" s="2274"/>
      <c r="H143" s="2274"/>
      <c r="I143" s="2274"/>
      <c r="J143" s="2274"/>
      <c r="K143" s="2274"/>
      <c r="L143" s="2274"/>
      <c r="M143" s="2274"/>
      <c r="N143" s="2274"/>
      <c r="O143" s="2274"/>
      <c r="P143" s="2274"/>
      <c r="Q143" s="2274"/>
    </row>
    <row r="144" spans="2:17" s="751" customFormat="1">
      <c r="B144" s="2274"/>
      <c r="C144" s="2274"/>
      <c r="D144" s="2274"/>
      <c r="E144" s="2274"/>
      <c r="F144" s="2274"/>
      <c r="G144" s="2274"/>
      <c r="H144" s="2274"/>
      <c r="I144" s="2274"/>
      <c r="J144" s="2274"/>
      <c r="K144" s="2274"/>
      <c r="L144" s="2274"/>
      <c r="M144" s="2274"/>
      <c r="N144" s="2274"/>
      <c r="O144" s="2274"/>
      <c r="P144" s="2274"/>
      <c r="Q144" s="2274"/>
    </row>
    <row r="145" spans="2:17" s="751" customFormat="1">
      <c r="B145" s="2274"/>
      <c r="C145" s="2274"/>
      <c r="D145" s="2274"/>
      <c r="E145" s="2274"/>
      <c r="F145" s="2274"/>
      <c r="G145" s="2274"/>
      <c r="H145" s="2274"/>
      <c r="I145" s="2274"/>
      <c r="J145" s="2274"/>
      <c r="K145" s="2274"/>
      <c r="L145" s="2274"/>
      <c r="M145" s="2274"/>
      <c r="N145" s="2274"/>
      <c r="O145" s="2274"/>
      <c r="P145" s="2274"/>
      <c r="Q145" s="2274"/>
    </row>
    <row r="146" spans="2:17" s="751" customFormat="1">
      <c r="B146" s="2274"/>
      <c r="C146" s="2274"/>
      <c r="D146" s="2274"/>
      <c r="E146" s="2274"/>
      <c r="F146" s="2274"/>
      <c r="G146" s="2274"/>
      <c r="H146" s="2274"/>
      <c r="I146" s="2274"/>
      <c r="J146" s="2274"/>
      <c r="K146" s="2274"/>
      <c r="L146" s="2274"/>
      <c r="M146" s="2274"/>
      <c r="N146" s="2274"/>
      <c r="O146" s="2274"/>
      <c r="P146" s="2274"/>
      <c r="Q146" s="2274"/>
    </row>
    <row r="147" spans="2:17" s="751" customFormat="1">
      <c r="B147" s="2274"/>
      <c r="C147" s="2274"/>
      <c r="D147" s="2274"/>
      <c r="E147" s="2274"/>
      <c r="F147" s="2274"/>
      <c r="G147" s="2274"/>
      <c r="H147" s="2274"/>
      <c r="I147" s="2274"/>
      <c r="J147" s="2274"/>
      <c r="K147" s="2274"/>
      <c r="L147" s="2274"/>
      <c r="M147" s="2274"/>
      <c r="N147" s="2274"/>
      <c r="O147" s="2274"/>
      <c r="P147" s="2274"/>
      <c r="Q147" s="2274"/>
    </row>
    <row r="148" spans="2:17" s="751" customFormat="1">
      <c r="B148" s="2274"/>
      <c r="C148" s="2274"/>
      <c r="D148" s="2274"/>
      <c r="E148" s="2274"/>
      <c r="F148" s="2274"/>
      <c r="G148" s="2274"/>
      <c r="H148" s="2274"/>
      <c r="I148" s="2274"/>
      <c r="J148" s="2274"/>
      <c r="K148" s="2274"/>
      <c r="L148" s="2274"/>
      <c r="M148" s="2274"/>
      <c r="N148" s="2274"/>
      <c r="O148" s="2274"/>
      <c r="P148" s="2274"/>
      <c r="Q148" s="2274"/>
    </row>
    <row r="149" spans="2:17" s="751" customFormat="1">
      <c r="B149" s="2274"/>
      <c r="C149" s="2274"/>
      <c r="D149" s="2274"/>
      <c r="E149" s="2274"/>
      <c r="F149" s="2274"/>
      <c r="G149" s="2274"/>
      <c r="H149" s="2274"/>
      <c r="I149" s="2274"/>
      <c r="J149" s="2274"/>
      <c r="K149" s="2274"/>
      <c r="L149" s="2274"/>
      <c r="M149" s="2274"/>
      <c r="N149" s="2274"/>
      <c r="O149" s="2274"/>
      <c r="P149" s="2274"/>
      <c r="Q149" s="2274"/>
    </row>
    <row r="150" spans="2:17" s="751" customFormat="1">
      <c r="B150" s="2274"/>
      <c r="C150" s="2274"/>
      <c r="D150" s="2274"/>
      <c r="E150" s="2274"/>
      <c r="F150" s="2274"/>
      <c r="G150" s="2274"/>
      <c r="H150" s="2274"/>
      <c r="I150" s="2274"/>
      <c r="J150" s="2274"/>
      <c r="K150" s="2274"/>
      <c r="L150" s="2274"/>
      <c r="M150" s="2274"/>
      <c r="N150" s="2274"/>
      <c r="O150" s="2274"/>
      <c r="P150" s="2274"/>
      <c r="Q150" s="2274"/>
    </row>
    <row r="151" spans="2:17" s="751" customFormat="1">
      <c r="B151" s="2274"/>
      <c r="C151" s="2274"/>
      <c r="D151" s="2274"/>
      <c r="E151" s="2274"/>
      <c r="F151" s="2274"/>
      <c r="G151" s="2274"/>
      <c r="H151" s="2274"/>
      <c r="I151" s="2274"/>
      <c r="J151" s="2274"/>
      <c r="K151" s="2274"/>
      <c r="L151" s="2274"/>
      <c r="M151" s="2274"/>
      <c r="N151" s="2274"/>
      <c r="O151" s="2274"/>
      <c r="P151" s="2274"/>
      <c r="Q151" s="2274"/>
    </row>
    <row r="152" spans="2:17" s="751" customFormat="1">
      <c r="B152" s="2274"/>
      <c r="C152" s="2274"/>
      <c r="D152" s="2274"/>
      <c r="E152" s="2274"/>
      <c r="F152" s="2274"/>
      <c r="G152" s="2274"/>
      <c r="H152" s="2274"/>
      <c r="I152" s="2274"/>
      <c r="J152" s="2274"/>
      <c r="K152" s="2274"/>
      <c r="L152" s="2274"/>
      <c r="M152" s="2274"/>
      <c r="N152" s="2274"/>
      <c r="O152" s="2274"/>
      <c r="P152" s="2274"/>
      <c r="Q152" s="2274"/>
    </row>
    <row r="153" spans="2:17" s="751" customFormat="1">
      <c r="B153" s="2274"/>
      <c r="C153" s="2274"/>
      <c r="D153" s="2274"/>
      <c r="E153" s="2274"/>
      <c r="F153" s="2274"/>
      <c r="G153" s="2274"/>
      <c r="H153" s="2274"/>
      <c r="I153" s="2274"/>
      <c r="J153" s="2274"/>
      <c r="K153" s="2274"/>
      <c r="L153" s="2274"/>
      <c r="M153" s="2274"/>
      <c r="N153" s="2274"/>
      <c r="O153" s="2274"/>
      <c r="P153" s="2274"/>
      <c r="Q153" s="2274"/>
    </row>
    <row r="154" spans="2:17" s="751" customFormat="1">
      <c r="B154" s="2274"/>
      <c r="C154" s="2274"/>
      <c r="D154" s="2274"/>
      <c r="E154" s="2274"/>
      <c r="F154" s="2274"/>
      <c r="G154" s="2274"/>
      <c r="H154" s="2274"/>
      <c r="I154" s="2274"/>
      <c r="J154" s="2274"/>
      <c r="K154" s="2274"/>
      <c r="L154" s="2274"/>
      <c r="M154" s="2274"/>
      <c r="N154" s="2274"/>
      <c r="O154" s="2274"/>
      <c r="P154" s="2274"/>
      <c r="Q154" s="2274"/>
    </row>
    <row r="155" spans="2:17" s="751" customFormat="1">
      <c r="B155" s="2274"/>
      <c r="C155" s="2274"/>
      <c r="D155" s="2274"/>
      <c r="E155" s="2274"/>
      <c r="F155" s="2274"/>
      <c r="G155" s="2274"/>
      <c r="H155" s="2274"/>
      <c r="I155" s="2274"/>
      <c r="J155" s="2274"/>
      <c r="K155" s="2274"/>
      <c r="L155" s="2274"/>
      <c r="M155" s="2274"/>
      <c r="N155" s="2274"/>
      <c r="O155" s="2274"/>
      <c r="P155" s="2274"/>
      <c r="Q155" s="2274"/>
    </row>
    <row r="156" spans="2:17" s="751" customFormat="1">
      <c r="B156" s="2274"/>
      <c r="C156" s="2274"/>
      <c r="D156" s="2274"/>
      <c r="E156" s="2274"/>
      <c r="F156" s="2274"/>
      <c r="G156" s="2274"/>
      <c r="H156" s="2274"/>
      <c r="I156" s="2274"/>
      <c r="J156" s="2274"/>
      <c r="K156" s="2274"/>
      <c r="L156" s="2274"/>
      <c r="M156" s="2274"/>
      <c r="N156" s="2274"/>
      <c r="O156" s="2274"/>
      <c r="P156" s="2274"/>
      <c r="Q156" s="2274"/>
    </row>
    <row r="157" spans="2:17" s="751" customFormat="1">
      <c r="B157" s="2274"/>
      <c r="C157" s="2274"/>
      <c r="D157" s="2274"/>
      <c r="E157" s="2274"/>
      <c r="F157" s="2274"/>
      <c r="G157" s="2274"/>
      <c r="H157" s="2274"/>
      <c r="I157" s="2274"/>
      <c r="J157" s="2274"/>
      <c r="K157" s="2274"/>
      <c r="L157" s="2274"/>
      <c r="M157" s="2274"/>
      <c r="N157" s="2274"/>
      <c r="O157" s="2274"/>
      <c r="P157" s="2274"/>
      <c r="Q157" s="2274"/>
    </row>
    <row r="158" spans="2:17" s="751" customFormat="1">
      <c r="B158" s="2274"/>
      <c r="C158" s="2274"/>
      <c r="D158" s="2274"/>
      <c r="E158" s="2274"/>
      <c r="F158" s="2274"/>
      <c r="G158" s="2274"/>
      <c r="H158" s="2274"/>
      <c r="I158" s="2274"/>
      <c r="J158" s="2274"/>
      <c r="K158" s="2274"/>
      <c r="L158" s="2274"/>
      <c r="M158" s="2274"/>
      <c r="N158" s="2274"/>
      <c r="O158" s="2274"/>
      <c r="P158" s="2274"/>
      <c r="Q158" s="2274"/>
    </row>
    <row r="159" spans="2:17" s="751" customFormat="1">
      <c r="B159" s="2274"/>
      <c r="C159" s="2274"/>
      <c r="D159" s="2274"/>
      <c r="E159" s="2274"/>
      <c r="F159" s="2274"/>
      <c r="G159" s="2274"/>
      <c r="H159" s="2274"/>
      <c r="I159" s="2274"/>
      <c r="J159" s="2274"/>
      <c r="K159" s="2274"/>
      <c r="L159" s="2274"/>
      <c r="M159" s="2274"/>
      <c r="N159" s="2274"/>
      <c r="O159" s="2274"/>
      <c r="P159" s="2274"/>
      <c r="Q159" s="2274"/>
    </row>
    <row r="160" spans="2:17" s="751" customFormat="1">
      <c r="B160" s="2274"/>
      <c r="C160" s="2274"/>
      <c r="D160" s="2274"/>
      <c r="E160" s="2274"/>
      <c r="F160" s="2274"/>
      <c r="G160" s="2274"/>
      <c r="H160" s="2274"/>
      <c r="I160" s="2274"/>
      <c r="J160" s="2274"/>
      <c r="K160" s="2274"/>
      <c r="L160" s="2274"/>
      <c r="M160" s="2274"/>
      <c r="N160" s="2274"/>
      <c r="O160" s="2274"/>
      <c r="P160" s="2274"/>
      <c r="Q160" s="2274"/>
    </row>
    <row r="161" spans="2:17" s="751" customFormat="1">
      <c r="B161" s="2274"/>
      <c r="C161" s="2274"/>
      <c r="D161" s="2274"/>
      <c r="E161" s="2274"/>
      <c r="F161" s="2274"/>
      <c r="G161" s="2274"/>
      <c r="H161" s="2274"/>
      <c r="I161" s="2274"/>
      <c r="J161" s="2274"/>
      <c r="K161" s="2274"/>
      <c r="L161" s="2274"/>
      <c r="M161" s="2274"/>
      <c r="N161" s="2274"/>
      <c r="O161" s="2274"/>
      <c r="P161" s="2274"/>
      <c r="Q161" s="2274"/>
    </row>
    <row r="162" spans="2:17" s="751" customFormat="1">
      <c r="B162" s="2274"/>
      <c r="C162" s="2274"/>
      <c r="D162" s="2274"/>
      <c r="E162" s="2274"/>
      <c r="F162" s="2274"/>
      <c r="G162" s="2274"/>
      <c r="H162" s="2274"/>
      <c r="I162" s="2274"/>
      <c r="J162" s="2274"/>
      <c r="K162" s="2274"/>
      <c r="L162" s="2274"/>
      <c r="M162" s="2274"/>
      <c r="N162" s="2274"/>
      <c r="O162" s="2274"/>
      <c r="P162" s="2274"/>
      <c r="Q162" s="2274"/>
    </row>
    <row r="163" spans="2:17" s="751" customFormat="1">
      <c r="B163" s="2274"/>
      <c r="C163" s="2274"/>
      <c r="D163" s="2274"/>
      <c r="E163" s="2274"/>
      <c r="F163" s="2274"/>
      <c r="G163" s="2274"/>
      <c r="H163" s="2274"/>
      <c r="I163" s="2274"/>
      <c r="J163" s="2274"/>
      <c r="K163" s="2274"/>
      <c r="L163" s="2274"/>
      <c r="M163" s="2274"/>
      <c r="N163" s="2274"/>
      <c r="O163" s="2274"/>
      <c r="P163" s="2274"/>
      <c r="Q163" s="2274"/>
    </row>
    <row r="164" spans="2:17" s="751" customFormat="1">
      <c r="B164" s="2274"/>
      <c r="C164" s="2274"/>
      <c r="D164" s="2274"/>
      <c r="E164" s="2274"/>
      <c r="F164" s="2274"/>
      <c r="G164" s="2274"/>
      <c r="H164" s="2274"/>
      <c r="I164" s="2274"/>
      <c r="J164" s="2274"/>
      <c r="K164" s="2274"/>
      <c r="L164" s="2274"/>
      <c r="M164" s="2274"/>
      <c r="N164" s="2274"/>
      <c r="O164" s="2274"/>
      <c r="P164" s="2274"/>
      <c r="Q164" s="2274"/>
    </row>
    <row r="165" spans="2:17" s="751" customFormat="1">
      <c r="B165" s="2274"/>
      <c r="C165" s="2274"/>
      <c r="D165" s="2274"/>
      <c r="E165" s="2274"/>
      <c r="F165" s="2274"/>
      <c r="G165" s="2274"/>
      <c r="H165" s="2274"/>
      <c r="I165" s="2274"/>
      <c r="J165" s="2274"/>
      <c r="K165" s="2274"/>
      <c r="L165" s="2274"/>
      <c r="M165" s="2274"/>
      <c r="N165" s="2274"/>
      <c r="O165" s="2274"/>
      <c r="P165" s="2274"/>
      <c r="Q165" s="2274"/>
    </row>
    <row r="166" spans="2:17" s="751" customFormat="1">
      <c r="B166" s="2274"/>
      <c r="C166" s="2274"/>
      <c r="D166" s="2274"/>
      <c r="E166" s="2274"/>
      <c r="F166" s="2274"/>
      <c r="G166" s="2274"/>
      <c r="H166" s="2274"/>
      <c r="I166" s="2274"/>
      <c r="J166" s="2274"/>
      <c r="K166" s="2274"/>
      <c r="L166" s="2274"/>
      <c r="M166" s="2274"/>
      <c r="N166" s="2274"/>
      <c r="O166" s="2274"/>
      <c r="P166" s="2274"/>
      <c r="Q166" s="2274"/>
    </row>
    <row r="167" spans="2:17" s="751" customFormat="1">
      <c r="B167" s="2274"/>
      <c r="C167" s="2274"/>
      <c r="D167" s="2274"/>
      <c r="E167" s="2274"/>
      <c r="F167" s="2274"/>
      <c r="G167" s="2274"/>
      <c r="H167" s="2274"/>
      <c r="I167" s="2274"/>
      <c r="J167" s="2274"/>
      <c r="K167" s="2274"/>
      <c r="L167" s="2274"/>
      <c r="M167" s="2274"/>
      <c r="N167" s="2274"/>
      <c r="O167" s="2274"/>
      <c r="P167" s="2274"/>
      <c r="Q167" s="2274"/>
    </row>
    <row r="168" spans="2:17" s="751" customFormat="1">
      <c r="B168" s="2274"/>
      <c r="C168" s="2274"/>
      <c r="D168" s="2274"/>
      <c r="E168" s="2274"/>
      <c r="F168" s="2274"/>
      <c r="G168" s="2274"/>
      <c r="H168" s="2274"/>
      <c r="I168" s="2274"/>
      <c r="J168" s="2274"/>
      <c r="K168" s="2274"/>
      <c r="L168" s="2274"/>
      <c r="M168" s="2274"/>
      <c r="N168" s="2274"/>
      <c r="O168" s="2274"/>
      <c r="P168" s="2274"/>
      <c r="Q168" s="2274"/>
    </row>
    <row r="169" spans="2:17" s="751" customFormat="1">
      <c r="B169" s="2274"/>
      <c r="C169" s="2274"/>
      <c r="D169" s="2274"/>
      <c r="E169" s="2274"/>
      <c r="F169" s="2274"/>
      <c r="G169" s="2274"/>
      <c r="H169" s="2274"/>
      <c r="I169" s="2274"/>
      <c r="J169" s="2274"/>
      <c r="K169" s="2274"/>
      <c r="L169" s="2274"/>
      <c r="M169" s="2274"/>
      <c r="N169" s="2274"/>
      <c r="O169" s="2274"/>
      <c r="P169" s="2274"/>
      <c r="Q169" s="2274"/>
    </row>
    <row r="170" spans="2:17" s="751" customFormat="1">
      <c r="B170" s="2274"/>
      <c r="C170" s="2274"/>
      <c r="D170" s="2274"/>
      <c r="E170" s="2274"/>
      <c r="F170" s="2274"/>
      <c r="G170" s="2274"/>
      <c r="H170" s="2274"/>
      <c r="I170" s="2274"/>
      <c r="J170" s="2274"/>
      <c r="K170" s="2274"/>
      <c r="L170" s="2274"/>
      <c r="M170" s="2274"/>
      <c r="N170" s="2274"/>
      <c r="O170" s="2274"/>
      <c r="P170" s="2274"/>
      <c r="Q170" s="2274"/>
    </row>
    <row r="171" spans="2:17" s="751" customFormat="1">
      <c r="B171" s="2274"/>
      <c r="C171" s="2274"/>
      <c r="D171" s="2274"/>
      <c r="E171" s="2274"/>
      <c r="F171" s="2274"/>
      <c r="G171" s="2274"/>
      <c r="H171" s="2274"/>
      <c r="I171" s="2274"/>
      <c r="J171" s="2274"/>
      <c r="K171" s="2274"/>
      <c r="L171" s="2274"/>
      <c r="M171" s="2274"/>
      <c r="N171" s="2274"/>
      <c r="O171" s="2274"/>
      <c r="P171" s="2274"/>
      <c r="Q171" s="2274"/>
    </row>
    <row r="172" spans="2:17" s="751" customFormat="1">
      <c r="B172" s="2274"/>
      <c r="C172" s="2274"/>
      <c r="D172" s="2274"/>
      <c r="E172" s="2274"/>
      <c r="F172" s="2274"/>
      <c r="G172" s="2274"/>
      <c r="H172" s="2274"/>
      <c r="I172" s="2274"/>
      <c r="J172" s="2274"/>
      <c r="K172" s="2274"/>
      <c r="L172" s="2274"/>
      <c r="M172" s="2274"/>
      <c r="N172" s="2274"/>
      <c r="O172" s="2274"/>
      <c r="P172" s="2274"/>
      <c r="Q172" s="2274"/>
    </row>
    <row r="173" spans="2:17" s="751" customFormat="1">
      <c r="B173" s="2274"/>
      <c r="C173" s="2274"/>
      <c r="D173" s="2274"/>
      <c r="E173" s="2274"/>
      <c r="F173" s="2274"/>
      <c r="G173" s="2274"/>
      <c r="H173" s="2274"/>
      <c r="I173" s="2274"/>
      <c r="J173" s="2274"/>
      <c r="K173" s="2274"/>
      <c r="L173" s="2274"/>
      <c r="M173" s="2274"/>
      <c r="N173" s="2274"/>
      <c r="O173" s="2274"/>
      <c r="P173" s="2274"/>
      <c r="Q173" s="2274"/>
    </row>
    <row r="174" spans="2:17" s="751" customFormat="1">
      <c r="B174" s="2274"/>
      <c r="C174" s="2274"/>
      <c r="D174" s="2274"/>
      <c r="E174" s="2274"/>
      <c r="F174" s="2274"/>
      <c r="G174" s="2274"/>
      <c r="H174" s="2274"/>
      <c r="I174" s="2274"/>
      <c r="J174" s="2274"/>
      <c r="K174" s="2274"/>
      <c r="L174" s="2274"/>
      <c r="M174" s="2274"/>
      <c r="N174" s="2274"/>
      <c r="O174" s="2274"/>
      <c r="P174" s="2274"/>
      <c r="Q174" s="2274"/>
    </row>
    <row r="175" spans="2:17" s="751" customFormat="1">
      <c r="B175" s="2274"/>
      <c r="C175" s="2274"/>
      <c r="D175" s="2274"/>
      <c r="E175" s="2274"/>
      <c r="F175" s="2274"/>
      <c r="G175" s="2274"/>
      <c r="H175" s="2274"/>
      <c r="I175" s="2274"/>
      <c r="J175" s="2274"/>
      <c r="K175" s="2274"/>
      <c r="L175" s="2274"/>
      <c r="M175" s="2274"/>
      <c r="N175" s="2274"/>
      <c r="O175" s="2274"/>
      <c r="P175" s="2274"/>
      <c r="Q175" s="2274"/>
    </row>
    <row r="176" spans="2:17" s="751" customFormat="1">
      <c r="B176" s="2274"/>
      <c r="C176" s="2274"/>
      <c r="D176" s="2274"/>
      <c r="E176" s="2274"/>
      <c r="F176" s="2274"/>
      <c r="G176" s="2274"/>
      <c r="H176" s="2274"/>
      <c r="I176" s="2274"/>
      <c r="J176" s="2274"/>
      <c r="K176" s="2274"/>
      <c r="L176" s="2274"/>
      <c r="M176" s="2274"/>
      <c r="N176" s="2274"/>
      <c r="O176" s="2274"/>
      <c r="P176" s="2274"/>
      <c r="Q176" s="2274"/>
    </row>
    <row r="177" spans="1:17" s="751" customFormat="1">
      <c r="B177" s="2274"/>
      <c r="C177" s="2274"/>
      <c r="D177" s="2274"/>
      <c r="E177" s="2274"/>
      <c r="F177" s="2274"/>
      <c r="G177" s="2274"/>
      <c r="H177" s="2274"/>
      <c r="I177" s="2274"/>
      <c r="J177" s="2274"/>
      <c r="K177" s="2274"/>
      <c r="L177" s="2274"/>
      <c r="M177" s="2274"/>
      <c r="N177" s="2274"/>
      <c r="O177" s="2274"/>
      <c r="P177" s="2274"/>
      <c r="Q177" s="2274"/>
    </row>
    <row r="178" spans="1:17" s="751" customFormat="1">
      <c r="B178" s="2274"/>
      <c r="C178" s="2274"/>
      <c r="D178" s="2274"/>
      <c r="E178" s="2274"/>
      <c r="F178" s="2274"/>
      <c r="G178" s="2274"/>
      <c r="H178" s="2274"/>
      <c r="I178" s="2274"/>
      <c r="J178" s="2274"/>
      <c r="K178" s="2274"/>
      <c r="L178" s="2274"/>
      <c r="M178" s="2274"/>
      <c r="N178" s="2274"/>
      <c r="O178" s="2274"/>
      <c r="P178" s="2274"/>
      <c r="Q178" s="2274"/>
    </row>
    <row r="179" spans="1:17" s="751" customFormat="1">
      <c r="B179" s="2274"/>
      <c r="C179" s="2274"/>
      <c r="D179" s="2274"/>
      <c r="E179" s="2274"/>
      <c r="F179" s="2274"/>
      <c r="G179" s="2274"/>
      <c r="H179" s="2274"/>
      <c r="I179" s="2274"/>
      <c r="J179" s="2274"/>
      <c r="K179" s="2274"/>
      <c r="L179" s="2274"/>
      <c r="M179" s="2274"/>
      <c r="N179" s="2274"/>
      <c r="O179" s="2274"/>
      <c r="P179" s="2274"/>
      <c r="Q179" s="2274"/>
    </row>
    <row r="180" spans="1:17" s="751" customFormat="1">
      <c r="B180" s="2274"/>
      <c r="C180" s="2274"/>
      <c r="D180" s="2274"/>
      <c r="E180" s="2274"/>
      <c r="F180" s="2274"/>
      <c r="G180" s="2274"/>
      <c r="H180" s="2274"/>
      <c r="I180" s="2274"/>
      <c r="J180" s="2274"/>
      <c r="K180" s="2274"/>
      <c r="L180" s="2274"/>
      <c r="M180" s="2274"/>
      <c r="N180" s="2274"/>
      <c r="O180" s="2274"/>
      <c r="P180" s="2274"/>
      <c r="Q180" s="2274"/>
    </row>
    <row r="181" spans="1:17" s="751" customFormat="1">
      <c r="B181" s="2274"/>
      <c r="C181" s="2274"/>
      <c r="D181" s="2274"/>
      <c r="E181" s="2274"/>
      <c r="F181" s="2274"/>
      <c r="G181" s="2274"/>
      <c r="H181" s="2274"/>
      <c r="I181" s="2274"/>
      <c r="J181" s="2274"/>
      <c r="K181" s="2274"/>
      <c r="L181" s="2274"/>
      <c r="M181" s="2274"/>
      <c r="N181" s="2274"/>
      <c r="O181" s="2274"/>
      <c r="P181" s="2274"/>
      <c r="Q181" s="2274"/>
    </row>
    <row r="182" spans="1:17" s="751" customFormat="1">
      <c r="B182" s="2274"/>
      <c r="C182" s="2274"/>
      <c r="D182" s="2274"/>
      <c r="E182" s="2274"/>
      <c r="F182" s="2274"/>
      <c r="G182" s="2274"/>
      <c r="H182" s="2274"/>
      <c r="I182" s="2274"/>
      <c r="J182" s="2274"/>
      <c r="K182" s="2274"/>
      <c r="L182" s="2274"/>
      <c r="M182" s="2274"/>
      <c r="N182" s="2274"/>
      <c r="O182" s="2274"/>
      <c r="P182" s="2274"/>
      <c r="Q182" s="2274"/>
    </row>
    <row r="183" spans="1:17" s="751" customFormat="1">
      <c r="B183" s="2274"/>
      <c r="C183" s="2274"/>
      <c r="D183" s="2274"/>
      <c r="E183" s="2274"/>
      <c r="F183" s="2274"/>
      <c r="G183" s="2274"/>
      <c r="H183" s="2274"/>
      <c r="I183" s="2274"/>
      <c r="J183" s="2274"/>
      <c r="K183" s="2274"/>
      <c r="L183" s="2274"/>
      <c r="M183" s="2274"/>
      <c r="N183" s="2274"/>
      <c r="O183" s="2274"/>
      <c r="P183" s="2274"/>
      <c r="Q183" s="2274"/>
    </row>
    <row r="184" spans="1:17" s="751" customFormat="1">
      <c r="B184" s="2274"/>
      <c r="C184" s="2274"/>
      <c r="D184" s="2274"/>
      <c r="E184" s="2274"/>
      <c r="F184" s="2274"/>
      <c r="G184" s="2274"/>
      <c r="H184" s="2274"/>
      <c r="I184" s="2274"/>
      <c r="J184" s="2274"/>
      <c r="K184" s="2274"/>
      <c r="L184" s="2274"/>
      <c r="M184" s="2274"/>
      <c r="N184" s="2274"/>
      <c r="O184" s="2274"/>
      <c r="P184" s="2274"/>
      <c r="Q184" s="2274"/>
    </row>
    <row r="185" spans="1:17" s="751" customFormat="1">
      <c r="B185" s="2274"/>
      <c r="C185" s="2274"/>
      <c r="D185" s="2274"/>
      <c r="E185" s="2274"/>
      <c r="F185" s="2274"/>
      <c r="G185" s="2274"/>
      <c r="H185" s="2274"/>
      <c r="I185" s="2274"/>
      <c r="J185" s="2274"/>
      <c r="K185" s="2274"/>
      <c r="L185" s="2274"/>
      <c r="M185" s="2274"/>
      <c r="N185" s="2274"/>
      <c r="O185" s="2274"/>
      <c r="P185" s="2274"/>
      <c r="Q185" s="2274"/>
    </row>
    <row r="186" spans="1:17">
      <c r="A186" s="751"/>
      <c r="B186" s="2274"/>
      <c r="C186" s="2274"/>
      <c r="E186" s="2274"/>
      <c r="F186" s="2274"/>
      <c r="G186" s="2274"/>
    </row>
    <row r="187" spans="1:17">
      <c r="A187" s="751"/>
      <c r="B187" s="2274"/>
      <c r="C187" s="2274"/>
      <c r="E187" s="2274"/>
      <c r="F187" s="2274"/>
      <c r="G187" s="227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21" sqref="D21"/>
    </sheetView>
  </sheetViews>
  <sheetFormatPr defaultColWidth="9" defaultRowHeight="14.4"/>
  <cols>
    <col min="1" max="1" width="25" style="2298" customWidth="1"/>
    <col min="2" max="9" width="15.77734375" style="2298" customWidth="1"/>
    <col min="10" max="16384" width="9" style="2298"/>
  </cols>
  <sheetData>
    <row r="1" spans="1:11" ht="16.2">
      <c r="A1" s="2297" t="s">
        <v>665</v>
      </c>
      <c r="B1" s="2297">
        <f>SUM(B14:B23)</f>
        <v>57.2</v>
      </c>
      <c r="C1" s="2459"/>
      <c r="D1" s="2459"/>
      <c r="E1" s="2459"/>
      <c r="F1" s="2459"/>
      <c r="G1" s="2460"/>
      <c r="H1" s="2460"/>
      <c r="I1" s="2460"/>
      <c r="J1" s="2460"/>
      <c r="K1" s="2460"/>
    </row>
    <row r="2" spans="1:11" ht="16.2">
      <c r="A2" s="2297" t="s">
        <v>653</v>
      </c>
      <c r="B2" s="2297">
        <f>SUM(C14:C23)</f>
        <v>0</v>
      </c>
      <c r="C2" s="2459"/>
      <c r="D2" s="2459"/>
      <c r="E2" s="2459"/>
      <c r="F2" s="2459"/>
      <c r="G2" s="2460"/>
      <c r="H2" s="2460"/>
      <c r="I2" s="2460"/>
      <c r="J2" s="2460"/>
      <c r="K2" s="2460"/>
    </row>
    <row r="3" spans="1:11" ht="15.6">
      <c r="A3" s="2297" t="s">
        <v>662</v>
      </c>
      <c r="B3" s="2299">
        <f>项目基本情况!D3</f>
        <v>45755</v>
      </c>
      <c r="C3" s="2459"/>
      <c r="D3" s="2459"/>
      <c r="E3" s="2459"/>
      <c r="F3" s="2459"/>
      <c r="G3" s="2460"/>
      <c r="H3" s="2460"/>
      <c r="I3" s="2460"/>
      <c r="J3" s="2460"/>
      <c r="K3" s="2460"/>
    </row>
    <row r="4" spans="1:11" ht="31.2">
      <c r="A4" s="2297" t="s">
        <v>661</v>
      </c>
      <c r="B4" s="2297" t="s">
        <v>660</v>
      </c>
      <c r="C4" s="2297" t="s">
        <v>659</v>
      </c>
      <c r="D4" s="2297" t="s">
        <v>658</v>
      </c>
      <c r="E4" s="2459"/>
      <c r="F4" s="2460"/>
      <c r="G4" s="2460"/>
      <c r="H4" s="2460"/>
      <c r="I4" s="2460"/>
      <c r="J4" s="2460"/>
      <c r="K4" s="2460"/>
    </row>
    <row r="5" spans="1:11" ht="15.6">
      <c r="A5" s="2297" t="s">
        <v>657</v>
      </c>
      <c r="B5" s="2297">
        <f ca="1">SUM(D14:D23)</f>
        <v>303</v>
      </c>
      <c r="C5" s="2297" t="e">
        <f ca="1">IF(B5=D14,结果表!H102,ROUND(B5*10000/$B$1,0))</f>
        <v>#DIV/0!</v>
      </c>
      <c r="D5" s="2297" t="e">
        <f ca="1">ROUND(B5*10000/$B$2,0)</f>
        <v>#DIV/0!</v>
      </c>
      <c r="E5" s="2459"/>
      <c r="F5" s="2460"/>
      <c r="G5" s="2460"/>
      <c r="H5" s="2460"/>
      <c r="I5" s="2460"/>
      <c r="J5" s="2460"/>
      <c r="K5" s="2460"/>
    </row>
    <row r="6" spans="1:11" ht="15.6">
      <c r="A6" s="2297" t="s">
        <v>656</v>
      </c>
      <c r="B6" s="2297">
        <f>SUM(G14:G23)</f>
        <v>0</v>
      </c>
      <c r="C6" s="2297">
        <f ca="1">IF(B6=G14,结果表!H108,ROUND(B6*10000/$B$1,0))</f>
        <v>0</v>
      </c>
      <c r="D6" s="2297" t="e">
        <f>ROUND(B6*10000/$B$2,0)</f>
        <v>#DIV/0!</v>
      </c>
      <c r="E6" s="2459"/>
      <c r="F6" s="2460"/>
      <c r="G6" s="2460"/>
      <c r="H6" s="2460"/>
      <c r="I6" s="2460"/>
      <c r="J6" s="2460"/>
      <c r="K6" s="2460"/>
    </row>
    <row r="7" spans="1:11" ht="15.6">
      <c r="A7" s="2297" t="s">
        <v>664</v>
      </c>
      <c r="B7" s="2297">
        <f>SUM(H14:H23)</f>
        <v>0</v>
      </c>
      <c r="C7" s="2297" t="str">
        <f>IF(B7=H14,结果表!H110,ROUND(B7*10000/$B$1,0))</f>
        <v>——</v>
      </c>
      <c r="D7" s="2297" t="e">
        <f>ROUND(B7*10000/$B$2,0)</f>
        <v>#DIV/0!</v>
      </c>
      <c r="E7" s="2459"/>
      <c r="F7" s="2460"/>
      <c r="G7" s="2460"/>
      <c r="H7" s="2460"/>
      <c r="I7" s="2460"/>
      <c r="J7" s="2460"/>
      <c r="K7" s="2460"/>
    </row>
    <row r="8" spans="1:11" ht="15.6">
      <c r="A8" s="2297" t="s">
        <v>587</v>
      </c>
      <c r="B8" s="2297">
        <f>SUM(I14:I23)</f>
        <v>0</v>
      </c>
      <c r="C8" s="2297" t="str">
        <f>IF(B8=I14,结果表!H112,ROUND(B8*10000/$B$1,0))</f>
        <v>——</v>
      </c>
      <c r="D8" s="2297" t="e">
        <f>ROUND(B8*10000/$B$2,0)</f>
        <v>#DIV/0!</v>
      </c>
      <c r="E8" s="2459"/>
      <c r="F8" s="2460"/>
      <c r="G8" s="2460"/>
      <c r="H8" s="2460"/>
      <c r="I8" s="2460"/>
      <c r="J8" s="2460"/>
      <c r="K8" s="2460"/>
    </row>
    <row r="9" spans="1:11" ht="15.6">
      <c r="A9" s="2297" t="s">
        <v>655</v>
      </c>
      <c r="B9" s="1244"/>
      <c r="C9" s="2459"/>
      <c r="D9" s="2459"/>
      <c r="E9" s="2459"/>
      <c r="F9" s="2460"/>
      <c r="G9" s="2460"/>
      <c r="H9" s="2460"/>
      <c r="I9" s="2460"/>
      <c r="J9" s="2460"/>
      <c r="K9" s="2460"/>
    </row>
    <row r="10" spans="1:11" ht="15.6">
      <c r="A10" s="2297" t="s">
        <v>654</v>
      </c>
      <c r="B10" s="2297">
        <f>IF(E10="",0,ROUND(B1*(E10*365/G10)/10000,0))</f>
        <v>0</v>
      </c>
      <c r="C10" s="2297" t="s">
        <v>3355</v>
      </c>
      <c r="D10" s="2297" t="s">
        <v>3356</v>
      </c>
      <c r="E10" s="3134"/>
      <c r="F10" s="3138" t="s">
        <v>3357</v>
      </c>
      <c r="G10" s="3135"/>
      <c r="H10" s="2460"/>
      <c r="I10" s="2460"/>
      <c r="J10" s="2460"/>
      <c r="K10" s="2460"/>
    </row>
    <row r="11" spans="1:11" ht="15.6">
      <c r="A11" s="2297" t="s">
        <v>670</v>
      </c>
      <c r="B11" s="1244"/>
      <c r="C11" s="2459"/>
      <c r="D11" s="2459"/>
      <c r="E11" s="2459"/>
      <c r="F11" s="2460"/>
      <c r="G11" s="2460"/>
      <c r="H11" s="2460"/>
      <c r="I11" s="2460"/>
      <c r="J11" s="2460"/>
      <c r="K11" s="2460"/>
    </row>
    <row r="12" spans="1:11" ht="15.6">
      <c r="A12" s="2459"/>
      <c r="B12" s="2459"/>
      <c r="C12" s="2459"/>
      <c r="D12" s="2459"/>
      <c r="E12" s="2459"/>
      <c r="F12" s="2460"/>
      <c r="G12" s="2460"/>
      <c r="H12" s="2460"/>
      <c r="I12" s="2460"/>
      <c r="J12" s="2460"/>
      <c r="K12" s="2460"/>
    </row>
    <row r="13" spans="1:11" ht="31.8">
      <c r="A13" s="2300" t="s">
        <v>669</v>
      </c>
      <c r="B13" s="2301" t="s">
        <v>666</v>
      </c>
      <c r="C13" s="2301" t="s">
        <v>668</v>
      </c>
      <c r="D13" s="2301" t="s">
        <v>667</v>
      </c>
      <c r="E13" s="2297" t="s">
        <v>659</v>
      </c>
      <c r="F13" s="2297" t="s">
        <v>658</v>
      </c>
      <c r="G13" s="2301" t="s">
        <v>652</v>
      </c>
      <c r="H13" s="2301" t="s">
        <v>663</v>
      </c>
      <c r="I13" s="2301" t="s">
        <v>651</v>
      </c>
      <c r="J13" s="2460"/>
      <c r="K13" s="2460"/>
    </row>
    <row r="14" spans="1:11" ht="15.6">
      <c r="A14" s="2302" t="s">
        <v>650</v>
      </c>
      <c r="B14" s="2303">
        <f>'数据-汇总表'!E19</f>
        <v>57.2</v>
      </c>
      <c r="C14" s="2303"/>
      <c r="D14" s="2303">
        <f ca="1">结果表!G19</f>
        <v>303</v>
      </c>
      <c r="E14" s="2303">
        <f ca="1">ROUND(D14*10000/B14,0)</f>
        <v>52972</v>
      </c>
      <c r="F14" s="2303" t="e">
        <f ca="1">ROUND(D14*10000/C14,0)</f>
        <v>#DIV/0!</v>
      </c>
      <c r="G14" s="2303"/>
      <c r="H14" s="2303"/>
      <c r="I14" s="2303"/>
      <c r="J14" s="2460"/>
      <c r="K14" s="2460"/>
    </row>
    <row r="15" spans="1:11" ht="15.6">
      <c r="A15" s="2302" t="s">
        <v>649</v>
      </c>
      <c r="B15" s="2304"/>
      <c r="C15" s="2304"/>
      <c r="D15" s="2304"/>
      <c r="E15" s="2303" t="e">
        <f t="shared" ref="E15:E23" si="0">ROUND(D15*10000/B15,0)</f>
        <v>#DIV/0!</v>
      </c>
      <c r="F15" s="2303" t="e">
        <f t="shared" ref="F15:F23" si="1">ROUND(D15*10000/C15,0)</f>
        <v>#DIV/0!</v>
      </c>
      <c r="G15" s="1244"/>
      <c r="H15" s="1244"/>
      <c r="I15" s="2304"/>
      <c r="J15" s="2460"/>
      <c r="K15" s="2460"/>
    </row>
    <row r="16" spans="1:11" ht="15.6">
      <c r="A16" s="2302" t="s">
        <v>648</v>
      </c>
      <c r="B16" s="2304"/>
      <c r="C16" s="2304"/>
      <c r="D16" s="2304"/>
      <c r="E16" s="2303" t="e">
        <f t="shared" si="0"/>
        <v>#DIV/0!</v>
      </c>
      <c r="F16" s="2303" t="e">
        <f t="shared" si="1"/>
        <v>#DIV/0!</v>
      </c>
      <c r="G16" s="1244"/>
      <c r="H16" s="1244"/>
      <c r="I16" s="2304"/>
      <c r="J16" s="2460"/>
      <c r="K16" s="2460"/>
    </row>
    <row r="17" spans="1:11" ht="15.6">
      <c r="A17" s="2302" t="s">
        <v>647</v>
      </c>
      <c r="B17" s="2304"/>
      <c r="C17" s="2304"/>
      <c r="D17" s="2304"/>
      <c r="E17" s="2303" t="e">
        <f t="shared" si="0"/>
        <v>#DIV/0!</v>
      </c>
      <c r="F17" s="2303" t="e">
        <f t="shared" si="1"/>
        <v>#DIV/0!</v>
      </c>
      <c r="G17" s="1244"/>
      <c r="H17" s="1244"/>
      <c r="I17" s="2304"/>
      <c r="J17" s="2460"/>
      <c r="K17" s="2460"/>
    </row>
    <row r="18" spans="1:11" ht="15.6">
      <c r="A18" s="2302" t="s">
        <v>646</v>
      </c>
      <c r="B18" s="2304"/>
      <c r="C18" s="2304"/>
      <c r="D18" s="2304"/>
      <c r="E18" s="2303" t="e">
        <f t="shared" si="0"/>
        <v>#DIV/0!</v>
      </c>
      <c r="F18" s="2303" t="e">
        <f t="shared" si="1"/>
        <v>#DIV/0!</v>
      </c>
      <c r="G18" s="2304"/>
      <c r="H18" s="2304"/>
      <c r="I18" s="2304"/>
      <c r="J18" s="2460"/>
      <c r="K18" s="2460"/>
    </row>
    <row r="19" spans="1:11" ht="15.6">
      <c r="A19" s="2302" t="s">
        <v>645</v>
      </c>
      <c r="B19" s="2304"/>
      <c r="C19" s="2304"/>
      <c r="D19" s="2304"/>
      <c r="E19" s="2303" t="e">
        <f t="shared" si="0"/>
        <v>#DIV/0!</v>
      </c>
      <c r="F19" s="2303" t="e">
        <f t="shared" si="1"/>
        <v>#DIV/0!</v>
      </c>
      <c r="G19" s="2304"/>
      <c r="H19" s="2304"/>
      <c r="I19" s="2304"/>
      <c r="J19" s="2460"/>
      <c r="K19" s="2460"/>
    </row>
    <row r="20" spans="1:11" ht="15.6">
      <c r="A20" s="2302" t="s">
        <v>644</v>
      </c>
      <c r="B20" s="2304"/>
      <c r="C20" s="2304"/>
      <c r="D20" s="2304"/>
      <c r="E20" s="2303" t="e">
        <f t="shared" si="0"/>
        <v>#DIV/0!</v>
      </c>
      <c r="F20" s="2303" t="e">
        <f t="shared" si="1"/>
        <v>#DIV/0!</v>
      </c>
      <c r="G20" s="2304"/>
      <c r="H20" s="2304"/>
      <c r="I20" s="2304"/>
      <c r="J20" s="2460"/>
      <c r="K20" s="2460"/>
    </row>
    <row r="21" spans="1:11" ht="15.6">
      <c r="A21" s="2302" t="s">
        <v>643</v>
      </c>
      <c r="B21" s="2304"/>
      <c r="C21" s="2304"/>
      <c r="D21" s="2304"/>
      <c r="E21" s="2303" t="e">
        <f t="shared" si="0"/>
        <v>#DIV/0!</v>
      </c>
      <c r="F21" s="2303" t="e">
        <f t="shared" si="1"/>
        <v>#DIV/0!</v>
      </c>
      <c r="G21" s="2304"/>
      <c r="H21" s="2304"/>
      <c r="I21" s="2304"/>
      <c r="J21" s="2460"/>
      <c r="K21" s="2460"/>
    </row>
    <row r="22" spans="1:11" ht="15.6">
      <c r="A22" s="2302" t="s">
        <v>642</v>
      </c>
      <c r="B22" s="2304"/>
      <c r="C22" s="2304"/>
      <c r="D22" s="2304"/>
      <c r="E22" s="2303" t="e">
        <f t="shared" si="0"/>
        <v>#DIV/0!</v>
      </c>
      <c r="F22" s="2303" t="e">
        <f t="shared" si="1"/>
        <v>#DIV/0!</v>
      </c>
      <c r="G22" s="2304"/>
      <c r="H22" s="2304"/>
      <c r="I22" s="2304"/>
      <c r="J22" s="2460"/>
      <c r="K22" s="2460"/>
    </row>
    <row r="23" spans="1:11" ht="15.6">
      <c r="A23" s="2302" t="s">
        <v>641</v>
      </c>
      <c r="B23" s="2304"/>
      <c r="C23" s="2304"/>
      <c r="D23" s="2304"/>
      <c r="E23" s="1244" t="e">
        <f t="shared" si="0"/>
        <v>#DIV/0!</v>
      </c>
      <c r="F23" s="1244" t="e">
        <f t="shared" si="1"/>
        <v>#DIV/0!</v>
      </c>
      <c r="G23" s="2304"/>
      <c r="H23" s="2304"/>
      <c r="I23" s="2304"/>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F27" sqref="F27"/>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t="s">
        <v>3422</v>
      </c>
      <c r="D1" s="646"/>
      <c r="E1" s="646"/>
      <c r="F1" s="1621" t="s">
        <v>1263</v>
      </c>
      <c r="G1" s="1453"/>
      <c r="H1" s="1621" t="str">
        <f>IF(G1="现房","——","估价对象范围")</f>
        <v>估价对象范围</v>
      </c>
      <c r="I1" s="1622"/>
    </row>
    <row r="2" spans="1:12" ht="21.75" customHeight="1" thickBot="1">
      <c r="A2" s="3342" t="str">
        <f>项目基本情况!S2</f>
        <v>北京市房地产</v>
      </c>
      <c r="B2" s="3343"/>
      <c r="C2" s="3343"/>
      <c r="D2" s="3343"/>
      <c r="E2" s="3343"/>
      <c r="F2" s="3343"/>
      <c r="G2" s="3343"/>
      <c r="H2" s="3343"/>
      <c r="I2" s="3344"/>
    </row>
    <row r="3" spans="1:12" ht="13.2">
      <c r="A3" s="3346" t="s">
        <v>1264</v>
      </c>
      <c r="B3" s="3347"/>
      <c r="C3" s="3347"/>
      <c r="D3" s="3347"/>
      <c r="E3" s="3347"/>
      <c r="F3" s="3347"/>
      <c r="G3" s="3347"/>
      <c r="H3" s="3347"/>
      <c r="I3" s="3347"/>
    </row>
    <row r="4" spans="1:12" ht="14.4">
      <c r="A4" s="1624" t="s">
        <v>1265</v>
      </c>
      <c r="B4" s="1625" t="s">
        <v>1266</v>
      </c>
      <c r="C4" s="1626" t="s">
        <v>3429</v>
      </c>
      <c r="D4" s="1626" t="s">
        <v>3490</v>
      </c>
      <c r="E4" s="3351" t="s">
        <v>1267</v>
      </c>
      <c r="F4" s="3352"/>
      <c r="G4" s="3352"/>
      <c r="H4" s="3352"/>
      <c r="I4" s="3353"/>
      <c r="K4" s="138" t="str">
        <f>IF(ISNUMBER(FIND("比较法",结果表!C4)),"比较法",IF(ISNUMBER(FIND("成本法",结果表!C4)),"成本法",IF(ISNUMBER(FIND("假设开发法",结果表!C4)),"假设开发法",IF(ISNUMBER(FIND("收益法",结果表!C4)),"收益法","基准地价系数修正法"))))</f>
        <v>收益法</v>
      </c>
      <c r="L4" s="138" t="str">
        <f>IF(ISNUMBER(FIND("比较法",结果表!D4)),"比较法",IF(ISNUMBER(FIND("成本法",结果表!D4)),"成本法",IF(ISNUMBER(FIND("假设开发法",结果表!D4)),"假设开发法",IF(ISNUMBER(FIND("收益法",结果表!D4)),"收益法","基准地价系数修正法"))))</f>
        <v>比较法</v>
      </c>
    </row>
    <row r="5" spans="1:12" ht="13.2">
      <c r="A5" s="3290" t="s">
        <v>1268</v>
      </c>
      <c r="B5" s="3345">
        <v>25</v>
      </c>
      <c r="C5" s="3348">
        <v>3</v>
      </c>
      <c r="D5" s="3336">
        <f>10-C5</f>
        <v>7</v>
      </c>
      <c r="E5" s="123" t="s">
        <v>1269</v>
      </c>
      <c r="F5" s="1627"/>
      <c r="G5" s="1627"/>
      <c r="H5" s="1627"/>
      <c r="I5" s="1281"/>
    </row>
    <row r="6" spans="1:12" ht="13.8" thickBot="1">
      <c r="A6" s="3290"/>
      <c r="B6" s="3345"/>
      <c r="C6" s="3350"/>
      <c r="D6" s="3336"/>
      <c r="E6" s="123" t="s">
        <v>1270</v>
      </c>
      <c r="F6" s="1627"/>
      <c r="G6" s="1627"/>
      <c r="H6" s="1627"/>
      <c r="I6" s="1281"/>
    </row>
    <row r="7" spans="1:12" ht="13.2" hidden="1">
      <c r="A7" s="3290"/>
      <c r="B7" s="3345"/>
      <c r="C7" s="3349"/>
      <c r="D7" s="3336"/>
      <c r="E7" s="123" t="s">
        <v>1271</v>
      </c>
      <c r="F7" s="1627"/>
      <c r="G7" s="1627"/>
      <c r="H7" s="1627"/>
      <c r="I7" s="1281"/>
    </row>
    <row r="8" spans="1:12" ht="13.2" hidden="1">
      <c r="A8" s="3290" t="s">
        <v>1272</v>
      </c>
      <c r="B8" s="3345">
        <v>15</v>
      </c>
      <c r="C8" s="3348"/>
      <c r="D8" s="3336"/>
      <c r="E8" s="123" t="s">
        <v>1273</v>
      </c>
      <c r="F8" s="1627"/>
      <c r="G8" s="1627"/>
      <c r="H8" s="1627"/>
      <c r="I8" s="1281"/>
    </row>
    <row r="9" spans="1:12" ht="13.2" hidden="1">
      <c r="A9" s="3290"/>
      <c r="B9" s="3345"/>
      <c r="C9" s="3349"/>
      <c r="D9" s="3336"/>
      <c r="E9" s="123" t="s">
        <v>1274</v>
      </c>
      <c r="F9" s="1627"/>
      <c r="G9" s="1627"/>
      <c r="H9" s="1627"/>
      <c r="I9" s="1281"/>
    </row>
    <row r="10" spans="1:12" ht="13.2" hidden="1">
      <c r="A10" s="3290" t="s">
        <v>1275</v>
      </c>
      <c r="B10" s="3345">
        <v>15</v>
      </c>
      <c r="C10" s="3348"/>
      <c r="D10" s="3336"/>
      <c r="E10" s="123" t="s">
        <v>1276</v>
      </c>
      <c r="F10" s="1627"/>
      <c r="G10" s="1627"/>
      <c r="H10" s="1627"/>
      <c r="I10" s="1281"/>
    </row>
    <row r="11" spans="1:12" ht="13.2" hidden="1">
      <c r="A11" s="3290"/>
      <c r="B11" s="3345"/>
      <c r="C11" s="3349"/>
      <c r="D11" s="3336"/>
      <c r="E11" s="123" t="s">
        <v>1277</v>
      </c>
      <c r="F11" s="1627"/>
      <c r="G11" s="1627"/>
      <c r="H11" s="1627"/>
      <c r="I11" s="1281"/>
    </row>
    <row r="12" spans="1:12" ht="13.2" hidden="1">
      <c r="A12" s="3290" t="s">
        <v>1278</v>
      </c>
      <c r="B12" s="3345">
        <v>15</v>
      </c>
      <c r="C12" s="3348"/>
      <c r="D12" s="3336"/>
      <c r="E12" s="123" t="s">
        <v>1279</v>
      </c>
      <c r="F12" s="1627"/>
      <c r="G12" s="1627"/>
      <c r="H12" s="1627"/>
      <c r="I12" s="1281"/>
    </row>
    <row r="13" spans="1:12" ht="13.2" hidden="1">
      <c r="A13" s="3290"/>
      <c r="B13" s="3345"/>
      <c r="C13" s="3349"/>
      <c r="D13" s="3336"/>
      <c r="E13" s="123" t="s">
        <v>1280</v>
      </c>
      <c r="F13" s="1627"/>
      <c r="G13" s="1627"/>
      <c r="H13" s="1627"/>
      <c r="I13" s="1281"/>
    </row>
    <row r="14" spans="1:12" ht="13.2" hidden="1">
      <c r="A14" s="3290" t="s">
        <v>1281</v>
      </c>
      <c r="B14" s="3345">
        <v>30</v>
      </c>
      <c r="C14" s="3348"/>
      <c r="D14" s="3336"/>
      <c r="E14" s="123" t="s">
        <v>1282</v>
      </c>
      <c r="F14" s="1627"/>
      <c r="G14" s="1627"/>
      <c r="H14" s="1627"/>
      <c r="I14" s="1281"/>
    </row>
    <row r="15" spans="1:12" ht="13.2" hidden="1">
      <c r="A15" s="3290"/>
      <c r="B15" s="3345"/>
      <c r="C15" s="3350"/>
      <c r="D15" s="3336"/>
      <c r="E15" s="123" t="s">
        <v>1283</v>
      </c>
      <c r="F15" s="1627"/>
      <c r="G15" s="1627"/>
      <c r="H15" s="1627"/>
      <c r="I15" s="1281"/>
    </row>
    <row r="16" spans="1:12" ht="13.2" hidden="1">
      <c r="A16" s="3290"/>
      <c r="B16" s="3345"/>
      <c r="C16" s="3349"/>
      <c r="D16" s="3336"/>
      <c r="E16" s="123" t="s">
        <v>1284</v>
      </c>
      <c r="F16" s="1627"/>
      <c r="G16" s="1627"/>
      <c r="H16" s="1627"/>
      <c r="I16" s="1281"/>
    </row>
    <row r="17" spans="1:36" ht="14.4" hidden="1">
      <c r="A17" s="1628" t="s">
        <v>1285</v>
      </c>
      <c r="B17" s="54"/>
      <c r="C17" s="124">
        <f>SUM(C5:C16)</f>
        <v>3</v>
      </c>
      <c r="D17" s="124">
        <f>SUM(D5:D16)</f>
        <v>7</v>
      </c>
      <c r="E17" s="121"/>
      <c r="F17" s="121"/>
      <c r="G17" s="121"/>
      <c r="H17" s="121"/>
      <c r="I17" s="121"/>
      <c r="K17" s="294"/>
      <c r="L17" s="294" t="s">
        <v>1286</v>
      </c>
      <c r="M17" s="294" t="s">
        <v>1287</v>
      </c>
    </row>
    <row r="18" spans="1:36" ht="31.95" hidden="1" customHeight="1" thickBot="1">
      <c r="A18" s="1629" t="s">
        <v>1288</v>
      </c>
      <c r="B18" s="1542"/>
      <c r="C18" s="125">
        <f>ROUND(C17/SUM(C17:D17),2)</f>
        <v>0.3</v>
      </c>
      <c r="D18" s="125">
        <f>1-C18</f>
        <v>0.7</v>
      </c>
      <c r="E18" s="3367" t="s">
        <v>2131</v>
      </c>
      <c r="F18" s="3368"/>
      <c r="G18" s="3368"/>
      <c r="H18" s="3368"/>
      <c r="I18" s="3368"/>
      <c r="K18" s="294" t="s">
        <v>1289</v>
      </c>
      <c r="L18" s="294">
        <f>IF(C1="",'数据-汇总表'!E3,SUMIF(项目类型,C1,'数据-汇总表'!E17:E26)+SUMIF(项目类型,C1,'数据-汇总表'!I17:I26))</f>
        <v>57.2</v>
      </c>
      <c r="M18" s="294">
        <f>IF(C1="",'数据-汇总表'!E3,SUMIF(项目类型,C1,'数据-汇总表'!E17:E26))</f>
        <v>57.2</v>
      </c>
    </row>
    <row r="19" spans="1:36" ht="14.4">
      <c r="A19" s="1630" t="s">
        <v>1290</v>
      </c>
      <c r="B19" s="1631" t="s">
        <v>1291</v>
      </c>
      <c r="C19" s="126">
        <f ca="1">SUMIF(INDIRECT("'"&amp;C4&amp;"'"&amp;"!A:A"),结果表!B19,INDIRECT("'"&amp;C4&amp;"'"&amp;"!B:B"))</f>
        <v>274.77530000000002</v>
      </c>
      <c r="D19" s="127">
        <f ca="1">SUMIF(INDIRECT("'"&amp;D4&amp;"'"&amp;"!A:A"),结果表!B19,INDIRECT("'"&amp;D4&amp;"'"&amp;"!B:B"))</f>
        <v>315.08049999999997</v>
      </c>
      <c r="E19" s="1630" t="s">
        <v>1292</v>
      </c>
      <c r="F19" s="1631" t="s">
        <v>1291</v>
      </c>
      <c r="G19" s="128">
        <f ca="1">ROUND(C19*$C$18+D19*$D$18,0)</f>
        <v>303</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f ca="1">SUMIF(INDIRECT("'"&amp;C4&amp;"'"&amp;"!A:A"),结果表!B20,INDIRECT("'"&amp;C4&amp;"'"&amp;"!B:B"))</f>
        <v>48038</v>
      </c>
      <c r="D20" s="130">
        <f ca="1">SUMIF(INDIRECT("'"&amp;D4&amp;"'"&amp;"!A:A"),结果表!B20,INDIRECT("'"&amp;D4&amp;"'"&amp;"!B:B"))</f>
        <v>55084</v>
      </c>
      <c r="E20" s="1633"/>
      <c r="F20" s="43" t="s">
        <v>1295</v>
      </c>
      <c r="G20" s="131">
        <f ca="1">ROUND(C20*$C$18+D20*$D$18,0)</f>
        <v>52970</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0.14668421797737996</v>
      </c>
      <c r="E22" s="121"/>
      <c r="F22" s="3186" t="s">
        <v>3547</v>
      </c>
      <c r="G22" s="121">
        <f ca="1">ROUND(G20*'数据-汇总表'!E3,0)</f>
        <v>3029884</v>
      </c>
      <c r="H22" s="121"/>
      <c r="I22" s="121"/>
    </row>
    <row r="23" spans="1:36" ht="13.8" thickBot="1">
      <c r="A23" s="646"/>
      <c r="B23" s="646"/>
      <c r="C23" s="646"/>
      <c r="D23" s="646"/>
      <c r="E23" s="121"/>
      <c r="F23" s="3186" t="s">
        <v>3548</v>
      </c>
      <c r="G23" s="121">
        <f ca="1">ROUND(G22*3%,0)</f>
        <v>90897</v>
      </c>
      <c r="H23" s="121"/>
      <c r="I23" s="121"/>
    </row>
    <row r="24" spans="1:36" ht="14.4">
      <c r="A24" s="3360" t="s">
        <v>1299</v>
      </c>
      <c r="B24" s="1631" t="s">
        <v>1291</v>
      </c>
      <c r="C24" s="128">
        <f>IF(B30=0,0,D30)</f>
        <v>0</v>
      </c>
      <c r="D24" s="1637"/>
      <c r="E24" s="121"/>
      <c r="F24" s="3186" t="s">
        <v>3549</v>
      </c>
      <c r="G24" s="122">
        <f ca="1">G22-G23</f>
        <v>2938987</v>
      </c>
      <c r="H24" s="121"/>
      <c r="I24" s="121"/>
    </row>
    <row r="25" spans="1:36" ht="15.6">
      <c r="A25" s="3361"/>
      <c r="B25" s="43" t="s">
        <v>1295</v>
      </c>
      <c r="C25" s="133">
        <f>IF(B30=0,0,C30)</f>
        <v>0</v>
      </c>
      <c r="D25" s="1638"/>
      <c r="E25" s="121"/>
      <c r="F25" s="3186" t="s">
        <v>3550</v>
      </c>
      <c r="G25" s="121">
        <f ca="1">ROUND(G24/'数据-汇总表'!F19,)</f>
        <v>51381</v>
      </c>
      <c r="H25" s="121"/>
      <c r="I25" s="121"/>
      <c r="K25" s="3185" t="s">
        <v>3546</v>
      </c>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f ca="1">G20/'比较法-住宅'!G47</f>
        <v>1.052161131415859</v>
      </c>
      <c r="H28" s="121">
        <f ca="1">G25*0.9</f>
        <v>46242.9</v>
      </c>
      <c r="I28" s="121"/>
    </row>
    <row r="29" spans="1:36" ht="13.8">
      <c r="A29" s="1639"/>
      <c r="B29" s="134"/>
      <c r="C29" s="134"/>
      <c r="D29" s="135"/>
      <c r="E29" s="121"/>
      <c r="F29" s="121"/>
      <c r="G29" s="121"/>
      <c r="H29" s="121"/>
      <c r="I29" s="121"/>
    </row>
    <row r="30" spans="1:36" ht="15" thickBot="1">
      <c r="A30" s="134" t="s">
        <v>1304</v>
      </c>
      <c r="B30" s="134"/>
      <c r="C30" s="134"/>
      <c r="D30" s="134"/>
      <c r="E30" s="2124" t="s">
        <v>2132</v>
      </c>
      <c r="F30" s="121"/>
      <c r="G30" s="121"/>
      <c r="H30" s="121"/>
      <c r="I30" s="121"/>
    </row>
    <row r="31" spans="1:36" s="2130" customFormat="1" ht="26.4" customHeight="1" thickTop="1" thickBot="1">
      <c r="A31" s="2125"/>
      <c r="B31" s="2126"/>
      <c r="C31" s="2126"/>
      <c r="D31" s="2126"/>
      <c r="E31" s="2126"/>
      <c r="F31" s="2126"/>
      <c r="G31" s="2126"/>
      <c r="H31" s="2126"/>
      <c r="I31" s="2127" t="s">
        <v>2133</v>
      </c>
      <c r="J31" s="2461"/>
      <c r="K31" s="2128"/>
      <c r="L31" s="2128"/>
      <c r="M31" s="2128"/>
      <c r="N31" s="2128"/>
      <c r="O31" s="2128"/>
      <c r="P31" s="2128"/>
      <c r="Q31" s="2128"/>
      <c r="R31" s="2128"/>
      <c r="S31" s="2128"/>
      <c r="T31" s="2128"/>
      <c r="U31" s="2128"/>
      <c r="V31" s="2128"/>
      <c r="W31" s="2128"/>
      <c r="X31" s="2128"/>
      <c r="Y31" s="2128"/>
      <c r="Z31" s="2128"/>
      <c r="AA31" s="2128"/>
      <c r="AB31" s="2129"/>
      <c r="AC31" s="2129"/>
      <c r="AD31" s="2129"/>
      <c r="AE31" s="2129"/>
      <c r="AF31" s="2129"/>
      <c r="AG31" s="2129"/>
      <c r="AH31" s="2129"/>
      <c r="AI31" s="2129"/>
      <c r="AJ31" s="2129"/>
    </row>
    <row r="32" spans="1:36" ht="15.6" thickTop="1" thickBot="1">
      <c r="A32" s="1640" t="s">
        <v>1305</v>
      </c>
      <c r="B32" s="1535"/>
      <c r="C32" s="136">
        <f ca="1">IF(D32="总价",G19-C24,G20-C25)</f>
        <v>52970</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337" t="s">
        <v>1312</v>
      </c>
      <c r="B36" s="1652" t="s">
        <v>1313</v>
      </c>
      <c r="C36" s="137"/>
      <c r="D36" s="1653"/>
      <c r="E36" s="1567"/>
      <c r="F36" s="1654"/>
      <c r="G36" s="121"/>
      <c r="H36" s="121"/>
      <c r="I36" s="121"/>
    </row>
    <row r="37" spans="1:15" ht="15" thickBot="1">
      <c r="A37" s="3338"/>
      <c r="B37" s="1555" t="s">
        <v>1314</v>
      </c>
      <c r="C37" s="139"/>
      <c r="D37" s="1071"/>
      <c r="E37" s="1071"/>
      <c r="F37" s="1654"/>
      <c r="G37" s="121"/>
      <c r="H37" s="121"/>
      <c r="I37" s="121"/>
    </row>
    <row r="38" spans="1:15" ht="15" thickBot="1">
      <c r="A38" s="3339"/>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357" t="s">
        <v>1326</v>
      </c>
      <c r="B45" s="3358"/>
      <c r="C45" s="3359"/>
      <c r="D45" s="147" t="e">
        <f ca="1">ROUND(H101*F45,0)</f>
        <v>#REF!</v>
      </c>
      <c r="E45" s="148" t="s">
        <v>1327</v>
      </c>
      <c r="F45" s="149">
        <v>1</v>
      </c>
      <c r="G45" s="150" t="s">
        <v>1328</v>
      </c>
      <c r="H45" s="121"/>
      <c r="I45" s="121"/>
      <c r="J45" s="3277" t="s">
        <v>1329</v>
      </c>
      <c r="K45" s="3277"/>
      <c r="L45" s="3277"/>
      <c r="M45" s="3277"/>
      <c r="N45" s="3277"/>
      <c r="O45" s="3277"/>
    </row>
    <row r="46" spans="1:15" ht="14.25" customHeight="1">
      <c r="A46" s="3354" t="s">
        <v>1330</v>
      </c>
      <c r="B46" s="3355"/>
      <c r="C46" s="3355"/>
      <c r="D46" s="3355"/>
      <c r="E46" s="3355"/>
      <c r="F46" s="3355"/>
      <c r="G46" s="3356"/>
      <c r="H46" s="1668"/>
      <c r="I46" s="151"/>
      <c r="J46" s="2307">
        <v>1</v>
      </c>
      <c r="K46" s="3278" t="s">
        <v>1331</v>
      </c>
      <c r="L46" s="3278"/>
      <c r="M46" s="3279"/>
      <c r="N46" s="3279"/>
      <c r="O46" s="3279"/>
    </row>
    <row r="47" spans="1:15" ht="12" customHeight="1">
      <c r="A47" s="152" t="s">
        <v>1332</v>
      </c>
      <c r="B47" s="153"/>
      <c r="C47" s="154"/>
      <c r="D47" s="1024" t="s">
        <v>1333</v>
      </c>
      <c r="E47" s="294" t="s">
        <v>1334</v>
      </c>
      <c r="F47" s="155" t="s">
        <v>1335</v>
      </c>
      <c r="G47" s="2330" t="s">
        <v>1336</v>
      </c>
      <c r="H47" s="2331"/>
      <c r="I47" s="151"/>
      <c r="J47" s="2307">
        <v>2</v>
      </c>
      <c r="K47" s="3278" t="s">
        <v>1337</v>
      </c>
      <c r="L47" s="3278"/>
      <c r="M47" s="3280">
        <f>'数据-取费表'!B2</f>
        <v>45755</v>
      </c>
      <c r="N47" s="3280"/>
      <c r="O47" s="3280"/>
    </row>
    <row r="48" spans="1:15" ht="26.4">
      <c r="A48" s="3340" t="s">
        <v>1338</v>
      </c>
      <c r="B48" s="3341"/>
      <c r="C48" s="3341"/>
      <c r="D48" s="12" t="b">
        <f>IF(H48="情况1",0,IF(H48="情况2",D52,IF(H48="情况3",D53,IF(H48="情况4",D54))))</f>
        <v>0</v>
      </c>
      <c r="E48" s="1256" t="str">
        <f>IF(H48="情况4","(销售额-原购置价)×税（费）率","销售额×税（费）率")</f>
        <v>销售额×税（费）率</v>
      </c>
      <c r="F48" s="2332">
        <f>IF(H48="情况1","免征",'数据-取费表'!B41)</f>
        <v>5.6000000000000001E-2</v>
      </c>
      <c r="G48" s="2333" t="s">
        <v>1339</v>
      </c>
      <c r="H48" s="2334"/>
      <c r="I48" s="1668"/>
      <c r="J48" s="2307">
        <v>3</v>
      </c>
      <c r="K48" s="3278" t="s">
        <v>1340</v>
      </c>
      <c r="L48" s="3278"/>
      <c r="M48" s="3281" t="e">
        <f ca="1">H101</f>
        <v>#REF!</v>
      </c>
      <c r="N48" s="3281"/>
      <c r="O48" s="3281"/>
    </row>
    <row r="49" spans="1:35" ht="25.5" customHeight="1">
      <c r="A49" s="2149" t="s">
        <v>1341</v>
      </c>
      <c r="B49" s="3326" t="s">
        <v>1342</v>
      </c>
      <c r="C49" s="3326"/>
      <c r="D49" s="1478">
        <v>0</v>
      </c>
      <c r="E49" s="316" t="s">
        <v>1343</v>
      </c>
      <c r="F49" s="2230" t="s">
        <v>28</v>
      </c>
      <c r="G49" s="3309"/>
      <c r="H49" s="2131" t="s">
        <v>2134</v>
      </c>
      <c r="I49" s="2132"/>
      <c r="J49" s="2307">
        <v>4</v>
      </c>
      <c r="K49" s="3278" t="str">
        <f>IF(项目基本情况!E8="房地产抵押价值","房地产抵押价值","抵押担保权已注销时的房地产抵押价值")</f>
        <v>抵押担保权已注销时的房地产抵押价值</v>
      </c>
      <c r="L49" s="3278"/>
      <c r="M49" s="3281" t="str">
        <f>IF(项目基本情况!E8="房地产抵押价值",H107,H109)</f>
        <v>——</v>
      </c>
      <c r="N49" s="3281"/>
      <c r="O49" s="3281"/>
    </row>
    <row r="50" spans="1:35" ht="25.5" customHeight="1">
      <c r="A50" s="2335"/>
      <c r="B50" s="3326" t="s">
        <v>1344</v>
      </c>
      <c r="C50" s="3326"/>
      <c r="D50" s="2186"/>
      <c r="E50" s="323"/>
      <c r="F50" s="2230"/>
      <c r="G50" s="3310"/>
      <c r="H50" s="2133" t="s">
        <v>2135</v>
      </c>
      <c r="I50" s="2132"/>
      <c r="J50" s="3277" t="s">
        <v>1345</v>
      </c>
      <c r="K50" s="3277"/>
      <c r="L50" s="3277"/>
      <c r="M50" s="3277"/>
      <c r="N50" s="3277"/>
      <c r="O50" s="3277"/>
    </row>
    <row r="51" spans="1:35" ht="20.399999999999999" customHeight="1">
      <c r="A51" s="2336"/>
      <c r="B51" s="3326" t="s">
        <v>1346</v>
      </c>
      <c r="C51" s="3326"/>
      <c r="D51" s="1024"/>
      <c r="E51" s="319"/>
      <c r="F51" s="2230"/>
      <c r="G51" s="3311"/>
      <c r="H51" s="2133" t="s">
        <v>2136</v>
      </c>
      <c r="I51" s="2132"/>
      <c r="J51" s="2308" t="s">
        <v>1347</v>
      </c>
      <c r="K51" s="3278" t="s">
        <v>1348</v>
      </c>
      <c r="L51" s="3278"/>
      <c r="M51" s="2308" t="s">
        <v>1349</v>
      </c>
      <c r="N51" s="2308" t="s">
        <v>1350</v>
      </c>
      <c r="O51" s="2308" t="s">
        <v>1351</v>
      </c>
    </row>
    <row r="52" spans="1:35" ht="24" customHeight="1">
      <c r="A52" s="2150" t="s">
        <v>1352</v>
      </c>
      <c r="B52" s="3326" t="s">
        <v>1353</v>
      </c>
      <c r="C52" s="3326"/>
      <c r="D52" s="1024" t="e">
        <f ca="1">ROUND(D45*'数据-取费表'!B41/(1+'数据-取费表'!C42),0)</f>
        <v>#REF!</v>
      </c>
      <c r="E52" s="1256" t="s">
        <v>1354</v>
      </c>
      <c r="F52" s="2337">
        <f>'数据-取费表'!B41</f>
        <v>5.6000000000000001E-2</v>
      </c>
      <c r="G52" s="2338"/>
      <c r="H52" s="2328"/>
      <c r="I52" s="1669"/>
      <c r="J52" s="2307">
        <v>1</v>
      </c>
      <c r="K52" s="3303" t="s">
        <v>1355</v>
      </c>
      <c r="L52" s="3303"/>
      <c r="M52" s="2309" t="b">
        <f>D48</f>
        <v>0</v>
      </c>
      <c r="N52" s="2307" t="str">
        <f>E48</f>
        <v>销售额×税（费）率</v>
      </c>
      <c r="O52" s="2310">
        <f>F48</f>
        <v>5.6000000000000001E-2</v>
      </c>
    </row>
    <row r="53" spans="1:35" ht="12" customHeight="1">
      <c r="A53" s="2150" t="s">
        <v>1356</v>
      </c>
      <c r="B53" s="3327" t="s">
        <v>2291</v>
      </c>
      <c r="C53" s="3328"/>
      <c r="D53" s="1024" t="e">
        <f ca="1">ROUND(D45*'数据-取费表'!B41/(1+'数据-取费表'!C42),0)</f>
        <v>#REF!</v>
      </c>
      <c r="E53" s="1256" t="s">
        <v>1354</v>
      </c>
      <c r="F53" s="2337">
        <f>'数据-取费表'!B41</f>
        <v>5.6000000000000001E-2</v>
      </c>
      <c r="G53" s="2338"/>
      <c r="H53" s="2328"/>
      <c r="I53" s="1669"/>
      <c r="J53" s="2307">
        <v>2</v>
      </c>
      <c r="K53" s="3303" t="s">
        <v>1357</v>
      </c>
      <c r="L53" s="3303"/>
      <c r="M53" s="2309" t="e">
        <f t="shared" ref="M53:O54" ca="1" si="0">D55</f>
        <v>#REF!</v>
      </c>
      <c r="N53" s="2307" t="str">
        <f t="shared" si="0"/>
        <v>销售额×税（费）率</v>
      </c>
      <c r="O53" s="2310" t="str">
        <f t="shared" si="0"/>
        <v>免征</v>
      </c>
    </row>
    <row r="54" spans="1:35" ht="12" customHeight="1">
      <c r="A54" s="2150" t="s">
        <v>1358</v>
      </c>
      <c r="B54" s="3327" t="s">
        <v>2292</v>
      </c>
      <c r="C54" s="3328"/>
      <c r="D54" s="1024" t="e">
        <f ca="1">C68</f>
        <v>#REF!</v>
      </c>
      <c r="E54" s="319" t="s">
        <v>1359</v>
      </c>
      <c r="F54" s="2337">
        <f>'数据-取费表'!B41</f>
        <v>5.6000000000000001E-2</v>
      </c>
      <c r="G54" s="2338"/>
      <c r="H54" s="2339"/>
      <c r="I54" s="1669"/>
      <c r="J54" s="2307">
        <v>3</v>
      </c>
      <c r="K54" s="3303" t="s">
        <v>1360</v>
      </c>
      <c r="L54" s="3303"/>
      <c r="M54" s="2309" t="e">
        <f t="shared" ca="1" si="0"/>
        <v>#REF!</v>
      </c>
      <c r="N54" s="2307" t="str">
        <f t="shared" si="0"/>
        <v>增值额×税（费）率</v>
      </c>
      <c r="O54" s="2311" t="str">
        <f t="shared" si="0"/>
        <v>免征</v>
      </c>
    </row>
    <row r="55" spans="1:35" ht="24" customHeight="1">
      <c r="A55" s="3363" t="s">
        <v>1361</v>
      </c>
      <c r="B55" s="3341"/>
      <c r="C55" s="3341"/>
      <c r="D55" s="12" t="e">
        <f ca="1">IF(H55="个人住宅",0,ROUND(D45*I55,0))</f>
        <v>#REF!</v>
      </c>
      <c r="E55" s="1256" t="s">
        <v>1362</v>
      </c>
      <c r="F55" s="2337" t="str">
        <f>IF(H55="正常",I55,"免征")</f>
        <v>免征</v>
      </c>
      <c r="G55" s="2338"/>
      <c r="H55" s="2334"/>
      <c r="I55" s="157">
        <f>'数据-取费表'!B49</f>
        <v>5.0000000000000001E-4</v>
      </c>
      <c r="J55" s="2307">
        <f>IF(H59="非个人房产","",4)</f>
        <v>4</v>
      </c>
      <c r="K55" s="3303" t="str">
        <f>IF(H59="非个人房产","——","个人所得税")</f>
        <v>个人所得税</v>
      </c>
      <c r="L55" s="3303"/>
      <c r="M55" s="2312" t="e">
        <f ca="1">D59</f>
        <v>#REF!</v>
      </c>
      <c r="N55" s="1880" t="str">
        <f>E59</f>
        <v>差额计税</v>
      </c>
      <c r="O55" s="2313">
        <f>F59</f>
        <v>0.01</v>
      </c>
    </row>
    <row r="56" spans="1:35" ht="25.2">
      <c r="A56" s="3363" t="s">
        <v>1363</v>
      </c>
      <c r="B56" s="3341"/>
      <c r="C56" s="3341"/>
      <c r="D56" s="12" t="e">
        <f ca="1">IF(H56="个人住宅",D57,D58)</f>
        <v>#REF!</v>
      </c>
      <c r="E56" s="1256" t="s">
        <v>1364</v>
      </c>
      <c r="F56" s="2337" t="str">
        <f>IF(H56="正常",F58,"免征")</f>
        <v>免征</v>
      </c>
      <c r="G56" s="2340" t="s">
        <v>1365</v>
      </c>
      <c r="H56" s="2341"/>
      <c r="I56" s="1670"/>
      <c r="J56" s="2307" t="str">
        <f>IF(项目基本情况!K6="上海银行",IF(J55="",4,J55+1),"")</f>
        <v/>
      </c>
      <c r="K56" s="3284" t="str">
        <f>IF(项目基本情况!K6="上海银行","其他处置费用","")</f>
        <v/>
      </c>
      <c r="L56" s="3285"/>
      <c r="M56" s="2309" t="str">
        <f>IF(项目基本情况!K6="上海银行",M69,"")</f>
        <v/>
      </c>
      <c r="N56" s="3284" t="str">
        <f>IF(项目基本情况!K6="上海银行","包含处置中涉及的律师、诉讼、拍卖、评估等费用","")</f>
        <v/>
      </c>
      <c r="O56" s="3287"/>
    </row>
    <row r="57" spans="1:35" ht="13.2">
      <c r="A57" s="2150" t="s">
        <v>1341</v>
      </c>
      <c r="B57" s="3327" t="s">
        <v>1366</v>
      </c>
      <c r="C57" s="3328"/>
      <c r="D57" s="1478">
        <v>0</v>
      </c>
      <c r="E57" s="316" t="s">
        <v>1343</v>
      </c>
      <c r="F57" s="294"/>
      <c r="G57" s="2338"/>
      <c r="H57" s="2342"/>
      <c r="I57" s="1670"/>
      <c r="J57" s="3303">
        <f>IF(AND(J55="",J56=""),4,IF(项目基本情况!K6="上海银行",结果表!J56+1,结果表!J55+1))</f>
        <v>5</v>
      </c>
      <c r="K57" s="3303" t="s">
        <v>1367</v>
      </c>
      <c r="L57" s="2314" t="s">
        <v>1368</v>
      </c>
      <c r="M57" s="2315"/>
      <c r="N57" s="2316">
        <f ca="1">SUMIF(M52:M56,"&lt;9e307")</f>
        <v>0</v>
      </c>
      <c r="O57" s="2317"/>
      <c r="P57" s="2462" t="e">
        <f ca="1">N57/M49</f>
        <v>#VALUE!</v>
      </c>
    </row>
    <row r="58" spans="1:35" ht="25.2">
      <c r="A58" s="2150" t="s">
        <v>1352</v>
      </c>
      <c r="B58" s="3327" t="s">
        <v>1369</v>
      </c>
      <c r="C58" s="3326"/>
      <c r="D58" s="12" t="e">
        <f ca="1">IF(H58="转让取得",C81,C97)</f>
        <v>#REF!</v>
      </c>
      <c r="E58" s="1256" t="s">
        <v>1364</v>
      </c>
      <c r="F58" s="294" t="s">
        <v>28</v>
      </c>
      <c r="G58" s="2338"/>
      <c r="H58" s="2341"/>
      <c r="I58" s="1670"/>
      <c r="J58" s="3303"/>
      <c r="K58" s="3303"/>
      <c r="L58" s="2314" t="s">
        <v>1370</v>
      </c>
      <c r="M58" s="2318"/>
      <c r="N58" s="2319" t="str">
        <f ca="1">NUMBERSTRING(INT(N57*10000),2)&amp;"元整"</f>
        <v>零元整</v>
      </c>
      <c r="O58" s="2320"/>
    </row>
    <row r="59" spans="1:35" ht="24.6" thickBot="1">
      <c r="A59" s="3307" t="s">
        <v>1371</v>
      </c>
      <c r="B59" s="3308"/>
      <c r="C59" s="3308"/>
      <c r="D59" s="2343" t="e">
        <f ca="1">IF(H59="非个人房产","——",IF(H59="个人住宅（满五唯一有凭证）",0,IF(H59="个人其他（无凭证）",ROUND(D45*F59,0),ROUND(C67*F59,0))))</f>
        <v>#REF!</v>
      </c>
      <c r="E59" s="2344" t="str">
        <f>IF(H59="非个人房产","——",IF(H59="个人其他（无凭证）","销售额×税（费）率",IF(H59="个人住宅（满五唯一有凭证）","免征","差额计税")))</f>
        <v>差额计税</v>
      </c>
      <c r="F59" s="2345">
        <f>IF(OR(H59="非个人房产",H59="个人住宅（满五唯一有凭证）"),"——",IF(H59="个人其他（有凭证）",20%,1%))</f>
        <v>0.01</v>
      </c>
      <c r="G59" s="2346" t="s">
        <v>1365</v>
      </c>
      <c r="H59" s="2135"/>
      <c r="I59" s="2134" t="s">
        <v>2137</v>
      </c>
      <c r="J59" s="3305">
        <f>J57+1</f>
        <v>6</v>
      </c>
      <c r="K59" s="3303" t="s">
        <v>1372</v>
      </c>
      <c r="L59" s="2307" t="s">
        <v>1368</v>
      </c>
      <c r="M59" s="2321"/>
      <c r="N59" s="2322" t="e">
        <f ca="1">M49-N57</f>
        <v>#VALUE!</v>
      </c>
      <c r="O59" s="2323"/>
    </row>
    <row r="60" spans="1:35" ht="12" customHeight="1">
      <c r="A60" s="1671"/>
      <c r="B60" s="646"/>
      <c r="C60" s="646"/>
      <c r="D60" s="646"/>
      <c r="E60" s="1466"/>
      <c r="F60" s="1670"/>
      <c r="G60" s="1670"/>
      <c r="H60" s="151"/>
      <c r="I60" s="121"/>
      <c r="J60" s="3306"/>
      <c r="K60" s="3303"/>
      <c r="L60" s="2314" t="s">
        <v>1370</v>
      </c>
      <c r="M60" s="2318"/>
      <c r="N60" s="2319" t="e">
        <f ca="1">NUMBERSTRING(INT(N59*10000),2)&amp;"元整"</f>
        <v>#VALUE!</v>
      </c>
      <c r="O60" s="2320"/>
    </row>
    <row r="61" spans="1:35" ht="13.8" thickBot="1">
      <c r="A61" s="3362" t="s">
        <v>1373</v>
      </c>
      <c r="B61" s="3362"/>
      <c r="C61" s="3362"/>
      <c r="D61" s="3362"/>
      <c r="E61" s="3362"/>
      <c r="F61" s="1670"/>
      <c r="G61" s="1670"/>
      <c r="H61" s="151"/>
      <c r="I61" s="121"/>
      <c r="J61" s="2307">
        <f>J59+1</f>
        <v>7</v>
      </c>
      <c r="K61" s="3303" t="s">
        <v>1374</v>
      </c>
      <c r="L61" s="3303"/>
      <c r="M61" s="2324"/>
      <c r="N61" s="2325" t="e">
        <f ca="1">ROUND(N59*10000/'数据-汇总表'!E3,0)</f>
        <v>#VALUE!</v>
      </c>
      <c r="O61" s="2326"/>
    </row>
    <row r="62" spans="1:35" ht="13.2">
      <c r="A62" s="3322" t="s">
        <v>1375</v>
      </c>
      <c r="B62" s="3323"/>
      <c r="C62" s="1862"/>
      <c r="D62" s="1862" t="s">
        <v>1376</v>
      </c>
      <c r="E62" s="158" t="s">
        <v>1377</v>
      </c>
      <c r="F62" s="1670"/>
      <c r="G62" s="1670"/>
      <c r="H62" s="151"/>
      <c r="I62" s="121"/>
    </row>
    <row r="63" spans="1:35" ht="13.2">
      <c r="A63" s="165" t="s">
        <v>330</v>
      </c>
      <c r="B63" s="159" t="s">
        <v>1378</v>
      </c>
      <c r="C63" s="2347" t="e">
        <f ca="1">ROUND((C64+C65)/(1+'数据-取费表'!C42),0)</f>
        <v>#REF!</v>
      </c>
      <c r="D63" s="159"/>
      <c r="E63" s="160"/>
      <c r="F63" s="1670"/>
      <c r="G63" s="1670"/>
      <c r="H63" s="151"/>
      <c r="I63" s="121"/>
      <c r="J63" s="3286" t="s">
        <v>1379</v>
      </c>
      <c r="K63" s="1245" t="s">
        <v>1380</v>
      </c>
      <c r="L63" s="1245" t="e">
        <f>IF(M49&gt;10000,M49*0.5%,IF(AND(M49&gt;1000,M49&lt;=10000),M49*1%,IF(AND(M49&gt;100,M49&lt;=1000),M49*3%,IF(AND(M49&gt;10,M49&lt;=100),M49*5%,M49*8%))))</f>
        <v>#VALUE!</v>
      </c>
      <c r="M63" s="294" t="e">
        <f>ROUND(L63,1)</f>
        <v>#VALUE!</v>
      </c>
      <c r="N63" s="2327"/>
      <c r="Z63" s="1623"/>
      <c r="AI63" s="1561"/>
    </row>
    <row r="64" spans="1:35" ht="14.25" customHeight="1">
      <c r="A64" s="161" t="s">
        <v>325</v>
      </c>
      <c r="B64" s="162" t="s">
        <v>1381</v>
      </c>
      <c r="C64" s="2348" t="e">
        <f ca="1">D45</f>
        <v>#REF!</v>
      </c>
      <c r="D64" s="162" t="s">
        <v>26</v>
      </c>
      <c r="E64" s="164"/>
      <c r="F64" s="1670"/>
      <c r="G64" s="1670"/>
      <c r="H64" s="151"/>
      <c r="I64" s="121"/>
      <c r="J64" s="3286"/>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28" t="s">
        <v>1383</v>
      </c>
      <c r="Z64" s="1623"/>
      <c r="AI64" s="1561"/>
    </row>
    <row r="65" spans="1:35" ht="14.25" customHeight="1">
      <c r="A65" s="161" t="s">
        <v>326</v>
      </c>
      <c r="B65" s="162" t="s">
        <v>1384</v>
      </c>
      <c r="C65" s="2349"/>
      <c r="D65" s="162"/>
      <c r="E65" s="164"/>
      <c r="F65" s="1670"/>
      <c r="G65" s="1670"/>
      <c r="H65" s="151"/>
      <c r="I65" s="121"/>
      <c r="J65" s="3286"/>
      <c r="K65" s="1245" t="s">
        <v>1385</v>
      </c>
      <c r="L65" s="1245" t="e">
        <f>IF(M49&gt;1000,M49*0.1%,IF(AND(M49&gt;500,M49&lt;=1000),M49*0.5%,IF(AND(M49&gt;50,M49&lt;=500),M49*1%,IF(AND(M49&gt;1,M49&lt;=50),M49*1.5%))))</f>
        <v>#VALUE!</v>
      </c>
      <c r="M65" s="294" t="e">
        <f t="shared" si="1"/>
        <v>#VALUE!</v>
      </c>
      <c r="N65" s="2328" t="s">
        <v>1383</v>
      </c>
      <c r="Z65" s="1623"/>
      <c r="AI65" s="1561"/>
    </row>
    <row r="66" spans="1:35" ht="14.25" customHeight="1">
      <c r="A66" s="165" t="s">
        <v>327</v>
      </c>
      <c r="B66" s="166" t="s">
        <v>1386</v>
      </c>
      <c r="C66" s="2350"/>
      <c r="D66" s="166" t="s">
        <v>26</v>
      </c>
      <c r="E66" s="1251" t="s">
        <v>671</v>
      </c>
      <c r="F66" s="1670"/>
      <c r="G66" s="1670"/>
      <c r="H66" s="151"/>
      <c r="I66" s="121"/>
      <c r="J66" s="3286"/>
      <c r="K66" s="1245" t="s">
        <v>1387</v>
      </c>
      <c r="L66" s="1245" t="e">
        <f>M49*0.5%</f>
        <v>#VALUE!</v>
      </c>
      <c r="M66" s="294" t="e">
        <f>IF(L66&gt;0.5,0.5,ROUND(L66,0))</f>
        <v>#VALUE!</v>
      </c>
      <c r="N66" s="2328" t="s">
        <v>1388</v>
      </c>
      <c r="Z66" s="1623"/>
      <c r="AI66" s="1561"/>
    </row>
    <row r="67" spans="1:35" ht="14.25" customHeight="1">
      <c r="A67" s="165" t="s">
        <v>328</v>
      </c>
      <c r="B67" s="166" t="s">
        <v>1389</v>
      </c>
      <c r="C67" s="2351" t="e">
        <f ca="1">C63-C66</f>
        <v>#REF!</v>
      </c>
      <c r="D67" s="162" t="s">
        <v>26</v>
      </c>
      <c r="E67" s="164"/>
      <c r="F67" s="1670"/>
      <c r="G67" s="1670"/>
      <c r="H67" s="151"/>
      <c r="I67" s="121"/>
      <c r="J67" s="3286"/>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7"/>
      <c r="Z67" s="1623"/>
      <c r="AI67" s="1561"/>
    </row>
    <row r="68" spans="1:35" ht="14.25" customHeight="1" thickBot="1">
      <c r="A68" s="168" t="s">
        <v>329</v>
      </c>
      <c r="B68" s="169" t="s">
        <v>1391</v>
      </c>
      <c r="C68" s="2352" t="e">
        <f ca="1">IF(C67&lt;=0,0,ROUND(C67*D68,0))</f>
        <v>#REF!</v>
      </c>
      <c r="D68" s="2353">
        <f>'数据-取费表'!B41</f>
        <v>5.6000000000000001E-2</v>
      </c>
      <c r="E68" s="170"/>
      <c r="F68" s="1670"/>
      <c r="G68" s="1670"/>
      <c r="H68" s="151"/>
      <c r="I68" s="121"/>
      <c r="J68" s="3286"/>
      <c r="K68" s="1245" t="s">
        <v>1392</v>
      </c>
      <c r="L68" s="1245" t="e">
        <f>IF(M49&gt;10000,M49*0.5%,IF(AND(M49&gt;5000,M49&lt;=10000),M49*1%,IF(AND(M49&gt;1000,M49&lt;=5000),M49*2%,IF(AND(M49&gt;200,M49&lt;=1000),M49*3%,M49*5%))))</f>
        <v>#VALUE!</v>
      </c>
      <c r="M68" s="294" t="e">
        <f>ROUND(L68,1)</f>
        <v>#VALUE!</v>
      </c>
      <c r="N68" s="2327"/>
      <c r="Z68" s="1623"/>
      <c r="AI68" s="1561"/>
    </row>
    <row r="69" spans="1:35" ht="16.5" customHeight="1">
      <c r="A69" s="1672"/>
      <c r="B69" s="1673"/>
      <c r="C69" s="1674"/>
      <c r="D69" s="1675"/>
      <c r="E69" s="1676"/>
      <c r="F69" s="1466"/>
      <c r="G69" s="1466"/>
      <c r="H69" s="1467"/>
      <c r="I69" s="646"/>
      <c r="J69" s="3286"/>
      <c r="K69" s="1245" t="s">
        <v>1393</v>
      </c>
      <c r="L69" s="1245"/>
      <c r="M69" s="294" t="e">
        <f>ROUND(SUM(M63:M68),0)</f>
        <v>#VALUE!</v>
      </c>
      <c r="N69" s="2329" t="e">
        <f>M69/M49</f>
        <v>#VALUE!</v>
      </c>
      <c r="Z69" s="1623"/>
      <c r="AI69" s="1561"/>
    </row>
    <row r="70" spans="1:35" s="642" customFormat="1" ht="14.4" thickBot="1">
      <c r="A70" s="3330" t="s">
        <v>1394</v>
      </c>
      <c r="B70" s="3331"/>
      <c r="C70" s="3331"/>
      <c r="D70" s="3331"/>
      <c r="E70" s="3331"/>
      <c r="F70" s="3331"/>
      <c r="G70" s="3331"/>
      <c r="H70" s="3331"/>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322" t="s">
        <v>1375</v>
      </c>
      <c r="B71" s="3323"/>
      <c r="C71" s="1862"/>
      <c r="D71" s="1862"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1"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1"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4"/>
      <c r="D75" s="162" t="s">
        <v>26</v>
      </c>
      <c r="E75" s="176" t="s">
        <v>1399</v>
      </c>
      <c r="F75" s="2355"/>
      <c r="G75" s="176" t="s">
        <v>1400</v>
      </c>
      <c r="H75" s="2356"/>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7">
        <v>0.05</v>
      </c>
      <c r="E76" s="3327" t="s">
        <v>1402</v>
      </c>
      <c r="F76" s="3326"/>
      <c r="G76" s="3326"/>
      <c r="H76" s="3329"/>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58">
        <f>'数据-取费表'!B48+'数据-取费表'!B49</f>
        <v>3.0499999999999999E-2</v>
      </c>
      <c r="E77" s="12" t="s">
        <v>1404</v>
      </c>
      <c r="F77" s="178"/>
      <c r="G77" s="1682"/>
      <c r="H77" s="2148"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59" t="e">
        <f ca="1">ROUND(D45*D78/(1+'数据-取费表'!C42),0)</f>
        <v>#REF!</v>
      </c>
      <c r="D78" s="2360">
        <f>'数据-取费表'!B43</f>
        <v>6.000000000000001E-3</v>
      </c>
      <c r="E78" s="3319" t="s">
        <v>1406</v>
      </c>
      <c r="F78" s="3320"/>
      <c r="G78" s="3320"/>
      <c r="H78" s="3321"/>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1"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1"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2" t="e">
        <f ca="1">ROUND(IF(C79&lt;=0,0,IF(C80&gt;=200%,C79*60%-C73*35%,IF(C80&gt;=100%,C79*50%-C73*15%,IF(C80&gt;=50%,C79*40%-C73*5%,IF(C80&lt;50%,C79*30%,0))))),0)</f>
        <v>#REF!</v>
      </c>
      <c r="D81" s="2363"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30" t="s">
        <v>1410</v>
      </c>
      <c r="B83" s="3331"/>
      <c r="C83" s="3331"/>
      <c r="D83" s="3331"/>
      <c r="E83" s="3331"/>
      <c r="F83" s="3331"/>
      <c r="G83" s="3331"/>
      <c r="H83" s="3331"/>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322" t="s">
        <v>1375</v>
      </c>
      <c r="B84" s="3323"/>
      <c r="C84" s="1862"/>
      <c r="D84" s="1862"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1"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1" t="e">
        <f ca="1">IF(H88="仅含出让金",C87+C90+C91+C92+C93+C94,C87+C91+C92+C93+C94)</f>
        <v>#REF!</v>
      </c>
      <c r="D86" s="2364"/>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59">
        <f>C88+C89</f>
        <v>0</v>
      </c>
      <c r="D87" s="2360"/>
      <c r="E87" s="2144"/>
      <c r="F87" s="2145"/>
      <c r="G87" s="2145"/>
      <c r="H87" s="2146"/>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5"/>
      <c r="D88" s="2360"/>
      <c r="E88" s="185" t="s">
        <v>1413</v>
      </c>
      <c r="F88" s="2145"/>
      <c r="G88" s="186" t="s">
        <v>1414</v>
      </c>
      <c r="H88" s="1684"/>
      <c r="I88" s="1681"/>
      <c r="J88" s="2305"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59">
        <f>ROUND(C88*D89,0)</f>
        <v>0</v>
      </c>
      <c r="D89" s="2360">
        <f>'数据-取费表'!B48+'数据-取费表'!B49</f>
        <v>3.0499999999999999E-2</v>
      </c>
      <c r="E89" s="185" t="s">
        <v>1415</v>
      </c>
      <c r="F89" s="2145"/>
      <c r="G89" s="2145"/>
      <c r="H89" s="2146"/>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5"/>
      <c r="D90" s="2360"/>
      <c r="E90" s="185" t="str">
        <f>IF(H88="-","土地取得成本中已包含该笔费用"," ")</f>
        <v xml:space="preserve"> </v>
      </c>
      <c r="F90" s="2145"/>
      <c r="G90" s="3288" t="s">
        <v>2129</v>
      </c>
      <c r="H90" s="3289"/>
      <c r="I90" s="1681"/>
      <c r="J90" s="2305"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59">
        <f>IF(H91="——",成本法!C33,I91)</f>
        <v>0</v>
      </c>
      <c r="D91" s="2360"/>
      <c r="E91" s="3319" t="s">
        <v>1419</v>
      </c>
      <c r="F91" s="3320"/>
      <c r="G91" s="3320"/>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59">
        <f>ROUND((C87+C90+C91)*D92,0)</f>
        <v>0</v>
      </c>
      <c r="D92" s="2366"/>
      <c r="E92" s="3319" t="s">
        <v>1422</v>
      </c>
      <c r="F92" s="3320"/>
      <c r="G92" s="3320"/>
      <c r="H92" s="3321"/>
      <c r="I92" s="1681"/>
      <c r="J92" s="2306"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59" t="e">
        <f ca="1">ROUND(D45*D93/(1+'数据-取费表'!C42),0)</f>
        <v>#REF!</v>
      </c>
      <c r="D93" s="2360">
        <f>'数据-取费表'!B43</f>
        <v>6.000000000000001E-3</v>
      </c>
      <c r="E93" s="3319" t="s">
        <v>1406</v>
      </c>
      <c r="F93" s="3320"/>
      <c r="G93" s="3320"/>
      <c r="H93" s="3321"/>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5">
        <f>ROUND((C87+C90+C91)*D94,0)</f>
        <v>0</v>
      </c>
      <c r="D94" s="2360">
        <v>0.2</v>
      </c>
      <c r="E94" s="3364" t="s">
        <v>1426</v>
      </c>
      <c r="F94" s="3365"/>
      <c r="G94" s="3365"/>
      <c r="H94" s="3366"/>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1"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1"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2" t="e">
        <f ca="1">ROUND(IF(C95&lt;=0,0,IF(C96&gt;=200%,C95*60%-C86*35%,IF(C96&gt;=100%,C95*50%-C86*15%,IF(C96&gt;=50%,C95*40%-C86*5%,IF(C96&lt;50%,C95*30%,0))))),0)</f>
        <v>#REF!</v>
      </c>
      <c r="D97" s="2363"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69" t="s">
        <v>1428</v>
      </c>
      <c r="B100" s="3270"/>
      <c r="C100" s="3270"/>
      <c r="D100" s="3304"/>
      <c r="E100" s="3270" t="s">
        <v>1429</v>
      </c>
      <c r="F100" s="3270"/>
      <c r="G100" s="3270"/>
      <c r="H100" s="3304"/>
      <c r="I100" s="121"/>
    </row>
    <row r="101" spans="1:35" ht="18.75" customHeight="1">
      <c r="A101" s="3312" t="s">
        <v>1430</v>
      </c>
      <c r="B101" s="3313"/>
      <c r="C101" s="2368" t="str">
        <f>C4</f>
        <v>收益法 (元)</v>
      </c>
      <c r="D101" s="2369" t="str">
        <f>D4</f>
        <v>比较法-住宅</v>
      </c>
      <c r="E101" s="3282" t="s">
        <v>1431</v>
      </c>
      <c r="F101" s="3283"/>
      <c r="G101" s="1687" t="s">
        <v>1432</v>
      </c>
      <c r="H101" s="2378" t="e">
        <f ca="1">H118</f>
        <v>#REF!</v>
      </c>
      <c r="I101" s="121"/>
    </row>
    <row r="102" spans="1:35" ht="18.75" customHeight="1">
      <c r="A102" s="3314" t="s">
        <v>1433</v>
      </c>
      <c r="B102" s="2367" t="s">
        <v>1432</v>
      </c>
      <c r="C102" s="2368">
        <f ca="1">IF(D32="楼面单价",ROUND(C19,0),C19)</f>
        <v>274.77530000000002</v>
      </c>
      <c r="D102" s="2369">
        <f ca="1">IF(D32="楼面单价",ROUND(D19,0),D19)</f>
        <v>315.08049999999997</v>
      </c>
      <c r="E102" s="3282"/>
      <c r="F102" s="3283"/>
      <c r="G102" s="1687" t="s">
        <v>1434</v>
      </c>
      <c r="H102" s="2338" t="e">
        <f ca="1">I118</f>
        <v>#REF!</v>
      </c>
      <c r="I102" s="121"/>
    </row>
    <row r="103" spans="1:35" ht="42.75" customHeight="1">
      <c r="A103" s="3314"/>
      <c r="B103" s="2367" t="s">
        <v>1434</v>
      </c>
      <c r="C103" s="2370">
        <f ca="1">C20</f>
        <v>48038</v>
      </c>
      <c r="D103" s="2371">
        <f ca="1">D20</f>
        <v>55084</v>
      </c>
      <c r="E103" s="3275" t="s">
        <v>1435</v>
      </c>
      <c r="F103" s="3276"/>
      <c r="G103" s="1688" t="s">
        <v>1436</v>
      </c>
      <c r="H103" s="2378">
        <f>IF(D36="正常操作",H104+H105+H106,H105+H106)</f>
        <v>0</v>
      </c>
      <c r="I103" s="121"/>
    </row>
    <row r="104" spans="1:35" ht="18.75" customHeight="1">
      <c r="A104" s="3314" t="s">
        <v>1437</v>
      </c>
      <c r="B104" s="2372" t="s">
        <v>1432</v>
      </c>
      <c r="C104" s="2373" t="e">
        <f ca="1">H118</f>
        <v>#REF!</v>
      </c>
      <c r="D104" s="2374"/>
      <c r="E104" s="1555" t="s">
        <v>1438</v>
      </c>
      <c r="F104" s="1548"/>
      <c r="G104" s="1688" t="s">
        <v>1436</v>
      </c>
      <c r="H104" s="2379">
        <f>IF(D36="同一抵押权人同一抵押物续贷",C36&amp;"（续贷，未扣减，详见特别提示）",C36)</f>
        <v>0</v>
      </c>
      <c r="I104" s="121"/>
    </row>
    <row r="105" spans="1:35" ht="18.75" customHeight="1" thickBot="1">
      <c r="A105" s="3324"/>
      <c r="B105" s="2375" t="s">
        <v>1434</v>
      </c>
      <c r="C105" s="2376" t="e">
        <f ca="1">I118</f>
        <v>#REF!</v>
      </c>
      <c r="D105" s="2377"/>
      <c r="E105" s="1555" t="s">
        <v>1439</v>
      </c>
      <c r="F105" s="1548"/>
      <c r="G105" s="1688" t="s">
        <v>1436</v>
      </c>
      <c r="H105" s="2380">
        <f>C37</f>
        <v>0</v>
      </c>
      <c r="I105" s="121"/>
    </row>
    <row r="106" spans="1:35" ht="18.75" customHeight="1">
      <c r="A106" s="646" t="s">
        <v>1440</v>
      </c>
      <c r="B106" s="646"/>
      <c r="C106" s="646"/>
      <c r="D106" s="646"/>
      <c r="E106" s="1689" t="s">
        <v>1441</v>
      </c>
      <c r="F106" s="1548"/>
      <c r="G106" s="1688" t="s">
        <v>1436</v>
      </c>
      <c r="H106" s="2380">
        <f>C38</f>
        <v>0</v>
      </c>
      <c r="I106" s="121"/>
    </row>
    <row r="107" spans="1:35" ht="18.75" customHeight="1">
      <c r="A107" s="121"/>
      <c r="B107" s="121"/>
      <c r="C107" s="121"/>
      <c r="D107" s="121"/>
      <c r="E107" s="3315" t="str">
        <f>IF(项目基本情况!E8="已注销","——","3.房地产抵押价值")</f>
        <v>3.房地产抵押价值</v>
      </c>
      <c r="F107" s="3283"/>
      <c r="G107" s="1687" t="s">
        <v>1432</v>
      </c>
      <c r="H107" s="2378" t="e">
        <f ca="1">IF(E107="——","——",H101-H103)</f>
        <v>#REF!</v>
      </c>
      <c r="I107" s="121"/>
    </row>
    <row r="108" spans="1:35" ht="18.75" customHeight="1">
      <c r="A108" s="121"/>
      <c r="B108" s="121"/>
      <c r="C108" s="121"/>
      <c r="D108" s="121"/>
      <c r="E108" s="3315"/>
      <c r="F108" s="3283"/>
      <c r="G108" s="1687" t="s">
        <v>1434</v>
      </c>
      <c r="H108" s="2338">
        <f ca="1">IF(H107=H101,H102,ROUND(H107*10000/'数据-汇总表'!E3,0))</f>
        <v>0</v>
      </c>
      <c r="I108" s="121"/>
    </row>
    <row r="109" spans="1:35" ht="18.75" customHeight="1">
      <c r="A109" s="121"/>
      <c r="B109" s="121"/>
      <c r="C109" s="121"/>
      <c r="D109" s="121"/>
      <c r="E109" s="3315" t="str">
        <f>IF(项目基本情况!E8="已注销及未注销","4.抵押担保权已注销时的房地产抵押价值",IF(项目基本情况!E8="已注销","3.抵押担保权已注销时的房地产抵押价值","——"))</f>
        <v>——</v>
      </c>
      <c r="F109" s="3283"/>
      <c r="G109" s="1687" t="s">
        <v>1432</v>
      </c>
      <c r="H109" s="2381" t="str">
        <f>IF(E109="——","——",H101-H105-H106)</f>
        <v>——</v>
      </c>
      <c r="I109" s="121"/>
    </row>
    <row r="110" spans="1:35" ht="18.75" customHeight="1">
      <c r="A110" s="121"/>
      <c r="B110" s="121"/>
      <c r="C110" s="121"/>
      <c r="D110" s="121"/>
      <c r="E110" s="3315"/>
      <c r="F110" s="3283"/>
      <c r="G110" s="1687" t="s">
        <v>1434</v>
      </c>
      <c r="H110" s="2338" t="str">
        <f>IF(H109="——","——",ROUND(H109*10000/'数据-汇总表'!E3,0))</f>
        <v>——</v>
      </c>
      <c r="I110" s="121"/>
    </row>
    <row r="111" spans="1:35" ht="18.75" customHeight="1">
      <c r="A111" s="121"/>
      <c r="B111" s="121"/>
      <c r="C111" s="121"/>
      <c r="D111" s="121"/>
      <c r="E111" s="3316" t="str">
        <f>IF(项目基本情况!E9="抵押净值",IF(OR(项目基本情况!E8="已注销",项目基本情况!E8="房地产抵押价值"),"4.抵押净值","5.抵押净值"),"——")</f>
        <v>——</v>
      </c>
      <c r="F111" s="3302"/>
      <c r="G111" s="1687" t="s">
        <v>1432</v>
      </c>
      <c r="H111" s="2378" t="str">
        <f>IF(E111="——","——",N59)</f>
        <v>——</v>
      </c>
      <c r="I111" s="121"/>
    </row>
    <row r="112" spans="1:35" ht="18.75" customHeight="1" thickBot="1">
      <c r="A112" s="121"/>
      <c r="B112" s="121"/>
      <c r="C112" s="121"/>
      <c r="D112" s="121"/>
      <c r="E112" s="3317"/>
      <c r="F112" s="3318"/>
      <c r="G112" s="1690" t="s">
        <v>1434</v>
      </c>
      <c r="H112" s="2382" t="str">
        <f>IF(E111="——","——",N61)</f>
        <v>——</v>
      </c>
      <c r="I112" s="121"/>
    </row>
    <row r="113" spans="1:27" ht="18.75" customHeight="1">
      <c r="A113" s="121"/>
      <c r="B113" s="121"/>
      <c r="C113" s="121"/>
      <c r="D113" s="121"/>
      <c r="E113" s="3325" t="s">
        <v>1440</v>
      </c>
      <c r="F113" s="3325"/>
      <c r="G113" s="3325"/>
      <c r="H113" s="3325"/>
      <c r="I113" s="121"/>
    </row>
    <row r="114" spans="1:27" ht="3.75" customHeight="1">
      <c r="A114" s="646"/>
      <c r="B114" s="646"/>
      <c r="C114" s="646"/>
      <c r="D114" s="646"/>
      <c r="E114" s="1671"/>
      <c r="F114" s="1671"/>
      <c r="G114" s="1671"/>
      <c r="H114" s="1671"/>
      <c r="I114" s="646"/>
    </row>
    <row r="115" spans="1:27" ht="18.75" customHeight="1">
      <c r="A115" s="3333" t="s">
        <v>1442</v>
      </c>
      <c r="B115" s="3334"/>
      <c r="C115" s="3334"/>
      <c r="D115" s="3334"/>
      <c r="E115" s="3334"/>
      <c r="F115" s="3334"/>
      <c r="G115" s="3334"/>
      <c r="H115" s="3334"/>
      <c r="I115" s="3335"/>
    </row>
    <row r="116" spans="1:27" ht="27" customHeight="1">
      <c r="A116" s="3290" t="s">
        <v>1443</v>
      </c>
      <c r="B116" s="3294" t="s">
        <v>1444</v>
      </c>
      <c r="C116" s="3294" t="s">
        <v>1445</v>
      </c>
      <c r="D116" s="3300" t="s">
        <v>1446</v>
      </c>
      <c r="E116" s="3301"/>
      <c r="F116" s="3332" t="s">
        <v>1447</v>
      </c>
      <c r="G116" s="3332"/>
      <c r="H116" s="3290" t="s">
        <v>1448</v>
      </c>
      <c r="I116" s="3290"/>
    </row>
    <row r="117" spans="1:27" ht="18.75" customHeight="1">
      <c r="A117" s="3290"/>
      <c r="B117" s="3295"/>
      <c r="C117" s="3295"/>
      <c r="D117" s="2147" t="s">
        <v>1449</v>
      </c>
      <c r="E117" s="2147" t="s">
        <v>1450</v>
      </c>
      <c r="F117" s="2147" t="s">
        <v>1449</v>
      </c>
      <c r="G117" s="2147" t="s">
        <v>1451</v>
      </c>
      <c r="H117" s="2147" t="s">
        <v>1449</v>
      </c>
      <c r="I117" s="2147" t="s">
        <v>1451</v>
      </c>
    </row>
    <row r="118" spans="1:27" ht="24.75" customHeight="1">
      <c r="A118" s="2383" t="str">
        <f>项目基本情况!S2</f>
        <v>北京市房地产</v>
      </c>
      <c r="B118" s="2147">
        <f>M18</f>
        <v>57.2</v>
      </c>
      <c r="C118" s="2147">
        <f>M19</f>
        <v>0</v>
      </c>
      <c r="D118" s="2147" t="e">
        <f ca="1">ROUND(IF(D32="总价",C34,E118*B118/10000),0)</f>
        <v>#REF!</v>
      </c>
      <c r="E118" s="2147" t="e">
        <f ca="1">ROUND(IF(C33="自定义",IF(D32="楼面单价",C34,D118*10000/B118),I118-G118),0)</f>
        <v>#REF!</v>
      </c>
      <c r="F118" s="2147" t="e">
        <f ca="1">ROUND(IF(D32="总价",C35,G118*B118/10000),0)</f>
        <v>#REF!</v>
      </c>
      <c r="G118" s="2147" t="e">
        <f ca="1">ROUND(IF(D32="楼面单价",C35,F118*10000/B118),0)</f>
        <v>#REF!</v>
      </c>
      <c r="H118" s="2147" t="e">
        <f ca="1">ROUND(IF(D32="总价",C32,I118*B118/10000),0)</f>
        <v>#REF!</v>
      </c>
      <c r="I118" s="2147" t="e">
        <f ca="1">ROUND(IF(D32="楼面单价",C32,H118*10000/B118),0)</f>
        <v>#REF!</v>
      </c>
    </row>
    <row r="119" spans="1:27" ht="18.75" customHeight="1">
      <c r="A119" s="3290" t="s">
        <v>1452</v>
      </c>
      <c r="B119" s="3290"/>
      <c r="C119" s="3290"/>
      <c r="D119" s="3296" t="e">
        <f ca="1">NUMBERSTRING(INT(D118*10000),2)&amp;"元整"</f>
        <v>#REF!</v>
      </c>
      <c r="E119" s="3297"/>
      <c r="F119" s="3296" t="e">
        <f ca="1">NUMBERSTRING(INT(F118*10000),2)&amp;"元整"</f>
        <v>#REF!</v>
      </c>
      <c r="G119" s="3297"/>
      <c r="H119" s="3296" t="e">
        <f ca="1">NUMBERSTRING(INT(H118*10000),2)&amp;"元整"</f>
        <v>#REF!</v>
      </c>
      <c r="I119" s="3297"/>
    </row>
    <row r="120" spans="1:27" ht="18.75" customHeight="1">
      <c r="A120" s="3291" t="str">
        <f>IF(项目基本情况!B9="房地产市场价值","",MID(E103,3,LEN(E103)-2))</f>
        <v/>
      </c>
      <c r="B120" s="3292"/>
      <c r="C120" s="3293"/>
      <c r="D120" s="3291">
        <f>H103</f>
        <v>0</v>
      </c>
      <c r="E120" s="3292"/>
      <c r="F120" s="3292"/>
      <c r="G120" s="3292"/>
      <c r="H120" s="3292"/>
      <c r="I120" s="3293"/>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296" t="s">
        <v>1452</v>
      </c>
      <c r="B121" s="3298"/>
      <c r="C121" s="3297"/>
      <c r="D121" s="3296" t="str">
        <f>IF(D120=0,"零元整",NUMBERSTRING(INT(D120*10000),2)&amp;"元整")</f>
        <v>零元整</v>
      </c>
      <c r="E121" s="3298"/>
      <c r="F121" s="3298"/>
      <c r="G121" s="3298"/>
      <c r="H121" s="3298"/>
      <c r="I121" s="3297"/>
      <c r="AA121" s="684"/>
    </row>
    <row r="122" spans="1:27" ht="18.75" customHeight="1">
      <c r="A122" s="3302" t="str">
        <f>IF(项目基本情况!B9="房地产市场价值","",MID(E107,3,LEN(E107)-2))</f>
        <v/>
      </c>
      <c r="B122" s="3302"/>
      <c r="C122" s="3302"/>
      <c r="D122" s="3291" t="e">
        <f ca="1">H107</f>
        <v>#REF!</v>
      </c>
      <c r="E122" s="3292"/>
      <c r="F122" s="3292"/>
      <c r="G122" s="3292"/>
      <c r="H122" s="3292"/>
      <c r="I122" s="3293"/>
      <c r="AA122" s="684"/>
    </row>
    <row r="123" spans="1:27" ht="18.75" customHeight="1">
      <c r="A123" s="3290" t="s">
        <v>1452</v>
      </c>
      <c r="B123" s="3290"/>
      <c r="C123" s="3290"/>
      <c r="D123" s="3296" t="e">
        <f ca="1">NUMBERSTRING(INT(D122*10000),2)&amp;"元整"</f>
        <v>#REF!</v>
      </c>
      <c r="E123" s="3298"/>
      <c r="F123" s="3298"/>
      <c r="G123" s="3298"/>
      <c r="H123" s="3298"/>
      <c r="I123" s="3297"/>
      <c r="AA123" s="684"/>
    </row>
    <row r="124" spans="1:27" ht="18.75" customHeight="1">
      <c r="A124" s="3302" t="str">
        <f>IF(项目基本情况!B9="房地产市场价值","",MID(E109,3,LEN(E109)-2))</f>
        <v/>
      </c>
      <c r="B124" s="3302"/>
      <c r="C124" s="3302"/>
      <c r="D124" s="3291" t="str">
        <f>H109</f>
        <v>——</v>
      </c>
      <c r="E124" s="3292"/>
      <c r="F124" s="3292"/>
      <c r="G124" s="3292"/>
      <c r="H124" s="3292"/>
      <c r="I124" s="3293"/>
      <c r="AA124" s="684"/>
    </row>
    <row r="125" spans="1:27" ht="18.75" customHeight="1">
      <c r="A125" s="3290" t="s">
        <v>1452</v>
      </c>
      <c r="B125" s="3290"/>
      <c r="C125" s="3290"/>
      <c r="D125" s="3296" t="e">
        <f>NUMBERSTRING(INT(D124*10000),2)&amp;"元整"</f>
        <v>#VALUE!</v>
      </c>
      <c r="E125" s="3298"/>
      <c r="F125" s="3298"/>
      <c r="G125" s="3298"/>
      <c r="H125" s="3298"/>
      <c r="I125" s="3297"/>
      <c r="AA125" s="684"/>
    </row>
    <row r="126" spans="1:27" ht="18.75" customHeight="1">
      <c r="A126" s="3302" t="str">
        <f>IF(项目基本情况!B9="房地产市场价值","",MID(E111,3,LEN(E111)-2))</f>
        <v/>
      </c>
      <c r="B126" s="3302"/>
      <c r="C126" s="3302"/>
      <c r="D126" s="3291" t="str">
        <f>H111</f>
        <v>——</v>
      </c>
      <c r="E126" s="3292"/>
      <c r="F126" s="3292"/>
      <c r="G126" s="3292"/>
      <c r="H126" s="3292"/>
      <c r="I126" s="3293"/>
      <c r="AA126" s="684"/>
    </row>
    <row r="127" spans="1:27" ht="18.75" customHeight="1">
      <c r="A127" s="3290" t="s">
        <v>1452</v>
      </c>
      <c r="B127" s="3290"/>
      <c r="C127" s="3290"/>
      <c r="D127" s="3296" t="e">
        <f>NUMBERSTRING(INT(D126*10000),2)&amp;"元整"</f>
        <v>#VALUE!</v>
      </c>
      <c r="E127" s="3298"/>
      <c r="F127" s="3298"/>
      <c r="G127" s="3298"/>
      <c r="H127" s="3298"/>
      <c r="I127" s="3297"/>
      <c r="AA127" s="684"/>
    </row>
    <row r="128" spans="1:27" ht="21.75" customHeight="1">
      <c r="A128" s="3299" t="s">
        <v>1453</v>
      </c>
      <c r="B128" s="3299"/>
      <c r="C128" s="3299"/>
      <c r="D128" s="3299"/>
      <c r="E128" s="3299"/>
      <c r="F128" s="3299"/>
      <c r="G128" s="3299"/>
      <c r="H128" s="3299"/>
      <c r="I128" s="3299"/>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H35" sqref="H35"/>
    </sheetView>
  </sheetViews>
  <sheetFormatPr defaultRowHeight="14.4"/>
  <sheetData>
    <row r="1" spans="1:13">
      <c r="A1" s="3369" t="s">
        <v>3551</v>
      </c>
      <c r="B1" s="3369"/>
      <c r="C1" s="3369"/>
      <c r="D1" s="3369"/>
      <c r="E1" s="3369"/>
      <c r="F1" s="3369"/>
      <c r="G1" s="3369"/>
      <c r="H1" s="3369"/>
      <c r="I1" s="3369"/>
      <c r="J1" s="3369"/>
      <c r="K1" s="3369"/>
      <c r="L1" s="3369"/>
      <c r="M1" s="3369"/>
    </row>
    <row r="2" spans="1:13">
      <c r="A2" s="3369"/>
      <c r="B2" s="3369"/>
      <c r="C2" s="3369"/>
      <c r="D2" s="3369"/>
      <c r="E2" s="3369"/>
      <c r="F2" s="3369"/>
      <c r="G2" s="3369"/>
      <c r="H2" s="3369"/>
      <c r="I2" s="3369"/>
      <c r="J2" s="3369"/>
      <c r="K2" s="3369"/>
      <c r="L2" s="3369"/>
      <c r="M2" s="3369"/>
    </row>
    <row r="3" spans="1:13">
      <c r="A3" s="3369"/>
      <c r="B3" s="3369"/>
      <c r="C3" s="3369"/>
      <c r="D3" s="3369"/>
      <c r="E3" s="3369"/>
      <c r="F3" s="3369"/>
      <c r="G3" s="3369"/>
      <c r="H3" s="3369"/>
      <c r="I3" s="3369"/>
      <c r="J3" s="3369"/>
      <c r="K3" s="3369"/>
      <c r="L3" s="3369"/>
      <c r="M3" s="3369"/>
    </row>
    <row r="4" spans="1:13">
      <c r="A4" s="3369"/>
      <c r="B4" s="3369"/>
      <c r="C4" s="3369"/>
      <c r="D4" s="3369"/>
      <c r="E4" s="3369"/>
      <c r="F4" s="3369"/>
      <c r="G4" s="3369"/>
      <c r="H4" s="3369"/>
      <c r="I4" s="3369"/>
      <c r="J4" s="3369"/>
      <c r="K4" s="3369"/>
      <c r="L4" s="3369"/>
      <c r="M4" s="3369"/>
    </row>
    <row r="5" spans="1:13">
      <c r="A5" s="3369"/>
      <c r="B5" s="3369"/>
      <c r="C5" s="3369"/>
      <c r="D5" s="3369"/>
      <c r="E5" s="3369"/>
      <c r="F5" s="3369"/>
      <c r="G5" s="3369"/>
      <c r="H5" s="3369"/>
      <c r="I5" s="3369"/>
      <c r="J5" s="3369"/>
      <c r="K5" s="3369"/>
      <c r="L5" s="3369"/>
      <c r="M5" s="3369"/>
    </row>
    <row r="6" spans="1:13">
      <c r="A6" s="3369"/>
      <c r="B6" s="3369"/>
      <c r="C6" s="3369"/>
      <c r="D6" s="3369"/>
      <c r="E6" s="3369"/>
      <c r="F6" s="3369"/>
      <c r="G6" s="3369"/>
      <c r="H6" s="3369"/>
      <c r="I6" s="3369"/>
      <c r="J6" s="3369"/>
      <c r="K6" s="3369"/>
      <c r="L6" s="3369"/>
      <c r="M6" s="3369"/>
    </row>
    <row r="7" spans="1:13">
      <c r="A7" s="3369"/>
      <c r="B7" s="3369"/>
      <c r="C7" s="3369"/>
      <c r="D7" s="3369"/>
      <c r="E7" s="3369"/>
      <c r="F7" s="3369"/>
      <c r="G7" s="3369"/>
      <c r="H7" s="3369"/>
      <c r="I7" s="3369"/>
      <c r="J7" s="3369"/>
      <c r="K7" s="3369"/>
      <c r="L7" s="3369"/>
      <c r="M7" s="3369"/>
    </row>
    <row r="8" spans="1:13">
      <c r="A8" s="3369"/>
      <c r="B8" s="3369"/>
      <c r="C8" s="3369"/>
      <c r="D8" s="3369"/>
      <c r="E8" s="3369"/>
      <c r="F8" s="3369"/>
      <c r="G8" s="3369"/>
      <c r="H8" s="3369"/>
      <c r="I8" s="3369"/>
      <c r="J8" s="3369"/>
      <c r="K8" s="3369"/>
      <c r="L8" s="3369"/>
      <c r="M8" s="3369"/>
    </row>
    <row r="9" spans="1:13">
      <c r="A9" s="3369"/>
      <c r="B9" s="3369"/>
      <c r="C9" s="3369"/>
      <c r="D9" s="3369"/>
      <c r="E9" s="3369"/>
      <c r="F9" s="3369"/>
      <c r="G9" s="3369"/>
      <c r="H9" s="3369"/>
      <c r="I9" s="3369"/>
      <c r="J9" s="3369"/>
      <c r="K9" s="3369"/>
      <c r="L9" s="3369"/>
      <c r="M9" s="3369"/>
    </row>
    <row r="10" spans="1:13">
      <c r="A10" s="3369"/>
      <c r="B10" s="3369"/>
      <c r="C10" s="3369"/>
      <c r="D10" s="3369"/>
      <c r="E10" s="3369"/>
      <c r="F10" s="3369"/>
      <c r="G10" s="3369"/>
      <c r="H10" s="3369"/>
      <c r="I10" s="3369"/>
      <c r="J10" s="3369"/>
      <c r="K10" s="3369"/>
      <c r="L10" s="3369"/>
      <c r="M10" s="3369"/>
    </row>
    <row r="11" spans="1:13">
      <c r="A11" s="3369"/>
      <c r="B11" s="3369"/>
      <c r="C11" s="3369"/>
      <c r="D11" s="3369"/>
      <c r="E11" s="3369"/>
      <c r="F11" s="3369"/>
      <c r="G11" s="3369"/>
      <c r="H11" s="3369"/>
      <c r="I11" s="3369"/>
      <c r="J11" s="3369"/>
      <c r="K11" s="3369"/>
      <c r="L11" s="3369"/>
      <c r="M11" s="3369"/>
    </row>
    <row r="12" spans="1:13">
      <c r="A12" s="3369"/>
      <c r="B12" s="3369"/>
      <c r="C12" s="3369"/>
      <c r="D12" s="3369"/>
      <c r="E12" s="3369"/>
      <c r="F12" s="3369"/>
      <c r="G12" s="3369"/>
      <c r="H12" s="3369"/>
      <c r="I12" s="3369"/>
      <c r="J12" s="3369"/>
      <c r="K12" s="3369"/>
      <c r="L12" s="3369"/>
      <c r="M12" s="3369"/>
    </row>
    <row r="13" spans="1:13">
      <c r="A13" s="3369"/>
      <c r="B13" s="3369"/>
      <c r="C13" s="3369"/>
      <c r="D13" s="3369"/>
      <c r="E13" s="3369"/>
      <c r="F13" s="3369"/>
      <c r="G13" s="3369"/>
      <c r="H13" s="3369"/>
      <c r="I13" s="3369"/>
      <c r="J13" s="3369"/>
      <c r="K13" s="3369"/>
      <c r="L13" s="3369"/>
      <c r="M13" s="3369"/>
    </row>
    <row r="14" spans="1:13">
      <c r="A14" s="3369"/>
      <c r="B14" s="3369"/>
      <c r="C14" s="3369"/>
      <c r="D14" s="3369"/>
      <c r="E14" s="3369"/>
      <c r="F14" s="3369"/>
      <c r="G14" s="3369"/>
      <c r="H14" s="3369"/>
      <c r="I14" s="3369"/>
      <c r="J14" s="3369"/>
      <c r="K14" s="3369"/>
      <c r="L14" s="3369"/>
      <c r="M14" s="3369"/>
    </row>
    <row r="15" spans="1:13">
      <c r="A15" s="3369"/>
      <c r="B15" s="3369"/>
      <c r="C15" s="3369"/>
      <c r="D15" s="3369"/>
      <c r="E15" s="3369"/>
      <c r="F15" s="3369"/>
      <c r="G15" s="3369"/>
      <c r="H15" s="3369"/>
      <c r="I15" s="3369"/>
      <c r="J15" s="3369"/>
      <c r="K15" s="3369"/>
      <c r="L15" s="3369"/>
      <c r="M15" s="3369"/>
    </row>
    <row r="16" spans="1:13">
      <c r="A16" s="3369"/>
      <c r="B16" s="3369"/>
      <c r="C16" s="3369"/>
      <c r="D16" s="3369"/>
      <c r="E16" s="3369"/>
      <c r="F16" s="3369"/>
      <c r="G16" s="3369"/>
      <c r="H16" s="3369"/>
      <c r="I16" s="3369"/>
      <c r="J16" s="3369"/>
      <c r="K16" s="3369"/>
      <c r="L16" s="3369"/>
      <c r="M16" s="3369"/>
    </row>
    <row r="17" spans="1:13">
      <c r="A17" s="3369"/>
      <c r="B17" s="3369"/>
      <c r="C17" s="3369"/>
      <c r="D17" s="3369"/>
      <c r="E17" s="3369"/>
      <c r="F17" s="3369"/>
      <c r="G17" s="3369"/>
      <c r="H17" s="3369"/>
      <c r="I17" s="3369"/>
      <c r="J17" s="3369"/>
      <c r="K17" s="3369"/>
      <c r="L17" s="3369"/>
      <c r="M17" s="3369"/>
    </row>
  </sheetData>
  <mergeCells count="1">
    <mergeCell ref="A1:M17"/>
  </mergeCells>
  <phoneticPr fontId="1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87" t="str">
        <f>项目基本情况!B1</f>
        <v>北京市房地产市场价值预评估</v>
      </c>
      <c r="C37" s="3187"/>
      <c r="D37" s="3187"/>
      <c r="E37" s="3187"/>
      <c r="F37" s="3187"/>
      <c r="G37" s="3187"/>
      <c r="H37" s="3187"/>
      <c r="I37" s="3187"/>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L14" sqref="L14"/>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21</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3671</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1</v>
      </c>
      <c r="D9" s="795">
        <f ca="1">IF(B1="",'数据-汇总表'!E5,IF(INDIRECT("'数据-取费表'!c"&amp;$G$1)="住宅",INDIRECT("'数据-取费表'!k"&amp;$G$1),0))</f>
        <v>57.2</v>
      </c>
      <c r="E9" s="217">
        <f>'数据-取费表'!B27</f>
        <v>160</v>
      </c>
      <c r="F9" s="213"/>
      <c r="G9" s="1715"/>
      <c r="H9" s="1070"/>
      <c r="I9" s="1716"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57.2</v>
      </c>
      <c r="E19" s="203">
        <f>'数据-取费表'!B31</f>
        <v>200</v>
      </c>
      <c r="F19" s="223"/>
      <c r="G19" s="1714"/>
    </row>
    <row r="20" spans="1:7" s="206" customFormat="1" ht="13.5" customHeight="1">
      <c r="A20" s="247" t="s">
        <v>1493</v>
      </c>
      <c r="B20" s="202" t="s">
        <v>1494</v>
      </c>
      <c r="C20" s="224">
        <f ca="1">ROUND((C5+C19)*F20,0)</f>
        <v>0</v>
      </c>
      <c r="D20" s="224"/>
      <c r="E20" s="224"/>
      <c r="F20" s="225">
        <f>'数据-取费表'!B37</f>
        <v>0.01</v>
      </c>
      <c r="G20" s="226" t="s">
        <v>1495</v>
      </c>
    </row>
    <row r="21" spans="1:7" s="206" customFormat="1" ht="13.5" customHeight="1">
      <c r="A21" s="247" t="s">
        <v>1496</v>
      </c>
      <c r="B21" s="202" t="s">
        <v>1497</v>
      </c>
      <c r="C21" s="227">
        <f>F21</f>
        <v>0.03</v>
      </c>
      <c r="D21" s="228" t="s">
        <v>1498</v>
      </c>
      <c r="E21" s="224"/>
      <c r="F21" s="225">
        <f>'数据-取费表'!B38</f>
        <v>0.03</v>
      </c>
      <c r="G21" s="226" t="s">
        <v>1499</v>
      </c>
    </row>
    <row r="22" spans="1:7" s="206" customFormat="1" ht="13.5" customHeight="1">
      <c r="A22" s="247" t="s">
        <v>1500</v>
      </c>
      <c r="B22" s="202" t="s">
        <v>1501</v>
      </c>
      <c r="C22" s="1041">
        <f ca="1">ROUND(SUM(C23:C25),0)</f>
        <v>0</v>
      </c>
      <c r="D22" s="227">
        <f ca="1">C26</f>
        <v>8.9999999999999998E-4</v>
      </c>
      <c r="E22" s="228" t="s">
        <v>1498</v>
      </c>
      <c r="F22" s="229">
        <f ca="1">'数据-取费表'!B40</f>
        <v>3.1E-2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8.9999999999999998E-4</v>
      </c>
      <c r="D26" s="230"/>
      <c r="E26" s="233"/>
      <c r="F26" s="231"/>
      <c r="G26" s="235"/>
    </row>
    <row r="27" spans="1:7" s="206" customFormat="1" ht="26.4">
      <c r="A27" s="247" t="s">
        <v>1512</v>
      </c>
      <c r="B27" s="236" t="s">
        <v>1513</v>
      </c>
      <c r="C27" s="237">
        <f ca="1">C28</f>
        <v>0</v>
      </c>
      <c r="D27" s="227">
        <f ca="1">C29</f>
        <v>6.0000000000000001E-3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6.0000000000000001E-3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23</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20</v>
      </c>
      <c r="D34" s="209"/>
      <c r="E34" s="212"/>
      <c r="F34" s="249">
        <f ca="1">IF('数据-取费表'!B24=0,1,IF(B1="",'数据-取费表'!N16,INDIRECT("'数据-取费表'!n"&amp;$G$1)))</f>
        <v>1</v>
      </c>
      <c r="G34" s="211" t="s">
        <v>1526</v>
      </c>
    </row>
    <row r="35" spans="1:7" ht="13.5" customHeight="1">
      <c r="A35" s="734" t="s">
        <v>351</v>
      </c>
      <c r="B35" s="207" t="s">
        <v>1527</v>
      </c>
      <c r="C35" s="212">
        <f ca="1">ROUND(C34*F35,0)</f>
        <v>1</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v>
      </c>
      <c r="D36" s="212"/>
      <c r="E36" s="212"/>
      <c r="F36" s="251">
        <f>'数据-取费表'!B34</f>
        <v>0.05</v>
      </c>
      <c r="G36" s="252" t="s">
        <v>1530</v>
      </c>
    </row>
    <row r="37" spans="1:7" s="250" customFormat="1" ht="13.5" customHeight="1">
      <c r="A37" s="734" t="s">
        <v>353</v>
      </c>
      <c r="B37" s="207" t="s">
        <v>1531</v>
      </c>
      <c r="C37" s="241">
        <f ca="1">ROUND(E37*D37*F34/10000,0)</f>
        <v>1</v>
      </c>
      <c r="D37" s="209">
        <f ca="1">D19</f>
        <v>57.2</v>
      </c>
      <c r="E37" s="241">
        <f>'数据-取费表'!B35</f>
        <v>200</v>
      </c>
      <c r="F37" s="251"/>
      <c r="G37" s="253" t="s">
        <v>1532</v>
      </c>
    </row>
    <row r="38" spans="1:7" ht="13.5" customHeight="1">
      <c r="A38" s="734" t="s">
        <v>354</v>
      </c>
      <c r="B38" s="207" t="s">
        <v>1533</v>
      </c>
      <c r="C38" s="212">
        <f ca="1">ROUND(C34*F38,0)</f>
        <v>0</v>
      </c>
      <c r="D38" s="212"/>
      <c r="E38" s="212"/>
      <c r="F38" s="251">
        <f>'数据-取费表'!B36</f>
        <v>0.02</v>
      </c>
      <c r="G38" s="211" t="s">
        <v>1528</v>
      </c>
    </row>
    <row r="39" spans="1:7" s="206" customFormat="1" ht="13.5" customHeight="1">
      <c r="A39" s="247" t="s">
        <v>1534</v>
      </c>
      <c r="B39" s="202" t="s">
        <v>1535</v>
      </c>
      <c r="C39" s="224">
        <f ca="1">ROUND(C33*F20,0)</f>
        <v>0</v>
      </c>
      <c r="D39" s="224"/>
      <c r="E39" s="224"/>
      <c r="F39" s="225">
        <f>F20</f>
        <v>0.01</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1</v>
      </c>
      <c r="D41" s="227">
        <f ca="1">C44</f>
        <v>8.9999999999999998E-4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v>
      </c>
      <c r="D42" s="230"/>
      <c r="E42" s="230"/>
      <c r="F42" s="231"/>
      <c r="G42" s="3370" t="s">
        <v>1544</v>
      </c>
    </row>
    <row r="43" spans="1:7" ht="13.5" customHeight="1">
      <c r="A43" s="734" t="s">
        <v>347</v>
      </c>
      <c r="B43" s="207" t="s">
        <v>1545</v>
      </c>
      <c r="C43" s="230">
        <f ca="1">ROUND(IF('数据-取费表'!B22&lt;=1,C39*F22*'数据-取费表'!B21/2,C39*(POWER((1+F22),'数据-取费表'!B21/2)-1)),0)</f>
        <v>0</v>
      </c>
      <c r="D43" s="230"/>
      <c r="E43" s="230"/>
      <c r="F43" s="231"/>
      <c r="G43" s="3371"/>
    </row>
    <row r="44" spans="1:7" ht="13.5" customHeight="1">
      <c r="A44" s="734" t="s">
        <v>348</v>
      </c>
      <c r="B44" s="207" t="s">
        <v>1546</v>
      </c>
      <c r="C44" s="230">
        <f ca="1">ROUND(IF('数据-取费表'!B22&lt;=1,C40*F22*'数据-取费表'!B21/2,C40*(POWER((1+F22),'数据-取费表'!B21/2)-1)),4)</f>
        <v>8.9999999999999998E-4</v>
      </c>
      <c r="D44" s="230"/>
      <c r="E44" s="230"/>
      <c r="F44" s="231"/>
      <c r="G44" s="3372"/>
    </row>
    <row r="45" spans="1:7" s="206" customFormat="1" ht="13.5" customHeight="1">
      <c r="A45" s="247" t="s">
        <v>1547</v>
      </c>
      <c r="B45" s="236" t="s">
        <v>1513</v>
      </c>
      <c r="C45" s="237">
        <f ca="1">C46</f>
        <v>5</v>
      </c>
      <c r="D45" s="227">
        <f ca="1">C47</f>
        <v>6.0000000000000001E-3</v>
      </c>
      <c r="E45" s="228" t="s">
        <v>1539</v>
      </c>
      <c r="F45" s="238">
        <f ca="1">F27</f>
        <v>0.2</v>
      </c>
      <c r="G45" s="239" t="s">
        <v>1548</v>
      </c>
    </row>
    <row r="46" spans="1:7" s="206" customFormat="1" ht="13.5" customHeight="1">
      <c r="A46" s="734" t="s">
        <v>346</v>
      </c>
      <c r="B46" s="240" t="s">
        <v>1549</v>
      </c>
      <c r="C46" s="241">
        <f ca="1">ROUND((C33+C39)*F27,0)</f>
        <v>5</v>
      </c>
      <c r="D46" s="255"/>
      <c r="E46" s="228"/>
      <c r="F46" s="238"/>
      <c r="G46" s="239"/>
    </row>
    <row r="47" spans="1:7" s="206" customFormat="1" ht="13.5" customHeight="1">
      <c r="A47" s="734" t="s">
        <v>347</v>
      </c>
      <c r="B47" s="240" t="s">
        <v>1550</v>
      </c>
      <c r="C47" s="230">
        <f ca="1">ROUND(C40*F27,4)</f>
        <v>6.0000000000000001E-3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32</v>
      </c>
      <c r="D49" s="224"/>
      <c r="E49" s="224"/>
      <c r="F49" s="256"/>
      <c r="G49" s="226" t="s">
        <v>1554</v>
      </c>
    </row>
    <row r="50" spans="1:7" s="250" customFormat="1" ht="24">
      <c r="A50" s="247" t="s">
        <v>1555</v>
      </c>
      <c r="B50" s="202" t="s">
        <v>1556</v>
      </c>
      <c r="C50" s="224"/>
      <c r="D50" s="224"/>
      <c r="E50" s="224"/>
      <c r="F50" s="256">
        <f>IF('数据-取费表'!B24=0,'数据-取费表'!N16,1)</f>
        <v>0.62</v>
      </c>
      <c r="G50" s="239" t="s">
        <v>1557</v>
      </c>
    </row>
    <row r="51" spans="1:7" ht="16.5" customHeight="1">
      <c r="A51" s="247" t="s">
        <v>1558</v>
      </c>
      <c r="B51" s="202" t="s">
        <v>1559</v>
      </c>
      <c r="C51" s="224">
        <f ca="1">ROUND(C49*F50,0)</f>
        <v>20</v>
      </c>
      <c r="D51" s="224"/>
      <c r="E51" s="224"/>
      <c r="F51" s="256"/>
      <c r="G51" s="226" t="s">
        <v>1560</v>
      </c>
    </row>
    <row r="52" spans="1:7" s="200" customFormat="1" ht="16.8" thickBot="1">
      <c r="A52" s="257" t="s">
        <v>1561</v>
      </c>
      <c r="B52" s="258"/>
      <c r="C52" s="259">
        <f ca="1">C31+C51</f>
        <v>21</v>
      </c>
      <c r="D52" s="258"/>
      <c r="E52" s="258"/>
      <c r="F52" s="258"/>
      <c r="G52" s="260"/>
    </row>
    <row r="55" spans="1:7" ht="15">
      <c r="B55" s="262" t="s">
        <v>1562</v>
      </c>
      <c r="C55" s="263"/>
    </row>
    <row r="56" spans="1:7">
      <c r="B56" s="265" t="s">
        <v>802</v>
      </c>
      <c r="C56" s="267">
        <f ca="1">1-C57</f>
        <v>4.8000000000000043E-2</v>
      </c>
    </row>
    <row r="57" spans="1:7">
      <c r="B57" s="265" t="s">
        <v>803</v>
      </c>
      <c r="C57" s="266">
        <f ca="1">ROUND(C51/C52,3)</f>
        <v>0.95199999999999996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L14" sqref="L14"/>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0">
        <f ca="1">ROUND(IF(D2="——",C52/10000,C52/10000-E2),4)</f>
        <v>22.8536</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3995</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9152</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9152</v>
      </c>
      <c r="D8" s="214"/>
      <c r="E8" s="212"/>
      <c r="F8" s="213"/>
      <c r="G8" s="1714"/>
    </row>
    <row r="9" spans="1:8" s="206" customFormat="1" ht="13.5" customHeight="1">
      <c r="A9" s="733" t="s">
        <v>355</v>
      </c>
      <c r="B9" s="216" t="s">
        <v>1478</v>
      </c>
      <c r="C9" s="217">
        <f ca="1">ROUND(D9*E9,0)</f>
        <v>9152</v>
      </c>
      <c r="D9" s="795">
        <f ca="1">IF(B1="",'数据-汇总表'!E5,IF(INDIRECT("'数据-取费表'!c"&amp;$G$1)="住宅",INDIRECT("'数据-取费表'!k"&amp;$G$1),0))</f>
        <v>57.2</v>
      </c>
      <c r="E9" s="217">
        <f>'数据-取费表'!B27</f>
        <v>160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11440</v>
      </c>
      <c r="D19" s="204">
        <f ca="1">D9+D10</f>
        <v>57.2</v>
      </c>
      <c r="E19" s="203">
        <f>'数据-取费表'!B31</f>
        <v>200</v>
      </c>
      <c r="F19" s="223"/>
      <c r="G19" s="1714"/>
    </row>
    <row r="20" spans="1:7" s="206" customFormat="1" ht="13.5" customHeight="1">
      <c r="A20" s="247" t="s">
        <v>1574</v>
      </c>
      <c r="B20" s="202" t="s">
        <v>1575</v>
      </c>
      <c r="C20" s="224">
        <f ca="1">ROUND((C5+C19)*F20,0)</f>
        <v>206</v>
      </c>
      <c r="D20" s="224"/>
      <c r="E20" s="224"/>
      <c r="F20" s="225">
        <f>'数据-取费表'!B37</f>
        <v>0.01</v>
      </c>
      <c r="G20" s="226" t="s">
        <v>1576</v>
      </c>
    </row>
    <row r="21" spans="1:7" s="206" customFormat="1" ht="13.5" customHeight="1">
      <c r="A21" s="247" t="s">
        <v>1577</v>
      </c>
      <c r="B21" s="202" t="s">
        <v>1578</v>
      </c>
      <c r="C21" s="227">
        <f>F21</f>
        <v>0.03</v>
      </c>
      <c r="D21" s="228" t="s">
        <v>1579</v>
      </c>
      <c r="E21" s="224"/>
      <c r="F21" s="225">
        <f>'数据-取费表'!B38</f>
        <v>0.03</v>
      </c>
      <c r="G21" s="226" t="s">
        <v>1580</v>
      </c>
    </row>
    <row r="22" spans="1:7" s="206" customFormat="1" ht="13.5" customHeight="1">
      <c r="A22" s="247" t="s">
        <v>1581</v>
      </c>
      <c r="B22" s="202" t="s">
        <v>1582</v>
      </c>
      <c r="C22" s="224">
        <f ca="1">ROUND(SUM(C23:C25),0)</f>
        <v>1302</v>
      </c>
      <c r="D22" s="227">
        <f ca="1">C26</f>
        <v>8.9999999999999998E-4</v>
      </c>
      <c r="E22" s="228" t="s">
        <v>1579</v>
      </c>
      <c r="F22" s="229">
        <f ca="1">'数据-取费表'!B40</f>
        <v>3.1E-2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576</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720</v>
      </c>
      <c r="D24" s="230"/>
      <c r="E24" s="230"/>
      <c r="F24" s="231"/>
      <c r="G24" s="232" t="s">
        <v>1586</v>
      </c>
    </row>
    <row r="25" spans="1:7" s="206" customFormat="1" ht="24">
      <c r="A25" s="734" t="s">
        <v>1476</v>
      </c>
      <c r="B25" s="207" t="s">
        <v>1587</v>
      </c>
      <c r="C25" s="230">
        <f ca="1">ROUND(IF('数据-取费表'!B22&lt;=1,C20*F22*'数据-取费表'!B22/2,C20*(POWER((1+F22),'数据-取费表'!B22/2)-1)),0)</f>
        <v>6</v>
      </c>
      <c r="D25" s="230"/>
      <c r="E25" s="233"/>
      <c r="F25" s="231"/>
      <c r="G25" s="234" t="s">
        <v>1588</v>
      </c>
    </row>
    <row r="26" spans="1:7" s="206" customFormat="1">
      <c r="A26" s="734" t="s">
        <v>350</v>
      </c>
      <c r="B26" s="207" t="s">
        <v>1511</v>
      </c>
      <c r="C26" s="230">
        <f ca="1">ROUND(IF('数据-取费表'!B22&lt;=1,F21*F22*'数据-取费表'!B22/2,F21*(POWER((1+F22),'数据-取费表'!B22/2)-1)),4)</f>
        <v>8.9999999999999998E-4</v>
      </c>
      <c r="D26" s="230"/>
      <c r="E26" s="233"/>
      <c r="F26" s="231"/>
      <c r="G26" s="235"/>
    </row>
    <row r="27" spans="1:7" s="206" customFormat="1" ht="26.4">
      <c r="A27" s="247" t="s">
        <v>1512</v>
      </c>
      <c r="B27" s="236" t="s">
        <v>1513</v>
      </c>
      <c r="C27" s="237">
        <f ca="1">C28</f>
        <v>4160</v>
      </c>
      <c r="D27" s="227">
        <f ca="1">C29</f>
        <v>6.0000000000000001E-3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ROUND((C5+C19+C20)*F27,0)</f>
        <v>4160</v>
      </c>
      <c r="D28" s="227"/>
      <c r="E28" s="228"/>
      <c r="F28" s="238"/>
      <c r="G28" s="239"/>
    </row>
    <row r="29" spans="1:7" s="206" customFormat="1" ht="13.5" customHeight="1">
      <c r="A29" s="734" t="s">
        <v>347</v>
      </c>
      <c r="B29" s="240" t="s">
        <v>1517</v>
      </c>
      <c r="C29" s="230">
        <f ca="1">ROUND(C21*F27,4)</f>
        <v>6.0000000000000001E-3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28863</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235664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200200</v>
      </c>
      <c r="D34" s="209"/>
      <c r="E34" s="212"/>
      <c r="F34" s="249"/>
      <c r="G34" s="211"/>
    </row>
    <row r="35" spans="1:7" ht="13.5" customHeight="1">
      <c r="A35" s="734" t="s">
        <v>351</v>
      </c>
      <c r="B35" s="207" t="s">
        <v>1527</v>
      </c>
      <c r="C35" s="212">
        <f ca="1">ROUND(C34*F35,0)</f>
        <v>10010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10010</v>
      </c>
      <c r="D36" s="212"/>
      <c r="E36" s="212"/>
      <c r="F36" s="251">
        <f>'数据-取费表'!B34</f>
        <v>0.05</v>
      </c>
      <c r="G36" s="252" t="s">
        <v>1530</v>
      </c>
    </row>
    <row r="37" spans="1:7" s="250" customFormat="1" ht="13.5" customHeight="1">
      <c r="A37" s="734" t="s">
        <v>353</v>
      </c>
      <c r="B37" s="207" t="s">
        <v>1531</v>
      </c>
      <c r="C37" s="241">
        <f ca="1">ROUND(E37*D37,0)</f>
        <v>11440</v>
      </c>
      <c r="D37" s="209">
        <f ca="1">D19</f>
        <v>57.2</v>
      </c>
      <c r="E37" s="241">
        <f>'数据-取费表'!B35</f>
        <v>200</v>
      </c>
      <c r="F37" s="251"/>
      <c r="G37" s="253"/>
    </row>
    <row r="38" spans="1:7" ht="13.5" customHeight="1">
      <c r="A38" s="734" t="s">
        <v>354</v>
      </c>
      <c r="B38" s="207" t="s">
        <v>1533</v>
      </c>
      <c r="C38" s="212">
        <f ca="1">ROUND(C34*F38,0)</f>
        <v>4004</v>
      </c>
      <c r="D38" s="212"/>
      <c r="E38" s="212"/>
      <c r="F38" s="251">
        <f>'数据-取费表'!B36</f>
        <v>0.02</v>
      </c>
      <c r="G38" s="211" t="s">
        <v>1528</v>
      </c>
    </row>
    <row r="39" spans="1:7" s="206" customFormat="1" ht="13.5" customHeight="1">
      <c r="A39" s="247" t="s">
        <v>1534</v>
      </c>
      <c r="B39" s="202" t="s">
        <v>1535</v>
      </c>
      <c r="C39" s="224">
        <f ca="1">ROUND(C33*F20,0)</f>
        <v>2357</v>
      </c>
      <c r="D39" s="224"/>
      <c r="E39" s="224"/>
      <c r="F39" s="225">
        <f>F20</f>
        <v>0.01</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7379</v>
      </c>
      <c r="D41" s="227">
        <f ca="1">C44</f>
        <v>8.9999999999999998E-4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7306</v>
      </c>
      <c r="D42" s="230"/>
      <c r="E42" s="230"/>
      <c r="F42" s="231"/>
      <c r="G42" s="3370" t="s">
        <v>1591</v>
      </c>
    </row>
    <row r="43" spans="1:7" ht="13.5" customHeight="1">
      <c r="A43" s="734" t="s">
        <v>347</v>
      </c>
      <c r="B43" s="207" t="s">
        <v>1545</v>
      </c>
      <c r="C43" s="230">
        <f ca="1">ROUND(IF('数据-取费表'!B22&lt;=1,C39*F22*'数据-取费表'!B20/2,C39*(POWER((1+F22),'数据-取费表'!B20/2)-1)),0)</f>
        <v>73</v>
      </c>
      <c r="D43" s="230"/>
      <c r="E43" s="230"/>
      <c r="F43" s="231"/>
      <c r="G43" s="3371"/>
    </row>
    <row r="44" spans="1:7" ht="13.5" customHeight="1">
      <c r="A44" s="734" t="s">
        <v>348</v>
      </c>
      <c r="B44" s="207" t="s">
        <v>1546</v>
      </c>
      <c r="C44" s="230">
        <f ca="1">ROUND(IF('数据-取费表'!B22&lt;=1,C40*F22*'数据-取费表'!B20/2,C40*(POWER((1+F22),'数据-取费表'!B20/2)-1)),4)</f>
        <v>8.9999999999999998E-4</v>
      </c>
      <c r="D44" s="230"/>
      <c r="E44" s="230"/>
      <c r="F44" s="231"/>
      <c r="G44" s="3372"/>
    </row>
    <row r="45" spans="1:7" s="206" customFormat="1" ht="13.5" customHeight="1">
      <c r="A45" s="247" t="s">
        <v>1547</v>
      </c>
      <c r="B45" s="236" t="s">
        <v>1513</v>
      </c>
      <c r="C45" s="237">
        <f ca="1">C46</f>
        <v>47604</v>
      </c>
      <c r="D45" s="227">
        <f ca="1">C47</f>
        <v>6.0000000000000001E-3</v>
      </c>
      <c r="E45" s="228" t="s">
        <v>1539</v>
      </c>
      <c r="F45" s="238">
        <f ca="1">F27</f>
        <v>0.2</v>
      </c>
      <c r="G45" s="239" t="s">
        <v>1548</v>
      </c>
    </row>
    <row r="46" spans="1:7" s="206" customFormat="1" ht="13.5" customHeight="1">
      <c r="A46" s="734" t="s">
        <v>346</v>
      </c>
      <c r="B46" s="240" t="s">
        <v>1549</v>
      </c>
      <c r="C46" s="241">
        <f ca="1">ROUND((C33+C39)*F27,0)</f>
        <v>47604</v>
      </c>
      <c r="D46" s="255"/>
      <c r="E46" s="228"/>
      <c r="F46" s="238"/>
      <c r="G46" s="239"/>
    </row>
    <row r="47" spans="1:7" s="206" customFormat="1" ht="13.5" customHeight="1">
      <c r="A47" s="734" t="s">
        <v>347</v>
      </c>
      <c r="B47" s="240" t="s">
        <v>1550</v>
      </c>
      <c r="C47" s="230">
        <f ca="1">ROUND(C40*F27,4)</f>
        <v>6.0000000000000001E-3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322053</v>
      </c>
      <c r="D49" s="224"/>
      <c r="E49" s="224"/>
      <c r="F49" s="256"/>
      <c r="G49" s="226" t="s">
        <v>1554</v>
      </c>
    </row>
    <row r="50" spans="1:7" s="250" customFormat="1">
      <c r="A50" s="247" t="s">
        <v>1555</v>
      </c>
      <c r="B50" s="202" t="s">
        <v>1556</v>
      </c>
      <c r="C50" s="224"/>
      <c r="D50" s="224"/>
      <c r="E50" s="224"/>
      <c r="F50" s="256">
        <f>IF('数据-取费表'!B24=0,'数据-取费表'!N16,1)</f>
        <v>0.62</v>
      </c>
      <c r="G50" s="239"/>
    </row>
    <row r="51" spans="1:7" ht="16.5" customHeight="1">
      <c r="A51" s="247" t="s">
        <v>1558</v>
      </c>
      <c r="B51" s="202" t="s">
        <v>1593</v>
      </c>
      <c r="C51" s="224">
        <f ca="1">ROUND(C49*F50,0)</f>
        <v>199673</v>
      </c>
      <c r="D51" s="224"/>
      <c r="E51" s="224"/>
      <c r="F51" s="256"/>
      <c r="G51" s="226" t="s">
        <v>1560</v>
      </c>
    </row>
    <row r="52" spans="1:7" s="200" customFormat="1" ht="16.8" thickBot="1">
      <c r="A52" s="257" t="s">
        <v>1561</v>
      </c>
      <c r="B52" s="258"/>
      <c r="C52" s="259">
        <f ca="1">C31+C51</f>
        <v>228536</v>
      </c>
      <c r="D52" s="258"/>
      <c r="E52" s="258"/>
      <c r="F52" s="258"/>
      <c r="G52" s="260"/>
    </row>
    <row r="55" spans="1:7" ht="15">
      <c r="B55" s="262" t="s">
        <v>1562</v>
      </c>
      <c r="C55" s="263"/>
    </row>
    <row r="56" spans="1:7">
      <c r="B56" s="265" t="s">
        <v>802</v>
      </c>
      <c r="C56" s="267">
        <f ca="1">1-C57</f>
        <v>0.126</v>
      </c>
    </row>
    <row r="57" spans="1:7">
      <c r="B57" s="265" t="s">
        <v>803</v>
      </c>
      <c r="C57" s="266">
        <f ca="1">ROUND(C51/C52,3)</f>
        <v>0.874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L14" sqref="L1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5"/>
      <c r="F1" s="2565"/>
      <c r="G1" s="2446"/>
      <c r="H1" s="2565"/>
      <c r="I1" s="2565"/>
      <c r="J1" s="2565"/>
      <c r="K1" s="2566">
        <f>MATCH(C1,'数据-取费表'!A6:A16,0)+5</f>
        <v>7</v>
      </c>
    </row>
    <row r="2" spans="1:33" ht="18" customHeight="1">
      <c r="A2" s="193" t="s">
        <v>1462</v>
      </c>
      <c r="B2" s="196">
        <f ca="1">C32</f>
        <v>-1</v>
      </c>
      <c r="C2" s="268" t="s">
        <v>1595</v>
      </c>
      <c r="D2" s="268"/>
      <c r="E2" s="2565"/>
      <c r="F2" s="2565"/>
      <c r="G2" s="2565"/>
      <c r="H2" s="2565"/>
      <c r="I2" s="2565"/>
      <c r="J2" s="2565"/>
      <c r="K2" s="2565"/>
    </row>
    <row r="3" spans="1:33" ht="18" customHeight="1" thickBot="1">
      <c r="A3" s="195" t="s">
        <v>1464</v>
      </c>
      <c r="B3" s="196">
        <f ca="1">ROUND(B2*10000/IF(C1="",'数据-汇总表'!E3,INDIRECT("'数据-取费表'!K"&amp;$K$1)),0)</f>
        <v>-175</v>
      </c>
      <c r="C3" s="268" t="s">
        <v>1596</v>
      </c>
      <c r="D3" s="268"/>
      <c r="E3" s="2565"/>
      <c r="F3" s="2565"/>
      <c r="G3" s="2565"/>
      <c r="H3" s="2565"/>
      <c r="I3" s="2565"/>
      <c r="J3" s="2565"/>
      <c r="K3" s="2565"/>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57.2</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57.2</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v>
      </c>
      <c r="D18" s="796"/>
      <c r="E18" s="21"/>
      <c r="F18" s="756"/>
      <c r="G18" s="1720"/>
      <c r="H18" s="1106"/>
      <c r="I18" s="1721" t="s">
        <v>1625</v>
      </c>
      <c r="J18" s="759"/>
      <c r="K18" s="760"/>
    </row>
    <row r="19" spans="1:33" s="755" customFormat="1" ht="13.5" customHeight="1">
      <c r="A19" s="752" t="s">
        <v>360</v>
      </c>
      <c r="B19" s="753" t="s">
        <v>1626</v>
      </c>
      <c r="C19" s="21">
        <f ca="1">ROUND(D19*E19/10000,0)</f>
        <v>1</v>
      </c>
      <c r="D19" s="796">
        <f ca="1">IF(C1="",'数据-汇总表'!E5,IF(INDIRECT("'数据-取费表'!c"&amp;$K$1)="住宅",INDIRECT("'数据-取费表'!k"&amp;$K$1),0))</f>
        <v>57.2</v>
      </c>
      <c r="E19" s="21">
        <f>'数据-取费表'!B27</f>
        <v>160</v>
      </c>
      <c r="F19" s="756"/>
      <c r="G19" s="12"/>
      <c r="H19" s="1108"/>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200</v>
      </c>
      <c r="F20" s="756"/>
      <c r="G20" s="12"/>
      <c r="H20" s="761"/>
      <c r="I20" s="761"/>
      <c r="J20" s="761"/>
      <c r="K20" s="762"/>
    </row>
    <row r="21" spans="1:33" s="755" customFormat="1" ht="13.5" customHeight="1">
      <c r="A21" s="744" t="s">
        <v>357</v>
      </c>
      <c r="B21" s="765" t="s">
        <v>1628</v>
      </c>
      <c r="C21" s="766">
        <f ca="1">C16+C17+C18</f>
        <v>1</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0.01</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0.03</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0.2</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-1</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L14" sqref="L14"/>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6"/>
      <c r="H2" s="2466"/>
      <c r="I2" s="2466"/>
      <c r="J2" s="2466"/>
      <c r="K2" s="2467"/>
      <c r="L2" s="2466"/>
      <c r="M2" s="2466"/>
    </row>
    <row r="3" spans="1:37" ht="18" customHeight="1" thickBot="1">
      <c r="A3" s="1297" t="s">
        <v>806</v>
      </c>
      <c r="B3" s="1298">
        <f ca="1">IF(ISERROR(B2*10000/F43),0,ROUND(B2*10000/F43,0))</f>
        <v>0</v>
      </c>
      <c r="C3" s="1289" t="s">
        <v>807</v>
      </c>
      <c r="D3" s="1289"/>
      <c r="E3" s="1295"/>
      <c r="F3" s="1296"/>
      <c r="G3" s="2476"/>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75" t="s">
        <v>694</v>
      </c>
      <c r="C6" s="1011">
        <f ca="1">ROUND(F6*F8*F7*(1-F9)/10000,0)</f>
        <v>0</v>
      </c>
      <c r="D6" s="147" t="s">
        <v>2109</v>
      </c>
      <c r="E6" s="294" t="s">
        <v>696</v>
      </c>
      <c r="F6" s="295">
        <f ca="1">INDIRECT("'数据-取费表'!u"&amp;$G$1)</f>
        <v>0</v>
      </c>
      <c r="G6" s="1292"/>
      <c r="H6" s="1006" t="s">
        <v>398</v>
      </c>
      <c r="I6" s="3375" t="s">
        <v>694</v>
      </c>
      <c r="J6" s="293">
        <f ca="1">ROUND(M6*M8*M7*(1-M9)/10000,0)</f>
        <v>0</v>
      </c>
      <c r="K6" s="147" t="s">
        <v>2108</v>
      </c>
      <c r="L6" s="294" t="s">
        <v>696</v>
      </c>
      <c r="M6" s="295">
        <f ca="1">INDIRECT("'数据-取费表'!z"&amp;$G$1)</f>
        <v>0</v>
      </c>
    </row>
    <row r="7" spans="1:37" ht="18" customHeight="1">
      <c r="A7" s="1010"/>
      <c r="B7" s="3376"/>
      <c r="C7" s="1012"/>
      <c r="D7" s="299"/>
      <c r="E7" s="1013" t="s">
        <v>697</v>
      </c>
      <c r="F7" s="295">
        <f ca="1">IF(INDIRECT("'数据-取费表'!ah"&amp;$G$1)="",INDIRECT("'数据-取费表'!k"&amp;$G$1),INDIRECT("'数据-取费表'!ah"&amp;$G$1))</f>
        <v>0</v>
      </c>
      <c r="G7" s="1292"/>
      <c r="H7" s="296"/>
      <c r="I7" s="3376"/>
      <c r="J7" s="298"/>
      <c r="K7" s="299"/>
      <c r="L7" s="294" t="s">
        <v>697</v>
      </c>
      <c r="M7" s="295">
        <f ca="1">F7</f>
        <v>0</v>
      </c>
    </row>
    <row r="8" spans="1:37" ht="18" customHeight="1">
      <c r="A8" s="296"/>
      <c r="B8" s="3376"/>
      <c r="C8" s="298"/>
      <c r="D8" s="299"/>
      <c r="E8" s="294" t="s">
        <v>698</v>
      </c>
      <c r="F8" s="295">
        <f ca="1">INDIRECT("'数据-取费表'!ai"&amp;$G$1)</f>
        <v>0</v>
      </c>
      <c r="G8" s="1292"/>
      <c r="H8" s="296"/>
      <c r="I8" s="3376"/>
      <c r="J8" s="298"/>
      <c r="K8" s="299"/>
      <c r="L8" s="294" t="s">
        <v>698</v>
      </c>
      <c r="M8" s="295">
        <f ca="1">INDIRECT("'数据-取费表'!ai"&amp;$G$1)</f>
        <v>0</v>
      </c>
    </row>
    <row r="9" spans="1:37" ht="18" customHeight="1">
      <c r="A9" s="296"/>
      <c r="B9" s="3377"/>
      <c r="C9" s="298"/>
      <c r="D9" s="299"/>
      <c r="E9" s="294" t="s">
        <v>699</v>
      </c>
      <c r="F9" s="304">
        <f ca="1">INDIRECT("'数据-取费表'!w"&amp;$G$1)</f>
        <v>0</v>
      </c>
      <c r="G9" s="1292"/>
      <c r="H9" s="296"/>
      <c r="I9" s="337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37">
        <f ca="1">ROUND(IF(AND(项目基本情况!B11="自然人",项目基本情况!B10="北京市"),J6*M17/(1+'数据-取费表'!C42),J18+J19+J20),2)</f>
        <v>0</v>
      </c>
      <c r="K17" s="1257" t="s">
        <v>720</v>
      </c>
      <c r="L17" s="1256" t="s">
        <v>721</v>
      </c>
      <c r="M17" s="2136">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3335</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0.01</v>
      </c>
      <c r="G20" s="1303"/>
      <c r="H20" s="928" t="s">
        <v>680</v>
      </c>
      <c r="I20" s="147" t="s">
        <v>730</v>
      </c>
      <c r="J20" s="22">
        <f ca="1">ROUND(M20*M21/10000,2)</f>
        <v>0</v>
      </c>
      <c r="K20" s="316" t="s">
        <v>731</v>
      </c>
      <c r="L20" s="294" t="s">
        <v>732</v>
      </c>
      <c r="M20" s="317">
        <f>'数据-取费表'!B52</f>
        <v>18</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68"/>
      <c r="I30" s="1305"/>
      <c r="J30" s="1306"/>
      <c r="K30" s="121"/>
      <c r="L30" s="2469"/>
      <c r="M30" s="2470"/>
    </row>
    <row r="31" spans="1:37" ht="18" customHeight="1">
      <c r="A31" s="928" t="s">
        <v>398</v>
      </c>
      <c r="B31" s="294" t="s">
        <v>719</v>
      </c>
      <c r="C31" s="2137">
        <f ca="1">ROUND(IF(AND(项目基本情况!B11="自然人",项目基本情况!B10="北京市"),C6*F31/(1+'数据-取费表'!C42),C32+C33+C34),2)</f>
        <v>0</v>
      </c>
      <c r="D31" s="1257" t="s">
        <v>720</v>
      </c>
      <c r="E31" s="1256" t="s">
        <v>770</v>
      </c>
      <c r="F31" s="2136">
        <f ca="1">IF(项目基本情况!B11="企业","——",IF(M47="住宅",IF(F6*F7*F8/12/(1+'数据-取费表'!F30)&gt;100000,4%,2.5%),IF(F6*F7*F8/12/(1+'数据-取费表'!F30)&gt;100000,12%,7%)))</f>
        <v>7.0000000000000007E-2</v>
      </c>
      <c r="G31" s="1292"/>
      <c r="H31" s="2567" t="s">
        <v>2306</v>
      </c>
      <c r="I31" s="1305"/>
      <c r="J31" s="1306"/>
      <c r="K31" s="121"/>
      <c r="L31" s="2469"/>
      <c r="M31" s="2470"/>
    </row>
    <row r="32" spans="1:37" ht="18" customHeight="1">
      <c r="A32" s="928" t="s">
        <v>397</v>
      </c>
      <c r="B32" s="294" t="s">
        <v>723</v>
      </c>
      <c r="C32" s="21" t="str">
        <f>IF(项目基本情况!B11="自然人","——",ROUND(C6*F32/(1+'数据-取费表'!C42),2))</f>
        <v>——</v>
      </c>
      <c r="D32" s="1256" t="s">
        <v>724</v>
      </c>
      <c r="E32" s="294" t="s">
        <v>712</v>
      </c>
      <c r="F32" s="322">
        <f>'数据-取费表'!B41</f>
        <v>5.6000000000000001E-2</v>
      </c>
      <c r="G32" s="1292"/>
      <c r="H32" s="2468"/>
      <c r="I32" s="1305"/>
      <c r="J32" s="1306"/>
      <c r="K32" s="121"/>
      <c r="L32" s="2469"/>
      <c r="M32" s="2470"/>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3335</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t="str">
        <f>IF(项目基本情况!B11="自然人","——",ROUND(F34*F35/10000,2))</f>
        <v>——</v>
      </c>
      <c r="D34" s="316" t="s">
        <v>731</v>
      </c>
      <c r="E34" s="294" t="s">
        <v>732</v>
      </c>
      <c r="F34" s="317">
        <f>'数据-取费表'!B52</f>
        <v>18</v>
      </c>
      <c r="G34" s="1292"/>
      <c r="H34" s="2468"/>
      <c r="I34" s="1305"/>
      <c r="J34" s="1306"/>
      <c r="K34" s="2473"/>
      <c r="L34" s="2474"/>
      <c r="M34" s="2474"/>
    </row>
    <row r="35" spans="1:18" ht="18" customHeight="1">
      <c r="A35" s="1040"/>
      <c r="B35" s="1038"/>
      <c r="C35" s="26"/>
      <c r="D35" s="319"/>
      <c r="E35" s="294" t="s">
        <v>736</v>
      </c>
      <c r="F35" s="295">
        <f ca="1">INDIRECT("'数据-取费表'!r"&amp;$G$1)</f>
        <v>0</v>
      </c>
      <c r="G35" s="1292"/>
      <c r="H35" s="2468"/>
      <c r="I35" s="1305"/>
      <c r="J35" s="1306"/>
      <c r="K35" s="2472"/>
      <c r="L35" s="2471"/>
      <c r="M35" s="2471"/>
    </row>
    <row r="36" spans="1:18" ht="18" customHeight="1">
      <c r="A36" s="1039" t="s">
        <v>402</v>
      </c>
      <c r="B36" s="294" t="s">
        <v>738</v>
      </c>
      <c r="C36" s="21">
        <f ca="1">ROUND(C29*F36,2)</f>
        <v>0</v>
      </c>
      <c r="D36" s="1256" t="s">
        <v>771</v>
      </c>
      <c r="E36" s="294" t="s">
        <v>712</v>
      </c>
      <c r="F36" s="320">
        <f ca="1">INDIRECT("'数据-取费表'!Ak"&amp;$G$1)</f>
        <v>0</v>
      </c>
      <c r="G36" s="1292"/>
      <c r="H36" s="2471"/>
      <c r="I36" s="1305"/>
      <c r="J36" s="1306"/>
      <c r="K36" s="2328"/>
      <c r="L36" s="2471"/>
      <c r="M36" s="2471"/>
    </row>
    <row r="37" spans="1:18" ht="18" customHeight="1">
      <c r="A37" s="928" t="s">
        <v>437</v>
      </c>
      <c r="B37" s="294" t="s">
        <v>742</v>
      </c>
      <c r="C37" s="21">
        <f ca="1">ROUND(C13*F37,2)</f>
        <v>0</v>
      </c>
      <c r="D37" s="1256" t="s">
        <v>743</v>
      </c>
      <c r="E37" s="294" t="s">
        <v>744</v>
      </c>
      <c r="F37" s="321">
        <f ca="1">INDIRECT("'数据-取费表'!Al"&amp;$G$1)</f>
        <v>0</v>
      </c>
      <c r="G37" s="1292"/>
      <c r="H37" s="2471"/>
      <c r="I37" s="1305"/>
      <c r="J37" s="1306"/>
      <c r="K37" s="2328"/>
      <c r="L37" s="2471"/>
      <c r="M37" s="2471"/>
    </row>
    <row r="38" spans="1:18" ht="18" customHeight="1" thickBot="1">
      <c r="A38" s="1026" t="s">
        <v>684</v>
      </c>
      <c r="B38" s="1027" t="s">
        <v>728</v>
      </c>
      <c r="C38" s="1028">
        <f ca="1">ROUND(C5*F38,2)</f>
        <v>0</v>
      </c>
      <c r="D38" s="1029" t="s">
        <v>748</v>
      </c>
      <c r="E38" s="1027" t="s">
        <v>744</v>
      </c>
      <c r="F38" s="1023">
        <f ca="1">INDIRECT("'数据-取费表'!Am"&amp;$G$1)</f>
        <v>0</v>
      </c>
      <c r="G38" s="1292"/>
      <c r="H38" s="2471"/>
      <c r="I38" s="1305"/>
      <c r="J38" s="1306"/>
      <c r="K38" s="2469"/>
      <c r="L38" s="2471"/>
      <c r="M38" s="2471"/>
    </row>
    <row r="39" spans="1:18" ht="24.6" customHeight="1" thickTop="1">
      <c r="A39" s="1016" t="s">
        <v>394</v>
      </c>
      <c r="B39" s="1031" t="s">
        <v>772</v>
      </c>
      <c r="C39" s="302">
        <f ca="1">C5-C30</f>
        <v>0</v>
      </c>
      <c r="D39" s="1032" t="s">
        <v>773</v>
      </c>
      <c r="E39" s="1033"/>
      <c r="F39" s="1034"/>
      <c r="G39" s="1292"/>
      <c r="H39" s="2471"/>
      <c r="I39" s="1305"/>
      <c r="J39" s="1306"/>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69"/>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28"/>
      <c r="L41" s="121"/>
      <c r="M41" s="121"/>
    </row>
    <row r="42" spans="1:18" ht="18" customHeight="1">
      <c r="A42" s="300"/>
      <c r="B42" s="301"/>
      <c r="C42" s="302"/>
      <c r="D42" s="319"/>
      <c r="E42" s="294" t="s">
        <v>766</v>
      </c>
      <c r="F42" s="304">
        <f ca="1">INDIRECT("'数据-取费表'!v"&amp;$G$1)</f>
        <v>0</v>
      </c>
      <c r="G42" s="1292"/>
      <c r="H42" s="121"/>
      <c r="I42" s="1305"/>
      <c r="J42" s="1306"/>
      <c r="K42" s="2328"/>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28"/>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5"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3">
        <f ca="1">IF(M47="住宅",IF(D1="——",MAX(J51,L48),MAX(J51,L48-'数据-取费表'!B24)),IF(D1="——",MIN(J51,L48),MIN(J51,L48-'数据-取费表'!B24)))</f>
        <v>0</v>
      </c>
      <c r="K53" s="3373" t="s">
        <v>837</v>
      </c>
      <c r="L53" s="3374"/>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37">
        <f ca="1">ROUND(IF(AND(项目基本情况!B11="自然人",项目基本情况!B10="北京市"),C49*F59/(1+'数据-取费表'!C42),C60+C61+C62),0)</f>
        <v>0</v>
      </c>
      <c r="D59" s="909" t="s">
        <v>720</v>
      </c>
      <c r="E59" s="910" t="s">
        <v>721</v>
      </c>
      <c r="F59" s="2136">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t="str">
        <f>IF(项目基本情况!B11="自然人","——",ROUND(C48*F60/(1+'数据-取费表'!C42),2))</f>
        <v>——</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t="str">
        <f ca="1">IF(项目基本情况!B11="自然人","——",IF(D61="按租金收入计税",ROUND(C49*F61/(1+'数据-取费表'!C42),2),IF(D61="按房产原值计税",ROUND(C57*F61*0.7,2),INDIRECT("'数据-取费表'!Aj"&amp;$G$1))))</f>
        <v>——</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t="str">
        <f>IF(项目基本情况!B11="自然人","——",ROUND(F62*F63/10000,2))</f>
        <v>——</v>
      </c>
      <c r="D62" s="911" t="s">
        <v>786</v>
      </c>
      <c r="E62" s="896" t="s">
        <v>787</v>
      </c>
      <c r="F62" s="317">
        <f t="shared" si="0"/>
        <v>18</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D36" sqref="D36"/>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3422</v>
      </c>
      <c r="D1" s="1271" t="s">
        <v>43</v>
      </c>
      <c r="E1" s="1272" t="s">
        <v>678</v>
      </c>
      <c r="F1" s="999">
        <f ca="1">J53</f>
        <v>43</v>
      </c>
      <c r="G1" s="1286">
        <f>MATCH(C1,'数据-取费表'!A6:A16,0)+5</f>
        <v>6</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1">
        <f ca="1">ROUND(D2/10000,4)</f>
        <v>274.77530000000002</v>
      </c>
      <c r="C2" s="1289" t="s">
        <v>879</v>
      </c>
      <c r="D2" s="1375">
        <f ca="1">C40+J29+L46</f>
        <v>2747753</v>
      </c>
      <c r="E2" s="1295" t="s">
        <v>880</v>
      </c>
      <c r="F2" s="1296"/>
      <c r="G2" s="2476"/>
      <c r="H2" s="2466"/>
      <c r="I2" s="2466"/>
      <c r="J2" s="2466"/>
      <c r="K2" s="2467"/>
      <c r="L2" s="2466"/>
      <c r="M2" s="2466"/>
    </row>
    <row r="3" spans="1:37" ht="18" customHeight="1" thickBot="1">
      <c r="A3" s="1297" t="s">
        <v>881</v>
      </c>
      <c r="B3" s="1298">
        <f ca="1">IF(ISERROR(D2/F43),0,ROUND(D2/F43,0))</f>
        <v>48038</v>
      </c>
      <c r="C3" s="1289" t="s">
        <v>882</v>
      </c>
      <c r="D3" s="1289"/>
      <c r="E3" s="1295"/>
      <c r="F3" s="1296"/>
      <c r="G3" s="2476"/>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67344</v>
      </c>
      <c r="D5" s="1273" t="s">
        <v>889</v>
      </c>
      <c r="E5" s="1008"/>
      <c r="F5" s="1009"/>
      <c r="G5" s="1292"/>
      <c r="H5" s="291">
        <v>1</v>
      </c>
      <c r="I5" s="292" t="s">
        <v>888</v>
      </c>
      <c r="J5" s="1007">
        <f ca="1">J6+J10+J12</f>
        <v>0</v>
      </c>
      <c r="K5" s="1273" t="s">
        <v>889</v>
      </c>
      <c r="L5" s="1008"/>
      <c r="M5" s="1009"/>
    </row>
    <row r="6" spans="1:37" ht="18" customHeight="1">
      <c r="A6" s="1006" t="s">
        <v>398</v>
      </c>
      <c r="B6" s="3375" t="s">
        <v>694</v>
      </c>
      <c r="C6" s="1011">
        <f ca="1">ROUND(F6*F8*F7*(1-F9),0)</f>
        <v>67260</v>
      </c>
      <c r="D6" s="147" t="s">
        <v>2106</v>
      </c>
      <c r="E6" s="294" t="s">
        <v>696</v>
      </c>
      <c r="F6" s="295">
        <v>5900</v>
      </c>
      <c r="G6" s="1292"/>
      <c r="H6" s="1006" t="s">
        <v>398</v>
      </c>
      <c r="I6" s="3375" t="s">
        <v>694</v>
      </c>
      <c r="J6" s="293">
        <f ca="1">ROUND(M6*M8*M7*(1-M9),0)</f>
        <v>0</v>
      </c>
      <c r="K6" s="1284" t="s">
        <v>2107</v>
      </c>
      <c r="L6" s="294" t="s">
        <v>696</v>
      </c>
      <c r="M6" s="295">
        <f ca="1">INDIRECT("'数据-取费表'!z"&amp;$G$1)</f>
        <v>0</v>
      </c>
    </row>
    <row r="7" spans="1:37" ht="18" customHeight="1">
      <c r="A7" s="1010"/>
      <c r="B7" s="3376"/>
      <c r="C7" s="1012"/>
      <c r="D7" s="299"/>
      <c r="E7" s="1013" t="s">
        <v>697</v>
      </c>
      <c r="F7" s="295">
        <f ca="1">IF(INDIRECT("'数据-取费表'!ah"&amp;$G$1)="",INDIRECT("'数据-取费表'!k"&amp;$G$1),INDIRECT("'数据-取费表'!ah"&amp;$G$1))</f>
        <v>1</v>
      </c>
      <c r="G7" s="1292"/>
      <c r="H7" s="296"/>
      <c r="I7" s="3376"/>
      <c r="J7" s="298"/>
      <c r="K7" s="299"/>
      <c r="L7" s="294" t="s">
        <v>697</v>
      </c>
      <c r="M7" s="295">
        <f ca="1">F7</f>
        <v>1</v>
      </c>
    </row>
    <row r="8" spans="1:37" ht="18" customHeight="1">
      <c r="A8" s="296"/>
      <c r="B8" s="3376"/>
      <c r="C8" s="298"/>
      <c r="D8" s="299"/>
      <c r="E8" s="294" t="s">
        <v>698</v>
      </c>
      <c r="F8" s="295">
        <f ca="1">INDIRECT("'数据-取费表'!ai"&amp;$G$1)</f>
        <v>12</v>
      </c>
      <c r="G8" s="1292"/>
      <c r="H8" s="296"/>
      <c r="I8" s="3376"/>
      <c r="J8" s="298"/>
      <c r="K8" s="299"/>
      <c r="L8" s="294" t="s">
        <v>698</v>
      </c>
      <c r="M8" s="295">
        <f ca="1">INDIRECT("'数据-取费表'!ai"&amp;$G$1)</f>
        <v>12</v>
      </c>
    </row>
    <row r="9" spans="1:37" ht="18" customHeight="1">
      <c r="A9" s="296"/>
      <c r="B9" s="3377"/>
      <c r="C9" s="298"/>
      <c r="D9" s="299"/>
      <c r="E9" s="294" t="s">
        <v>699</v>
      </c>
      <c r="F9" s="304">
        <f ca="1">INDIRECT("'数据-取费表'!w"&amp;$G$1)</f>
        <v>0.05</v>
      </c>
      <c r="G9" s="1292"/>
      <c r="H9" s="296"/>
      <c r="I9" s="3377"/>
      <c r="J9" s="298"/>
      <c r="K9" s="299"/>
      <c r="L9" s="305" t="s">
        <v>699</v>
      </c>
      <c r="M9" s="306">
        <f ca="1">INDIRECT("'数据-取费表'!ab"&amp;$G$1)</f>
        <v>0</v>
      </c>
    </row>
    <row r="10" spans="1:37" ht="18" customHeight="1">
      <c r="A10" s="1006" t="s">
        <v>402</v>
      </c>
      <c r="B10" s="1274" t="s">
        <v>700</v>
      </c>
      <c r="C10" s="308">
        <f ca="1">ROUND(IF(F10="押一",C6/12*F11,IF(F10="押二",C6/12*2*F11,IF(F10="押三",C6/12*3*F11,C11*F11))),0)</f>
        <v>84</v>
      </c>
      <c r="D10" s="150" t="s">
        <v>2116</v>
      </c>
      <c r="E10" s="305" t="s">
        <v>701</v>
      </c>
      <c r="F10" s="1053" t="s">
        <v>3431</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191248</v>
      </c>
      <c r="D13" s="1018" t="s">
        <v>705</v>
      </c>
      <c r="E13" s="1018" t="s">
        <v>706</v>
      </c>
      <c r="F13" s="1019">
        <f ca="1">INDIRECT("'数据-取费表'!y"&amp;$G$1)</f>
        <v>0.62</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200200</v>
      </c>
      <c r="D14" s="1257" t="s">
        <v>708</v>
      </c>
      <c r="E14" s="1255"/>
      <c r="F14" s="311"/>
      <c r="G14" s="1292"/>
      <c r="H14" s="928" t="s">
        <v>398</v>
      </c>
      <c r="I14" s="294" t="s">
        <v>709</v>
      </c>
      <c r="J14" s="21">
        <f ca="1">C29</f>
        <v>308464</v>
      </c>
      <c r="K14" s="12"/>
      <c r="L14" s="759"/>
      <c r="M14" s="760"/>
    </row>
    <row r="15" spans="1:37" s="1304" customFormat="1" ht="18" customHeight="1" thickBot="1">
      <c r="A15" s="928" t="s">
        <v>399</v>
      </c>
      <c r="B15" s="294" t="s">
        <v>710</v>
      </c>
      <c r="C15" s="21">
        <f ca="1">ROUND(C14*F15,0)</f>
        <v>10010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10010</v>
      </c>
      <c r="D16" s="294" t="s">
        <v>711</v>
      </c>
      <c r="E16" s="294" t="s">
        <v>712</v>
      </c>
      <c r="F16" s="314">
        <f ca="1">IF(INDIRECT("'数据-取费表'!c"&amp;$G$1)="住宅",'数据-取费表'!B34,0)</f>
        <v>0.05</v>
      </c>
      <c r="G16" s="1292"/>
      <c r="H16" s="1016" t="s">
        <v>393</v>
      </c>
      <c r="I16" s="1017" t="s">
        <v>714</v>
      </c>
      <c r="J16" s="302">
        <f ca="1">ROUND(J17+J22+J23+J24,0)</f>
        <v>308</v>
      </c>
      <c r="K16" s="1024" t="s">
        <v>715</v>
      </c>
      <c r="L16" s="1025"/>
      <c r="M16" s="1009"/>
    </row>
    <row r="17" spans="1:37" s="1304" customFormat="1" ht="18" customHeight="1">
      <c r="A17" s="928" t="s">
        <v>681</v>
      </c>
      <c r="B17" s="294" t="s">
        <v>716</v>
      </c>
      <c r="C17" s="21">
        <f ca="1">ROUND(F17*(F43+INDIRECT("'数据-取费表'!S"&amp;$G$1)),0)</f>
        <v>11440</v>
      </c>
      <c r="D17" s="294" t="s">
        <v>717</v>
      </c>
      <c r="E17" s="294" t="s">
        <v>718</v>
      </c>
      <c r="F17" s="23">
        <f>'数据-取费表'!B35</f>
        <v>200</v>
      </c>
      <c r="G17" s="1303"/>
      <c r="H17" s="928" t="s">
        <v>398</v>
      </c>
      <c r="I17" s="294" t="s">
        <v>719</v>
      </c>
      <c r="J17" s="2137">
        <f ca="1">ROUND(IF(AND(项目基本情况!B11="自然人",项目基本情况!B10="北京市"),J6*M17/(1+'数据-取费表'!C42),J18+J19+J20),0)</f>
        <v>0</v>
      </c>
      <c r="K17" s="1257" t="s">
        <v>720</v>
      </c>
      <c r="L17" s="1256" t="s">
        <v>721</v>
      </c>
      <c r="M17" s="2136">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4004</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235664</v>
      </c>
      <c r="D19" s="123" t="s">
        <v>726</v>
      </c>
      <c r="E19" s="1269"/>
      <c r="F19" s="23"/>
      <c r="G19" s="1292"/>
      <c r="H19" s="928" t="s">
        <v>399</v>
      </c>
      <c r="I19" s="294" t="s">
        <v>727</v>
      </c>
      <c r="J19" s="21">
        <f ca="1">IF(K19="按租金收入计税",ROUND(J6*M19/(1+'数据-取费表'!C42),0),ROUND(C29*M19*0.7,0))</f>
        <v>0</v>
      </c>
      <c r="K19" s="1278" t="s">
        <v>3335</v>
      </c>
      <c r="L19" s="294" t="s">
        <v>712</v>
      </c>
      <c r="M19" s="314">
        <f>IF(K19="按租金收入计税",'数据-取费表'!B51,'数据-取费表'!B50)</f>
        <v>0.12</v>
      </c>
    </row>
    <row r="20" spans="1:37" s="1304" customFormat="1" ht="18" customHeight="1">
      <c r="A20" s="928" t="s">
        <v>402</v>
      </c>
      <c r="B20" s="294" t="s">
        <v>728</v>
      </c>
      <c r="C20" s="21">
        <f ca="1">ROUND(C19*F20,0)</f>
        <v>2357</v>
      </c>
      <c r="D20" s="315" t="s">
        <v>729</v>
      </c>
      <c r="E20" s="294" t="s">
        <v>712</v>
      </c>
      <c r="F20" s="314">
        <f>'数据-取费表'!B37</f>
        <v>0.01</v>
      </c>
      <c r="G20" s="1303"/>
      <c r="H20" s="928" t="s">
        <v>680</v>
      </c>
      <c r="I20" s="147" t="s">
        <v>730</v>
      </c>
      <c r="J20" s="22">
        <f ca="1">ROUND(M20*M21,0)</f>
        <v>0</v>
      </c>
      <c r="K20" s="316" t="s">
        <v>731</v>
      </c>
      <c r="L20" s="294" t="s">
        <v>732</v>
      </c>
      <c r="M20" s="317">
        <f>'数据-取费表'!B52</f>
        <v>18</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308</v>
      </c>
      <c r="K22" s="1256" t="s">
        <v>739</v>
      </c>
      <c r="L22" s="294" t="s">
        <v>712</v>
      </c>
      <c r="M22" s="320">
        <f ca="1">INDIRECT("'数据-取费表'!Ak"&amp;$G$1)</f>
        <v>1E-3</v>
      </c>
    </row>
    <row r="23" spans="1:37" s="1304" customFormat="1" ht="18" customHeight="1">
      <c r="A23" s="928" t="s">
        <v>397</v>
      </c>
      <c r="B23" s="294" t="s">
        <v>740</v>
      </c>
      <c r="C23" s="21">
        <f ca="1">IF('数据-取费表'!B22&lt;=1,ROUND(C19*F24*F23/2,0)+ROUND(C20*F24*F23/2,0),ROUND(C19*(POWER((1+F24),F23/2)-1),0)+ROUND(C20*(POWER((1+F24),F23/2)-1),0))</f>
        <v>7379</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1E-3</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-308</v>
      </c>
      <c r="K25" s="1032" t="s">
        <v>753</v>
      </c>
      <c r="L25" s="1033"/>
      <c r="M25" s="1034"/>
    </row>
    <row r="26" spans="1:37" ht="18" customHeight="1">
      <c r="A26" s="928" t="s">
        <v>397</v>
      </c>
      <c r="B26" s="294" t="s">
        <v>754</v>
      </c>
      <c r="C26" s="21">
        <f ca="1">ROUND((C19+C20)*F26,0)</f>
        <v>35703</v>
      </c>
      <c r="D26" s="315" t="s">
        <v>755</v>
      </c>
      <c r="E26" s="305" t="s">
        <v>756</v>
      </c>
      <c r="F26" s="304">
        <v>0.15</v>
      </c>
      <c r="G26" s="1292"/>
      <c r="H26" s="291" t="s">
        <v>395</v>
      </c>
      <c r="I26" s="292" t="s">
        <v>757</v>
      </c>
      <c r="J26" s="293">
        <f ca="1">IF(J5&lt;&gt;0,ROUND(J25*(1-((1+M28)/(1+M26))^M27)/(M26-M28),0),0)</f>
        <v>0</v>
      </c>
      <c r="K26" s="316" t="s">
        <v>758</v>
      </c>
      <c r="L26" s="294" t="s">
        <v>759</v>
      </c>
      <c r="M26" s="304">
        <f ca="1">INDIRECT("'数据-取费表'!I"&amp;$G$1)</f>
        <v>0.04</v>
      </c>
    </row>
    <row r="27" spans="1:37" ht="18" customHeight="1">
      <c r="A27" s="928" t="s">
        <v>399</v>
      </c>
      <c r="B27" s="294" t="s">
        <v>760</v>
      </c>
      <c r="C27" s="21">
        <f>ROUND(F21*F26,4)</f>
        <v>4.4999999999999997E-3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308464</v>
      </c>
      <c r="D29" s="1029"/>
      <c r="E29" s="1027"/>
      <c r="F29" s="1030"/>
      <c r="G29" s="1303"/>
      <c r="H29" s="325" t="s">
        <v>396</v>
      </c>
      <c r="I29" s="326" t="s">
        <v>768</v>
      </c>
      <c r="J29" s="327">
        <f ca="1">ROUND(J26/(1+F40)^F41,0)</f>
        <v>0</v>
      </c>
      <c r="K29" s="328" t="s">
        <v>769</v>
      </c>
      <c r="L29" s="329"/>
      <c r="M29" s="330">
        <f ca="1">INDIRECT("'数据-取费表'!k"&amp;$G$1)</f>
        <v>57.2</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2773</v>
      </c>
      <c r="D30" s="1024" t="s">
        <v>715</v>
      </c>
      <c r="E30" s="1025"/>
      <c r="F30" s="1009"/>
      <c r="G30" s="1292"/>
      <c r="H30" s="2468"/>
      <c r="I30" s="1305"/>
      <c r="J30" s="1306"/>
      <c r="K30" s="121"/>
      <c r="L30" s="2469"/>
      <c r="M30" s="2470"/>
    </row>
    <row r="31" spans="1:37" ht="18" customHeight="1">
      <c r="A31" s="928" t="s">
        <v>398</v>
      </c>
      <c r="B31" s="294" t="s">
        <v>719</v>
      </c>
      <c r="C31" s="2137">
        <f ca="1">ROUND(IF(AND(项目基本情况!B11="自然人",项目基本情况!B10="北京市"),C6*F31/(1+'数据-取费表'!C42),C32+C33+C34),0)</f>
        <v>1601</v>
      </c>
      <c r="D31" s="1257" t="s">
        <v>720</v>
      </c>
      <c r="E31" s="1256" t="s">
        <v>770</v>
      </c>
      <c r="F31" s="2136">
        <f ca="1">IF(项目基本情况!B11="企业","——",IF(M47="住宅",IF(F6*F7*F8/12/(1+'数据-取费表'!F30)&gt;100000,4%,2.5%),IF(F6*F7*F8/12/(1+'数据-取费表'!F30)&gt;100000,12%,7%)))</f>
        <v>2.5000000000000001E-2</v>
      </c>
      <c r="G31" s="1292"/>
      <c r="H31" s="2567" t="s">
        <v>2306</v>
      </c>
      <c r="I31" s="1305"/>
      <c r="J31" s="1306"/>
      <c r="K31" s="121"/>
      <c r="L31" s="2469"/>
      <c r="M31" s="2470"/>
    </row>
    <row r="32" spans="1:37" ht="18" customHeight="1">
      <c r="A32" s="928" t="s">
        <v>397</v>
      </c>
      <c r="B32" s="294" t="s">
        <v>723</v>
      </c>
      <c r="C32" s="21" t="str">
        <f>IF(项目基本情况!B11="自然人","——",ROUND(C6*F32/(1+'数据-取费表'!C42),0))</f>
        <v>——</v>
      </c>
      <c r="D32" s="1256" t="s">
        <v>724</v>
      </c>
      <c r="E32" s="294" t="s">
        <v>712</v>
      </c>
      <c r="F32" s="322">
        <f>'数据-取费表'!B41</f>
        <v>5.6000000000000001E-2</v>
      </c>
      <c r="G32" s="1292"/>
      <c r="H32" s="2468"/>
      <c r="I32" s="1305"/>
      <c r="J32" s="1306"/>
      <c r="K32" s="121"/>
      <c r="L32" s="2469"/>
      <c r="M32" s="2470"/>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3335</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t="str">
        <f>IF(项目基本情况!B11="自然人","——",ROUND(F34*F35,0))</f>
        <v>——</v>
      </c>
      <c r="D34" s="316" t="s">
        <v>731</v>
      </c>
      <c r="E34" s="294" t="s">
        <v>732</v>
      </c>
      <c r="F34" s="317">
        <f>'数据-取费表'!B52</f>
        <v>18</v>
      </c>
      <c r="G34" s="1292"/>
      <c r="H34" s="2468"/>
      <c r="I34" s="1305"/>
      <c r="J34" s="1306"/>
      <c r="K34" s="2473"/>
      <c r="L34" s="2474"/>
      <c r="M34" s="2474"/>
    </row>
    <row r="35" spans="1:18" ht="18" customHeight="1">
      <c r="A35" s="1040"/>
      <c r="B35" s="1038"/>
      <c r="C35" s="26"/>
      <c r="D35" s="319"/>
      <c r="E35" s="294" t="s">
        <v>736</v>
      </c>
      <c r="F35" s="295">
        <f ca="1">INDIRECT("'数据-取费表'!r"&amp;$G$1)</f>
        <v>0</v>
      </c>
      <c r="G35" s="1292"/>
      <c r="H35" s="2468"/>
      <c r="I35" s="1305"/>
      <c r="J35" s="1306"/>
      <c r="K35" s="2472"/>
      <c r="L35" s="2471"/>
      <c r="M35" s="2471"/>
    </row>
    <row r="36" spans="1:18" ht="18" customHeight="1">
      <c r="A36" s="1039" t="s">
        <v>402</v>
      </c>
      <c r="B36" s="294" t="s">
        <v>738</v>
      </c>
      <c r="C36" s="21">
        <f ca="1">ROUND(C29*F36,0)</f>
        <v>308</v>
      </c>
      <c r="D36" s="1256" t="s">
        <v>771</v>
      </c>
      <c r="E36" s="294" t="s">
        <v>712</v>
      </c>
      <c r="F36" s="320">
        <f ca="1">INDIRECT("'数据-取费表'!Ak"&amp;$G$1)</f>
        <v>1E-3</v>
      </c>
      <c r="G36" s="1292"/>
      <c r="H36" s="2471"/>
      <c r="I36" s="1305"/>
      <c r="J36" s="1306"/>
      <c r="K36" s="2328"/>
      <c r="L36" s="2471"/>
      <c r="M36" s="2471"/>
    </row>
    <row r="37" spans="1:18" ht="18" customHeight="1">
      <c r="A37" s="928" t="s">
        <v>437</v>
      </c>
      <c r="B37" s="294" t="s">
        <v>742</v>
      </c>
      <c r="C37" s="21">
        <f ca="1">ROUND(C13*F37,0)</f>
        <v>191</v>
      </c>
      <c r="D37" s="1256" t="s">
        <v>743</v>
      </c>
      <c r="E37" s="294" t="s">
        <v>744</v>
      </c>
      <c r="F37" s="321">
        <f ca="1">INDIRECT("'数据-取费表'!Al"&amp;$G$1)</f>
        <v>1E-3</v>
      </c>
      <c r="G37" s="1292"/>
      <c r="H37" s="2471"/>
      <c r="I37" s="1305"/>
      <c r="J37" s="1306"/>
      <c r="K37" s="2328"/>
      <c r="L37" s="2471"/>
      <c r="M37" s="2471"/>
    </row>
    <row r="38" spans="1:18" ht="18" customHeight="1" thickBot="1">
      <c r="A38" s="1026" t="s">
        <v>684</v>
      </c>
      <c r="B38" s="1027" t="s">
        <v>728</v>
      </c>
      <c r="C38" s="1028">
        <f ca="1">ROUND(C5*F38,0)</f>
        <v>673</v>
      </c>
      <c r="D38" s="1029" t="s">
        <v>748</v>
      </c>
      <c r="E38" s="1027" t="s">
        <v>744</v>
      </c>
      <c r="F38" s="1023">
        <v>0.01</v>
      </c>
      <c r="G38" s="1292"/>
      <c r="H38" s="2471"/>
      <c r="I38" s="1305"/>
      <c r="J38" s="1306"/>
      <c r="K38" s="2469"/>
      <c r="L38" s="2471"/>
      <c r="M38" s="2471"/>
    </row>
    <row r="39" spans="1:18" ht="24.6" customHeight="1" thickTop="1">
      <c r="A39" s="1016" t="s">
        <v>394</v>
      </c>
      <c r="B39" s="1031" t="s">
        <v>772</v>
      </c>
      <c r="C39" s="302">
        <f ca="1">C5-C30</f>
        <v>64571</v>
      </c>
      <c r="D39" s="1032" t="s">
        <v>773</v>
      </c>
      <c r="E39" s="1033"/>
      <c r="F39" s="1034"/>
      <c r="G39" s="1292"/>
      <c r="H39" s="2471"/>
      <c r="I39" s="1305"/>
      <c r="J39" s="1306"/>
      <c r="K39" s="2469"/>
      <c r="L39" s="2471"/>
      <c r="M39" s="2471"/>
    </row>
    <row r="40" spans="1:18" ht="18" customHeight="1">
      <c r="A40" s="291" t="s">
        <v>395</v>
      </c>
      <c r="B40" s="292" t="s">
        <v>774</v>
      </c>
      <c r="C40" s="293">
        <f ca="1">ROUND(C39*(1-((1+F42)/(1+F40))^F41)/(F40-F42),0)</f>
        <v>2747753</v>
      </c>
      <c r="D40" s="316" t="s">
        <v>758</v>
      </c>
      <c r="E40" s="294" t="s">
        <v>759</v>
      </c>
      <c r="F40" s="304">
        <f ca="1">INDIRECT("'数据-取费表'!I"&amp;$G$1)</f>
        <v>0.04</v>
      </c>
      <c r="G40" s="1292"/>
      <c r="H40" s="1366"/>
      <c r="I40" s="1305"/>
      <c r="J40" s="1306"/>
      <c r="K40" s="2469"/>
      <c r="L40" s="1366"/>
      <c r="M40" s="1366"/>
    </row>
    <row r="41" spans="1:18" ht="18" customHeight="1">
      <c r="A41" s="296"/>
      <c r="B41" s="297"/>
      <c r="C41" s="298"/>
      <c r="D41" s="323" t="s">
        <v>775</v>
      </c>
      <c r="E41" s="294" t="s">
        <v>763</v>
      </c>
      <c r="F41" s="324">
        <v>70</v>
      </c>
      <c r="G41" s="1292"/>
      <c r="H41" s="121"/>
      <c r="I41" s="1305"/>
      <c r="J41" s="1306"/>
      <c r="K41" s="2328"/>
      <c r="L41" s="121"/>
      <c r="M41" s="121"/>
    </row>
    <row r="42" spans="1:18" ht="18" customHeight="1">
      <c r="A42" s="300"/>
      <c r="B42" s="301"/>
      <c r="C42" s="302"/>
      <c r="D42" s="319"/>
      <c r="E42" s="294" t="s">
        <v>766</v>
      </c>
      <c r="F42" s="304">
        <f ca="1">INDIRECT("'数据-取费表'!v"&amp;$G$1)</f>
        <v>2.5000000000000001E-2</v>
      </c>
      <c r="G42" s="1292"/>
      <c r="H42" s="121"/>
      <c r="I42" s="1305"/>
      <c r="J42" s="1306"/>
      <c r="K42" s="2328"/>
      <c r="L42" s="121"/>
      <c r="M42" s="121"/>
    </row>
    <row r="43" spans="1:18" ht="18" customHeight="1" thickBot="1">
      <c r="A43" s="325" t="s">
        <v>396</v>
      </c>
      <c r="B43" s="326" t="s">
        <v>776</v>
      </c>
      <c r="C43" s="327">
        <f ca="1">ROUND(C40/F43,0)</f>
        <v>48038</v>
      </c>
      <c r="D43" s="328" t="s">
        <v>777</v>
      </c>
      <c r="E43" s="329" t="s">
        <v>778</v>
      </c>
      <c r="F43" s="330">
        <f ca="1">INDIRECT("'数据-取费表'!k"&amp;$G$1)</f>
        <v>57.2</v>
      </c>
      <c r="G43" s="1292"/>
      <c r="H43" s="121"/>
      <c r="I43" s="121"/>
      <c r="J43" s="121"/>
      <c r="K43" s="2328"/>
      <c r="L43" s="121"/>
      <c r="M43" s="121"/>
    </row>
    <row r="44" spans="1:18" s="1292" customFormat="1" ht="18" customHeight="1">
      <c r="A44" s="1307"/>
      <c r="B44" s="1307"/>
      <c r="C44" s="1308"/>
      <c r="D44" s="1307"/>
      <c r="E44" s="1307"/>
      <c r="F44" s="1307"/>
      <c r="K44" s="1309"/>
    </row>
    <row r="45" spans="1:18" s="1292" customFormat="1" ht="18" customHeight="1" thickBot="1">
      <c r="A45" s="3127" t="s">
        <v>3351</v>
      </c>
      <c r="B45" s="1307"/>
      <c r="C45" s="1376">
        <f ca="1">ROUND((C68-C40)/10000,4)</f>
        <v>-275.9427</v>
      </c>
      <c r="D45" s="3128" t="s">
        <v>3352</v>
      </c>
      <c r="E45" s="1307"/>
      <c r="F45" s="1307"/>
      <c r="O45" s="1310" t="s">
        <v>808</v>
      </c>
      <c r="P45" s="1366"/>
      <c r="Q45" s="1366"/>
      <c r="R45" s="1366"/>
    </row>
    <row r="46" spans="1:18" s="1292" customFormat="1" ht="13.8" thickBot="1">
      <c r="A46" s="1311" t="s">
        <v>809</v>
      </c>
      <c r="C46" s="1312">
        <f ca="1">ROUND(C45,0)</f>
        <v>-276</v>
      </c>
      <c r="D46" s="1313" t="str">
        <f>C2</f>
        <v>万元</v>
      </c>
      <c r="I46" s="1314" t="s">
        <v>810</v>
      </c>
      <c r="J46" s="1315"/>
      <c r="K46" s="1316"/>
      <c r="L46" s="1317">
        <f>IF(M47="住宅",0,IF(L48&gt;J51,L60,J60))</f>
        <v>0</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3432</v>
      </c>
      <c r="K47" s="1323" t="s">
        <v>816</v>
      </c>
      <c r="L47" s="1324">
        <f ca="1">INDIRECT("'数据-取费表'!d"&amp;$G$1)</f>
        <v>70</v>
      </c>
      <c r="M47" s="1288" t="str">
        <f>IF(ISNUMBER(FIND("住宅",C1)),"住宅","非住宅")</f>
        <v>住宅</v>
      </c>
      <c r="O47" s="1325" t="s">
        <v>403</v>
      </c>
      <c r="P47" s="1326" t="s">
        <v>817</v>
      </c>
      <c r="Q47" s="1327">
        <f ca="1">C40+J29</f>
        <v>2747753</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t="s">
        <v>3433</v>
      </c>
      <c r="K48" s="1330" t="s">
        <v>820</v>
      </c>
      <c r="L48" s="1331">
        <f ca="1">INDIRECT("'数据-取费表'!f"&amp;$G$1)</f>
        <v>43</v>
      </c>
      <c r="O48" s="1325" t="s">
        <v>404</v>
      </c>
      <c r="P48" s="1326" t="s">
        <v>821</v>
      </c>
      <c r="Q48" s="1327" t="str">
        <f ca="1">J60</f>
        <v>0</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v>2000</v>
      </c>
      <c r="K49" s="1330" t="s">
        <v>824</v>
      </c>
      <c r="L49" s="1333"/>
      <c r="O49" s="1334" t="s">
        <v>405</v>
      </c>
      <c r="P49" s="1326" t="s">
        <v>825</v>
      </c>
      <c r="Q49" s="1327">
        <f ca="1">C29</f>
        <v>308464</v>
      </c>
      <c r="R49" s="1327" t="s">
        <v>818</v>
      </c>
    </row>
    <row r="50" spans="1:18" s="1292" customFormat="1" ht="13.8" thickBot="1">
      <c r="A50" s="922"/>
      <c r="B50" s="925"/>
      <c r="C50" s="926"/>
      <c r="D50" s="899"/>
      <c r="E50" s="993" t="s">
        <v>697</v>
      </c>
      <c r="F50" s="994">
        <f ca="1">F7</f>
        <v>1</v>
      </c>
      <c r="H50" s="682"/>
      <c r="I50" s="1328" t="s">
        <v>826</v>
      </c>
      <c r="J50" s="1335">
        <f>SUMPRODUCT((I63:I65=J47)*(J62:L62=J48)*(J63:L65))</f>
        <v>60</v>
      </c>
      <c r="K50" s="1330" t="s">
        <v>827</v>
      </c>
      <c r="L50" s="1333"/>
      <c r="M50" s="1336"/>
      <c r="O50" s="1334" t="s">
        <v>406</v>
      </c>
      <c r="P50" s="1326" t="s">
        <v>828</v>
      </c>
      <c r="Q50" s="1337" t="e">
        <f ca="1">J58</f>
        <v>#VALUE!</v>
      </c>
      <c r="R50" s="1327"/>
    </row>
    <row r="51" spans="1:18" s="1292" customFormat="1" ht="13.8" thickBot="1">
      <c r="A51" s="923"/>
      <c r="B51" s="925"/>
      <c r="C51" s="926"/>
      <c r="D51" s="899"/>
      <c r="E51" s="927" t="s">
        <v>698</v>
      </c>
      <c r="F51" s="295">
        <f ca="1">F8</f>
        <v>12</v>
      </c>
      <c r="I51" s="1338" t="s">
        <v>829</v>
      </c>
      <c r="J51" s="1331">
        <f>IF(J49="",J50,J49+J50-YEAR('数据-取费表'!B2))</f>
        <v>35</v>
      </c>
      <c r="K51" s="1339" t="s">
        <v>830</v>
      </c>
      <c r="L51" s="1340">
        <f ca="1">ROUND(-PV(INDIRECT("'数据-取费表'!h"&amp;$G$1),J51,(C39-C13*C76),0),0)</f>
        <v>991019</v>
      </c>
      <c r="M51" s="1341"/>
      <c r="O51" s="1334" t="s">
        <v>407</v>
      </c>
      <c r="P51" s="1326" t="s">
        <v>831</v>
      </c>
      <c r="Q51" s="1337">
        <f>J52</f>
        <v>6.5000000000000002E-2</v>
      </c>
      <c r="R51" s="1327"/>
    </row>
    <row r="52" spans="1:18" s="1292" customFormat="1" ht="13.8" thickBot="1">
      <c r="A52" s="923"/>
      <c r="B52" s="925"/>
      <c r="C52" s="926"/>
      <c r="D52" s="899"/>
      <c r="E52" s="927" t="s">
        <v>699</v>
      </c>
      <c r="F52" s="991"/>
      <c r="I52" s="1342" t="s">
        <v>832</v>
      </c>
      <c r="J52" s="1343">
        <v>6.5000000000000002E-2</v>
      </c>
      <c r="K52" s="1342" t="s">
        <v>833</v>
      </c>
      <c r="L52" s="1343">
        <v>0.05</v>
      </c>
      <c r="O52" s="1334" t="s">
        <v>408</v>
      </c>
      <c r="P52" s="1326" t="s">
        <v>834</v>
      </c>
      <c r="Q52" s="1327">
        <f ca="1">J53</f>
        <v>43</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3">
        <f ca="1">IF(M47="住宅",IF(D1="——",MAX(J51,L48),MAX(J51,L48-'数据-取费表'!B24)),IF(D1="——",MIN(J51,L48),MIN(J51,L48-'数据-取费表'!B24)))</f>
        <v>43</v>
      </c>
      <c r="K53" s="3373" t="s">
        <v>837</v>
      </c>
      <c r="L53" s="3374"/>
      <c r="O53" s="1325" t="s">
        <v>409</v>
      </c>
      <c r="P53" s="1326" t="s">
        <v>838</v>
      </c>
      <c r="Q53" s="1327">
        <f ca="1">Q47+Q48</f>
        <v>2747753</v>
      </c>
      <c r="R53" s="1327" t="s">
        <v>410</v>
      </c>
    </row>
    <row r="54" spans="1:18" s="1292" customFormat="1" ht="13.8" thickBot="1">
      <c r="A54" s="921"/>
      <c r="B54" s="1377" t="s">
        <v>891</v>
      </c>
      <c r="C54" s="905"/>
      <c r="D54" s="150"/>
      <c r="E54" s="1282"/>
      <c r="F54" s="1345"/>
      <c r="I54" s="1346"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#VALUE!</v>
      </c>
      <c r="K55" s="1350" t="s">
        <v>841</v>
      </c>
      <c r="L55" s="1351" t="s">
        <v>3435</v>
      </c>
      <c r="O55" s="1318" t="s">
        <v>811</v>
      </c>
      <c r="P55" s="1319" t="s">
        <v>812</v>
      </c>
      <c r="Q55" s="1320" t="s">
        <v>813</v>
      </c>
      <c r="R55" s="1320" t="s">
        <v>814</v>
      </c>
    </row>
    <row r="56" spans="1:18" s="1292" customFormat="1" ht="36" customHeight="1" thickTop="1" thickBot="1">
      <c r="A56" s="903">
        <v>2</v>
      </c>
      <c r="B56" s="904" t="s">
        <v>704</v>
      </c>
      <c r="C56" s="224">
        <f ca="1">C13</f>
        <v>191248</v>
      </c>
      <c r="D56" s="1352"/>
      <c r="E56" s="1353"/>
      <c r="F56" s="1345"/>
      <c r="I56" s="1354" t="s">
        <v>842</v>
      </c>
      <c r="J56" s="1355" t="s">
        <v>3434</v>
      </c>
      <c r="K56" s="1328" t="s">
        <v>843</v>
      </c>
      <c r="L56" s="1331">
        <f ca="1">IF(L48&lt;J51,"——",L48-J51)</f>
        <v>8</v>
      </c>
      <c r="O56" s="1325" t="s">
        <v>403</v>
      </c>
      <c r="P56" s="1326" t="s">
        <v>817</v>
      </c>
      <c r="Q56" s="1327">
        <f ca="1">C40+J29</f>
        <v>2747753</v>
      </c>
      <c r="R56" s="1327" t="s">
        <v>818</v>
      </c>
    </row>
    <row r="57" spans="1:18" s="1292" customFormat="1" ht="24.6" thickBot="1">
      <c r="A57" s="1356"/>
      <c r="B57" s="896" t="s">
        <v>767</v>
      </c>
      <c r="C57" s="230">
        <f ca="1">C29</f>
        <v>308464</v>
      </c>
      <c r="D57" s="1357"/>
      <c r="E57" s="1358"/>
      <c r="F57" s="1359"/>
      <c r="I57" s="1360" t="s">
        <v>844</v>
      </c>
      <c r="J57" s="1361" t="str">
        <f ca="1">IF(OR(M47="住宅",J51&lt;L48,J56="是"),"——",J51-L48)</f>
        <v>——</v>
      </c>
      <c r="K57" s="1328" t="s">
        <v>892</v>
      </c>
      <c r="L57" s="1331">
        <f ca="1">IF(L48&lt;J51,"——",IF(L55="比较法",L49,IF(L55="基准地价",L50,L51)))</f>
        <v>0</v>
      </c>
      <c r="O57" s="1325" t="s">
        <v>404</v>
      </c>
      <c r="P57" s="1326" t="s">
        <v>893</v>
      </c>
      <c r="Q57" s="1327">
        <f ca="1">L60</f>
        <v>0</v>
      </c>
      <c r="R57" s="1327" t="s">
        <v>894</v>
      </c>
    </row>
    <row r="58" spans="1:18" s="1292" customFormat="1" ht="24.6" thickBot="1">
      <c r="A58" s="307" t="s">
        <v>393</v>
      </c>
      <c r="B58" s="904" t="s">
        <v>714</v>
      </c>
      <c r="C58" s="308">
        <f ca="1">ROUND(C59+C64+C65+C66,0)</f>
        <v>499</v>
      </c>
      <c r="D58" s="906" t="s">
        <v>715</v>
      </c>
      <c r="E58" s="907"/>
      <c r="F58" s="908"/>
      <c r="I58" s="1360" t="s">
        <v>848</v>
      </c>
      <c r="J58" s="1362" t="e">
        <f ca="1">IF(J55&lt;0.4,0.4,J55)</f>
        <v>#VALUE!</v>
      </c>
      <c r="K58" s="1339" t="s">
        <v>895</v>
      </c>
      <c r="L58" s="1331">
        <f ca="1">ROUND(POWER(1+L52,L47-L48)*(POWER(1+L52,L48)-1)/(POWER(1+L52,L47)-1),4)</f>
        <v>0.90710000000000002</v>
      </c>
      <c r="O58" s="1334" t="s">
        <v>405</v>
      </c>
      <c r="P58" s="1326" t="s">
        <v>850</v>
      </c>
      <c r="Q58" s="1327">
        <f>IF(L55="比较法",L49,IF(L55="基准地价",L50,0))</f>
        <v>0</v>
      </c>
      <c r="R58" s="1327" t="s">
        <v>818</v>
      </c>
    </row>
    <row r="59" spans="1:18" s="1292" customFormat="1" ht="24.6" thickBot="1">
      <c r="A59" s="928" t="s">
        <v>398</v>
      </c>
      <c r="B59" s="896" t="s">
        <v>719</v>
      </c>
      <c r="C59" s="2137">
        <f ca="1">ROUND(IF(AND(项目基本情况!B11="自然人",项目基本情况!B10="北京市"),C49*F59/(1+'数据-取费表'!C42),C60+C61+C62),0)</f>
        <v>0</v>
      </c>
      <c r="D59" s="909" t="s">
        <v>720</v>
      </c>
      <c r="E59" s="910" t="s">
        <v>721</v>
      </c>
      <c r="F59" s="2136">
        <f ca="1">IF(项目基本情况!B11="企业","——",IF('数据-取费表'!B10="住宅",IF(F49*F50*F51/12/(1+'数据-取费表'!F30)&gt;100000,4%,2.5%),IF(F49*F50*F51/12/(1+'数据-取费表'!F30)&gt;100000,12%,7%)))</f>
        <v>7.0000000000000007E-2</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f ca="1">ROUND(IF(D1="在建（套用方法）",M59,IF(D1="土地（套用方法）",N59,POWER(1+L52,L47-J51)*(POWER(1+L52,J51)-1)/(POWER(1+L52,L47)-1))),4)</f>
        <v>0.84650000000000003</v>
      </c>
      <c r="M59" s="1289">
        <f ca="1">ROUND(POWER(1+L52,L47-(J51+'数据-取费表'!B24))*(POWER(1+L52,(J51+'数据-取费表'!B24))-1)/(POWER(1+L52,L47)-1),4)</f>
        <v>0.84650000000000003</v>
      </c>
      <c r="N59" s="1289">
        <f ca="1">ROUND(POWER(1+L52,L47-(J51+'数据-取费表'!B20))*(POWER(1+L52,(J51+'数据-取费表'!B20))-1)/(POWER(1+L52,L47)-1),4)</f>
        <v>0.86399999999999999</v>
      </c>
      <c r="O59" s="1334" t="s">
        <v>406</v>
      </c>
      <c r="P59" s="1326" t="s">
        <v>852</v>
      </c>
      <c r="Q59" s="1337">
        <f>L52</f>
        <v>0.05</v>
      </c>
      <c r="R59" s="1327"/>
    </row>
    <row r="60" spans="1:18" s="1292" customFormat="1" ht="16.2" thickBot="1">
      <c r="A60" s="928" t="s">
        <v>397</v>
      </c>
      <c r="B60" s="896" t="s">
        <v>723</v>
      </c>
      <c r="C60" s="21" t="str">
        <f>IF(项目基本情况!B11="自然人","——",ROUND(C48*F60/(1+'数据-取费表'!C42),0))</f>
        <v>——</v>
      </c>
      <c r="D60" s="910" t="s">
        <v>724</v>
      </c>
      <c r="E60" s="896" t="s">
        <v>712</v>
      </c>
      <c r="F60" s="322">
        <f t="shared" ref="F60:F66" si="0">F32</f>
        <v>5.6000000000000001E-2</v>
      </c>
      <c r="I60" s="1363" t="s">
        <v>853</v>
      </c>
      <c r="J60" s="1364" t="str">
        <f ca="1">IF(OR(M47="住宅",J51&lt;L48,J56="是"),"0",ROUND(J59/(1+J52)^J53,0))</f>
        <v>0</v>
      </c>
      <c r="K60" s="1365" t="s">
        <v>854</v>
      </c>
      <c r="L60" s="1364">
        <f ca="1">IF(OR(M47="住宅",L48&lt;J51),0,ROUND(L57*(L58/L59-1),0))</f>
        <v>0</v>
      </c>
      <c r="O60" s="1334" t="s">
        <v>407</v>
      </c>
      <c r="P60" s="1326" t="s">
        <v>855</v>
      </c>
      <c r="Q60" s="1327">
        <f ca="1">L58</f>
        <v>0.90710000000000002</v>
      </c>
      <c r="R60" s="1327" t="s">
        <v>856</v>
      </c>
    </row>
    <row r="61" spans="1:18" s="1292" customFormat="1" ht="13.8" thickBot="1">
      <c r="A61" s="928" t="s">
        <v>781</v>
      </c>
      <c r="B61" s="896" t="s">
        <v>782</v>
      </c>
      <c r="C61" s="21" t="str">
        <f ca="1">IF(项目基本情况!B11="自然人","——",IF(D61="按租金收入计税",ROUND(C49*F61/(1+'数据-取费表'!C42),0),IF(D61="按房产原值计税",ROUND(C57*F61*0.7,0),INDIRECT("'数据-取费表'!Aj"&amp;$G$1))))</f>
        <v>——</v>
      </c>
      <c r="D61" s="1278" t="s">
        <v>3335</v>
      </c>
      <c r="E61" s="896" t="s">
        <v>783</v>
      </c>
      <c r="F61" s="314">
        <f t="shared" si="0"/>
        <v>0.12</v>
      </c>
      <c r="I61" s="1366"/>
      <c r="J61" s="1366"/>
      <c r="K61" s="1366"/>
      <c r="L61" s="1366"/>
      <c r="O61" s="1334" t="s">
        <v>408</v>
      </c>
      <c r="P61" s="1326" t="str">
        <f>K59</f>
        <v>建筑物剩余耐用年限下的土地年期修正系数Kn</v>
      </c>
      <c r="Q61" s="1327">
        <f ca="1">L59</f>
        <v>0.84650000000000003</v>
      </c>
      <c r="R61" s="1327" t="s">
        <v>857</v>
      </c>
    </row>
    <row r="62" spans="1:18" s="1292" customFormat="1" ht="13.8" thickBot="1">
      <c r="A62" s="928" t="s">
        <v>784</v>
      </c>
      <c r="B62" s="895" t="s">
        <v>785</v>
      </c>
      <c r="C62" s="22" t="str">
        <f>IF(项目基本情况!B11="自然人","——",ROUND(F62*F63,0))</f>
        <v>——</v>
      </c>
      <c r="D62" s="911" t="s">
        <v>786</v>
      </c>
      <c r="E62" s="896" t="s">
        <v>787</v>
      </c>
      <c r="F62" s="317">
        <f t="shared" si="0"/>
        <v>18</v>
      </c>
      <c r="I62" s="1367" t="s">
        <v>858</v>
      </c>
      <c r="J62" s="610" t="s">
        <v>859</v>
      </c>
      <c r="K62" s="610" t="s">
        <v>860</v>
      </c>
      <c r="L62" s="610" t="s">
        <v>861</v>
      </c>
      <c r="M62" s="1368" t="s">
        <v>862</v>
      </c>
      <c r="O62" s="1325" t="s">
        <v>409</v>
      </c>
      <c r="P62" s="1326" t="s">
        <v>863</v>
      </c>
      <c r="Q62" s="1327">
        <f ca="1">Q56+Q57</f>
        <v>2747753</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308</v>
      </c>
      <c r="D64" s="910" t="s">
        <v>791</v>
      </c>
      <c r="E64" s="896" t="s">
        <v>783</v>
      </c>
      <c r="F64" s="320">
        <f t="shared" ca="1" si="0"/>
        <v>1E-3</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191</v>
      </c>
      <c r="D65" s="910" t="s">
        <v>743</v>
      </c>
      <c r="E65" s="896" t="s">
        <v>744</v>
      </c>
      <c r="F65" s="321">
        <f t="shared" ca="1" si="0"/>
        <v>1E-3</v>
      </c>
      <c r="I65" s="1367" t="s">
        <v>867</v>
      </c>
      <c r="J65" s="610">
        <v>40</v>
      </c>
      <c r="K65" s="610">
        <v>30</v>
      </c>
      <c r="L65" s="610">
        <v>50</v>
      </c>
      <c r="M65" s="1369">
        <v>0.02</v>
      </c>
      <c r="O65" s="1325" t="s">
        <v>403</v>
      </c>
      <c r="P65" s="1326" t="s">
        <v>868</v>
      </c>
      <c r="Q65" s="1327">
        <f ca="1">C40+J29</f>
        <v>2747753</v>
      </c>
      <c r="R65" s="1327" t="s">
        <v>818</v>
      </c>
    </row>
    <row r="66" spans="1:18" s="1292" customFormat="1" ht="16.2" thickBot="1">
      <c r="A66" s="928" t="s">
        <v>793</v>
      </c>
      <c r="B66" s="896" t="s">
        <v>728</v>
      </c>
      <c r="C66" s="21">
        <f ca="1">ROUND(C48*F66,0)</f>
        <v>0</v>
      </c>
      <c r="D66" s="910" t="s">
        <v>794</v>
      </c>
      <c r="E66" s="896" t="s">
        <v>712</v>
      </c>
      <c r="F66" s="304">
        <f t="shared" si="0"/>
        <v>0.01</v>
      </c>
      <c r="O66" s="1325" t="s">
        <v>404</v>
      </c>
      <c r="P66" s="1326" t="s">
        <v>846</v>
      </c>
      <c r="Q66" s="1327">
        <f ca="1">L60</f>
        <v>0</v>
      </c>
      <c r="R66" s="1327" t="s">
        <v>869</v>
      </c>
    </row>
    <row r="67" spans="1:18" s="1292" customFormat="1" ht="24.6" thickBot="1">
      <c r="A67" s="903" t="s">
        <v>394</v>
      </c>
      <c r="B67" s="913" t="s">
        <v>752</v>
      </c>
      <c r="C67" s="308">
        <f ca="1">C48-C58</f>
        <v>-499</v>
      </c>
      <c r="D67" s="909" t="s">
        <v>753</v>
      </c>
      <c r="E67" s="914"/>
      <c r="F67" s="915"/>
      <c r="O67" s="1334" t="s">
        <v>405</v>
      </c>
      <c r="P67" s="1326" t="s">
        <v>850</v>
      </c>
      <c r="Q67" s="1370">
        <f ca="1">L51</f>
        <v>991019</v>
      </c>
      <c r="R67" s="1327" t="s">
        <v>870</v>
      </c>
    </row>
    <row r="68" spans="1:18" s="1292" customFormat="1" ht="16.2" thickBot="1">
      <c r="A68" s="893" t="s">
        <v>395</v>
      </c>
      <c r="B68" s="894" t="s">
        <v>774</v>
      </c>
      <c r="C68" s="293">
        <f ca="1">ROUND(C67*(1-((1+F70)/(1+F68))^F69)/(F68-F70),0)</f>
        <v>-11674</v>
      </c>
      <c r="D68" s="911" t="s">
        <v>758</v>
      </c>
      <c r="E68" s="896" t="s">
        <v>759</v>
      </c>
      <c r="F68" s="304">
        <f ca="1">F40</f>
        <v>0.04</v>
      </c>
      <c r="O68" s="1334" t="s">
        <v>406</v>
      </c>
      <c r="P68" s="1371" t="s">
        <v>871</v>
      </c>
      <c r="Q68" s="1327">
        <f ca="1">ROUND(Q69-Q70*Q71,0)</f>
        <v>53096</v>
      </c>
      <c r="R68" s="1327" t="s">
        <v>414</v>
      </c>
    </row>
    <row r="69" spans="1:18" s="1292" customFormat="1" ht="13.8" thickBot="1">
      <c r="A69" s="897"/>
      <c r="B69" s="898"/>
      <c r="C69" s="298"/>
      <c r="D69" s="916" t="s">
        <v>762</v>
      </c>
      <c r="E69" s="896" t="s">
        <v>763</v>
      </c>
      <c r="F69" s="324">
        <f>F41</f>
        <v>70</v>
      </c>
      <c r="O69" s="1334" t="s">
        <v>411</v>
      </c>
      <c r="P69" s="1371" t="s">
        <v>872</v>
      </c>
      <c r="Q69" s="1327">
        <f ca="1">C39</f>
        <v>64571</v>
      </c>
      <c r="R69" s="1327" t="s">
        <v>818</v>
      </c>
    </row>
    <row r="70" spans="1:18" s="1292" customFormat="1" ht="13.8" thickBot="1">
      <c r="A70" s="900"/>
      <c r="B70" s="901"/>
      <c r="C70" s="302"/>
      <c r="D70" s="912"/>
      <c r="E70" s="896" t="s">
        <v>766</v>
      </c>
      <c r="F70" s="991"/>
      <c r="O70" s="1334" t="s">
        <v>412</v>
      </c>
      <c r="P70" s="1371" t="s">
        <v>873</v>
      </c>
      <c r="Q70" s="1327">
        <f ca="1">C13</f>
        <v>191248</v>
      </c>
      <c r="R70" s="1327" t="s">
        <v>818</v>
      </c>
    </row>
    <row r="71" spans="1:18" s="1292" customFormat="1" ht="13.8" thickBot="1">
      <c r="A71" s="917" t="s">
        <v>396</v>
      </c>
      <c r="B71" s="918" t="s">
        <v>776</v>
      </c>
      <c r="C71" s="327">
        <f ca="1">ROUND(C68/F71,0)</f>
        <v>-204</v>
      </c>
      <c r="D71" s="919" t="s">
        <v>777</v>
      </c>
      <c r="E71" s="920" t="s">
        <v>778</v>
      </c>
      <c r="F71" s="330">
        <f ca="1">F43</f>
        <v>57.2</v>
      </c>
      <c r="O71" s="1334" t="s">
        <v>413</v>
      </c>
      <c r="P71" s="1371" t="s">
        <v>874</v>
      </c>
      <c r="Q71" s="1337">
        <f ca="1">C76</f>
        <v>0.06</v>
      </c>
      <c r="R71" s="1327"/>
    </row>
    <row r="72" spans="1:18" s="1292" customFormat="1" ht="13.8" thickBot="1">
      <c r="B72" s="685"/>
      <c r="C72" s="685"/>
      <c r="O72" s="1334" t="s">
        <v>407</v>
      </c>
      <c r="P72" s="1326" t="s">
        <v>852</v>
      </c>
      <c r="Q72" s="1337">
        <f>L52</f>
        <v>0.05</v>
      </c>
      <c r="R72" s="1327"/>
    </row>
    <row r="73" spans="1:18" ht="16.2" thickBot="1">
      <c r="A73" s="1292"/>
      <c r="B73" s="685"/>
      <c r="C73" s="685"/>
      <c r="D73" s="1292"/>
      <c r="E73" s="1292"/>
      <c r="F73" s="1292"/>
      <c r="O73" s="1334" t="s">
        <v>408</v>
      </c>
      <c r="P73" s="1326" t="s">
        <v>855</v>
      </c>
      <c r="Q73" s="1327">
        <f ca="1">L58</f>
        <v>0.90710000000000002</v>
      </c>
      <c r="R73" s="1327" t="s">
        <v>856</v>
      </c>
    </row>
    <row r="74" spans="1:18" ht="13.8" thickBot="1">
      <c r="A74" s="1292"/>
      <c r="B74" s="265" t="s">
        <v>875</v>
      </c>
      <c r="C74" s="1373"/>
      <c r="D74" s="1292"/>
      <c r="E74" s="1292"/>
      <c r="F74" s="1292"/>
      <c r="O74" s="1334" t="s">
        <v>415</v>
      </c>
      <c r="P74" s="1326" t="str">
        <f>K59</f>
        <v>建筑物剩余耐用年限下的土地年期修正系数Kn</v>
      </c>
      <c r="Q74" s="1327">
        <f ca="1">L59</f>
        <v>0.84650000000000003</v>
      </c>
      <c r="R74" s="1327" t="s">
        <v>857</v>
      </c>
    </row>
    <row r="75" spans="1:18" ht="13.8" thickBot="1">
      <c r="A75" s="1292"/>
      <c r="B75" s="331" t="s">
        <v>795</v>
      </c>
      <c r="C75" s="332">
        <f ca="1">ROUND(C13*C76,0)</f>
        <v>11475</v>
      </c>
      <c r="D75" s="1292"/>
      <c r="E75" s="1292"/>
      <c r="F75" s="1292"/>
      <c r="K75" s="1309"/>
      <c r="L75" s="1292"/>
      <c r="O75" s="1325" t="s">
        <v>409</v>
      </c>
      <c r="P75" s="1326" t="s">
        <v>838</v>
      </c>
      <c r="Q75" s="1327">
        <f ca="1">Q65+Q66</f>
        <v>2747753</v>
      </c>
      <c r="R75" s="1327" t="s">
        <v>410</v>
      </c>
    </row>
    <row r="76" spans="1:18">
      <c r="B76" s="333" t="s">
        <v>796</v>
      </c>
      <c r="C76" s="334">
        <f ca="1">INDIRECT("'数据-取费表'!j"&amp;$G$1)</f>
        <v>0.06</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0.82200000000000006</v>
      </c>
    </row>
    <row r="80" spans="1:18">
      <c r="B80" s="331" t="s">
        <v>800</v>
      </c>
      <c r="C80" s="266">
        <f ca="1">ROUND(C75/C39,3)</f>
        <v>0.17799999999999999</v>
      </c>
    </row>
    <row r="81" spans="2:3">
      <c r="B81" s="262" t="s">
        <v>801</v>
      </c>
      <c r="C81" s="230"/>
    </row>
    <row r="82" spans="2:3">
      <c r="B82" s="265" t="s">
        <v>802</v>
      </c>
      <c r="C82" s="267">
        <f ca="1">1-C83</f>
        <v>0.92999999999999994</v>
      </c>
    </row>
    <row r="83" spans="2:3">
      <c r="B83" s="265" t="s">
        <v>803</v>
      </c>
      <c r="C83" s="266">
        <f ca="1">ROUND(C13/C40,3)</f>
        <v>7.0000000000000007E-2</v>
      </c>
    </row>
  </sheetData>
  <sheetProtection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L14" sqref="L14"/>
    </sheetView>
  </sheetViews>
  <sheetFormatPr defaultRowHeight="13.2" customHeight="1"/>
  <cols>
    <col min="1" max="1" width="9.44140625" style="2591" customWidth="1"/>
    <col min="2" max="2" width="8.88671875" style="2591"/>
    <col min="3" max="5" width="12.88671875" style="2591" customWidth="1"/>
    <col min="6" max="6" width="47.44140625" style="2591" customWidth="1"/>
    <col min="7" max="7" width="13" style="2585" customWidth="1"/>
    <col min="8" max="8" width="8.88671875" style="2585"/>
    <col min="9" max="9" width="8.88671875" style="2586"/>
    <col min="10" max="10" width="5.77734375" style="2745" customWidth="1"/>
    <col min="11" max="11" width="11.77734375" style="2745" customWidth="1"/>
    <col min="12" max="13" width="10.77734375" style="2745" customWidth="1"/>
    <col min="14" max="14" width="10" style="2745" customWidth="1"/>
    <col min="15" max="16" width="10.44140625" style="2745" bestFit="1" customWidth="1"/>
    <col min="17" max="17" width="10" style="2745" customWidth="1"/>
    <col min="18" max="18" width="10.109375" style="2745" customWidth="1"/>
    <col min="19" max="19" width="10" style="2745" customWidth="1"/>
    <col min="20" max="20" width="26.109375" style="2745" customWidth="1"/>
    <col min="21" max="21" width="8.88671875" style="2745"/>
    <col min="22" max="22" width="8.88671875" style="2586"/>
    <col min="23" max="256" width="8.88671875" style="2591"/>
    <col min="257" max="257" width="9.44140625" style="2591" customWidth="1"/>
    <col min="258" max="258" width="8.88671875" style="2591"/>
    <col min="259" max="261" width="12.88671875" style="2591" customWidth="1"/>
    <col min="262" max="262" width="47.44140625" style="2591" customWidth="1"/>
    <col min="263" max="263" width="13" style="2591" customWidth="1"/>
    <col min="264" max="265" width="8.88671875" style="2591"/>
    <col min="266" max="266" width="5.77734375" style="2591" customWidth="1"/>
    <col min="267" max="267" width="11.77734375" style="2591" customWidth="1"/>
    <col min="268" max="269" width="10.77734375" style="2591" customWidth="1"/>
    <col min="270" max="270" width="10" style="2591" customWidth="1"/>
    <col min="271" max="272" width="10.44140625" style="2591" bestFit="1" customWidth="1"/>
    <col min="273" max="273" width="10" style="2591" customWidth="1"/>
    <col min="274" max="274" width="10.109375" style="2591" customWidth="1"/>
    <col min="275" max="275" width="10" style="2591" customWidth="1"/>
    <col min="276" max="276" width="26.109375" style="2591" customWidth="1"/>
    <col min="277" max="512" width="8.88671875" style="2591"/>
    <col min="513" max="513" width="9.44140625" style="2591" customWidth="1"/>
    <col min="514" max="514" width="8.88671875" style="2591"/>
    <col min="515" max="517" width="12.88671875" style="2591" customWidth="1"/>
    <col min="518" max="518" width="47.44140625" style="2591" customWidth="1"/>
    <col min="519" max="519" width="13" style="2591" customWidth="1"/>
    <col min="520" max="521" width="8.88671875" style="2591"/>
    <col min="522" max="522" width="5.77734375" style="2591" customWidth="1"/>
    <col min="523" max="523" width="11.77734375" style="2591" customWidth="1"/>
    <col min="524" max="525" width="10.77734375" style="2591" customWidth="1"/>
    <col min="526" max="526" width="10" style="2591" customWidth="1"/>
    <col min="527" max="528" width="10.44140625" style="2591" bestFit="1" customWidth="1"/>
    <col min="529" max="529" width="10" style="2591" customWidth="1"/>
    <col min="530" max="530" width="10.109375" style="2591" customWidth="1"/>
    <col min="531" max="531" width="10" style="2591" customWidth="1"/>
    <col min="532" max="532" width="26.109375" style="2591" customWidth="1"/>
    <col min="533" max="768" width="8.88671875" style="2591"/>
    <col min="769" max="769" width="9.44140625" style="2591" customWidth="1"/>
    <col min="770" max="770" width="8.88671875" style="2591"/>
    <col min="771" max="773" width="12.88671875" style="2591" customWidth="1"/>
    <col min="774" max="774" width="47.44140625" style="2591" customWidth="1"/>
    <col min="775" max="775" width="13" style="2591" customWidth="1"/>
    <col min="776" max="777" width="8.88671875" style="2591"/>
    <col min="778" max="778" width="5.77734375" style="2591" customWidth="1"/>
    <col min="779" max="779" width="11.77734375" style="2591" customWidth="1"/>
    <col min="780" max="781" width="10.77734375" style="2591" customWidth="1"/>
    <col min="782" max="782" width="10" style="2591" customWidth="1"/>
    <col min="783" max="784" width="10.44140625" style="2591" bestFit="1" customWidth="1"/>
    <col min="785" max="785" width="10" style="2591" customWidth="1"/>
    <col min="786" max="786" width="10.109375" style="2591" customWidth="1"/>
    <col min="787" max="787" width="10" style="2591" customWidth="1"/>
    <col min="788" max="788" width="26.109375" style="2591" customWidth="1"/>
    <col min="789" max="1024" width="8.88671875" style="2591"/>
    <col min="1025" max="1025" width="9.44140625" style="2591" customWidth="1"/>
    <col min="1026" max="1026" width="8.88671875" style="2591"/>
    <col min="1027" max="1029" width="12.88671875" style="2591" customWidth="1"/>
    <col min="1030" max="1030" width="47.44140625" style="2591" customWidth="1"/>
    <col min="1031" max="1031" width="13" style="2591" customWidth="1"/>
    <col min="1032" max="1033" width="8.88671875" style="2591"/>
    <col min="1034" max="1034" width="5.77734375" style="2591" customWidth="1"/>
    <col min="1035" max="1035" width="11.77734375" style="2591" customWidth="1"/>
    <col min="1036" max="1037" width="10.77734375" style="2591" customWidth="1"/>
    <col min="1038" max="1038" width="10" style="2591" customWidth="1"/>
    <col min="1039" max="1040" width="10.44140625" style="2591" bestFit="1" customWidth="1"/>
    <col min="1041" max="1041" width="10" style="2591" customWidth="1"/>
    <col min="1042" max="1042" width="10.109375" style="2591" customWidth="1"/>
    <col min="1043" max="1043" width="10" style="2591" customWidth="1"/>
    <col min="1044" max="1044" width="26.109375" style="2591" customWidth="1"/>
    <col min="1045" max="1280" width="8.88671875" style="2591"/>
    <col min="1281" max="1281" width="9.44140625" style="2591" customWidth="1"/>
    <col min="1282" max="1282" width="8.88671875" style="2591"/>
    <col min="1283" max="1285" width="12.88671875" style="2591" customWidth="1"/>
    <col min="1286" max="1286" width="47.44140625" style="2591" customWidth="1"/>
    <col min="1287" max="1287" width="13" style="2591" customWidth="1"/>
    <col min="1288" max="1289" width="8.88671875" style="2591"/>
    <col min="1290" max="1290" width="5.77734375" style="2591" customWidth="1"/>
    <col min="1291" max="1291" width="11.77734375" style="2591" customWidth="1"/>
    <col min="1292" max="1293" width="10.77734375" style="2591" customWidth="1"/>
    <col min="1294" max="1294" width="10" style="2591" customWidth="1"/>
    <col min="1295" max="1296" width="10.44140625" style="2591" bestFit="1" customWidth="1"/>
    <col min="1297" max="1297" width="10" style="2591" customWidth="1"/>
    <col min="1298" max="1298" width="10.109375" style="2591" customWidth="1"/>
    <col min="1299" max="1299" width="10" style="2591" customWidth="1"/>
    <col min="1300" max="1300" width="26.109375" style="2591" customWidth="1"/>
    <col min="1301" max="1536" width="8.88671875" style="2591"/>
    <col min="1537" max="1537" width="9.44140625" style="2591" customWidth="1"/>
    <col min="1538" max="1538" width="8.88671875" style="2591"/>
    <col min="1539" max="1541" width="12.88671875" style="2591" customWidth="1"/>
    <col min="1542" max="1542" width="47.44140625" style="2591" customWidth="1"/>
    <col min="1543" max="1543" width="13" style="2591" customWidth="1"/>
    <col min="1544" max="1545" width="8.88671875" style="2591"/>
    <col min="1546" max="1546" width="5.77734375" style="2591" customWidth="1"/>
    <col min="1547" max="1547" width="11.77734375" style="2591" customWidth="1"/>
    <col min="1548" max="1549" width="10.77734375" style="2591" customWidth="1"/>
    <col min="1550" max="1550" width="10" style="2591" customWidth="1"/>
    <col min="1551" max="1552" width="10.44140625" style="2591" bestFit="1" customWidth="1"/>
    <col min="1553" max="1553" width="10" style="2591" customWidth="1"/>
    <col min="1554" max="1554" width="10.109375" style="2591" customWidth="1"/>
    <col min="1555" max="1555" width="10" style="2591" customWidth="1"/>
    <col min="1556" max="1556" width="26.109375" style="2591" customWidth="1"/>
    <col min="1557" max="1792" width="8.88671875" style="2591"/>
    <col min="1793" max="1793" width="9.44140625" style="2591" customWidth="1"/>
    <col min="1794" max="1794" width="8.88671875" style="2591"/>
    <col min="1795" max="1797" width="12.88671875" style="2591" customWidth="1"/>
    <col min="1798" max="1798" width="47.44140625" style="2591" customWidth="1"/>
    <col min="1799" max="1799" width="13" style="2591" customWidth="1"/>
    <col min="1800" max="1801" width="8.88671875" style="2591"/>
    <col min="1802" max="1802" width="5.77734375" style="2591" customWidth="1"/>
    <col min="1803" max="1803" width="11.77734375" style="2591" customWidth="1"/>
    <col min="1804" max="1805" width="10.77734375" style="2591" customWidth="1"/>
    <col min="1806" max="1806" width="10" style="2591" customWidth="1"/>
    <col min="1807" max="1808" width="10.44140625" style="2591" bestFit="1" customWidth="1"/>
    <col min="1809" max="1809" width="10" style="2591" customWidth="1"/>
    <col min="1810" max="1810" width="10.109375" style="2591" customWidth="1"/>
    <col min="1811" max="1811" width="10" style="2591" customWidth="1"/>
    <col min="1812" max="1812" width="26.109375" style="2591" customWidth="1"/>
    <col min="1813" max="2048" width="8.88671875" style="2591"/>
    <col min="2049" max="2049" width="9.44140625" style="2591" customWidth="1"/>
    <col min="2050" max="2050" width="8.88671875" style="2591"/>
    <col min="2051" max="2053" width="12.88671875" style="2591" customWidth="1"/>
    <col min="2054" max="2054" width="47.44140625" style="2591" customWidth="1"/>
    <col min="2055" max="2055" width="13" style="2591" customWidth="1"/>
    <col min="2056" max="2057" width="8.88671875" style="2591"/>
    <col min="2058" max="2058" width="5.77734375" style="2591" customWidth="1"/>
    <col min="2059" max="2059" width="11.77734375" style="2591" customWidth="1"/>
    <col min="2060" max="2061" width="10.77734375" style="2591" customWidth="1"/>
    <col min="2062" max="2062" width="10" style="2591" customWidth="1"/>
    <col min="2063" max="2064" width="10.44140625" style="2591" bestFit="1" customWidth="1"/>
    <col min="2065" max="2065" width="10" style="2591" customWidth="1"/>
    <col min="2066" max="2066" width="10.109375" style="2591" customWidth="1"/>
    <col min="2067" max="2067" width="10" style="2591" customWidth="1"/>
    <col min="2068" max="2068" width="26.109375" style="2591" customWidth="1"/>
    <col min="2069" max="2304" width="8.88671875" style="2591"/>
    <col min="2305" max="2305" width="9.44140625" style="2591" customWidth="1"/>
    <col min="2306" max="2306" width="8.88671875" style="2591"/>
    <col min="2307" max="2309" width="12.88671875" style="2591" customWidth="1"/>
    <col min="2310" max="2310" width="47.44140625" style="2591" customWidth="1"/>
    <col min="2311" max="2311" width="13" style="2591" customWidth="1"/>
    <col min="2312" max="2313" width="8.88671875" style="2591"/>
    <col min="2314" max="2314" width="5.77734375" style="2591" customWidth="1"/>
    <col min="2315" max="2315" width="11.77734375" style="2591" customWidth="1"/>
    <col min="2316" max="2317" width="10.77734375" style="2591" customWidth="1"/>
    <col min="2318" max="2318" width="10" style="2591" customWidth="1"/>
    <col min="2319" max="2320" width="10.44140625" style="2591" bestFit="1" customWidth="1"/>
    <col min="2321" max="2321" width="10" style="2591" customWidth="1"/>
    <col min="2322" max="2322" width="10.109375" style="2591" customWidth="1"/>
    <col min="2323" max="2323" width="10" style="2591" customWidth="1"/>
    <col min="2324" max="2324" width="26.109375" style="2591" customWidth="1"/>
    <col min="2325" max="2560" width="8.88671875" style="2591"/>
    <col min="2561" max="2561" width="9.44140625" style="2591" customWidth="1"/>
    <col min="2562" max="2562" width="8.88671875" style="2591"/>
    <col min="2563" max="2565" width="12.88671875" style="2591" customWidth="1"/>
    <col min="2566" max="2566" width="47.44140625" style="2591" customWidth="1"/>
    <col min="2567" max="2567" width="13" style="2591" customWidth="1"/>
    <col min="2568" max="2569" width="8.88671875" style="2591"/>
    <col min="2570" max="2570" width="5.77734375" style="2591" customWidth="1"/>
    <col min="2571" max="2571" width="11.77734375" style="2591" customWidth="1"/>
    <col min="2572" max="2573" width="10.77734375" style="2591" customWidth="1"/>
    <col min="2574" max="2574" width="10" style="2591" customWidth="1"/>
    <col min="2575" max="2576" width="10.44140625" style="2591" bestFit="1" customWidth="1"/>
    <col min="2577" max="2577" width="10" style="2591" customWidth="1"/>
    <col min="2578" max="2578" width="10.109375" style="2591" customWidth="1"/>
    <col min="2579" max="2579" width="10" style="2591" customWidth="1"/>
    <col min="2580" max="2580" width="26.109375" style="2591" customWidth="1"/>
    <col min="2581" max="2816" width="8.88671875" style="2591"/>
    <col min="2817" max="2817" width="9.44140625" style="2591" customWidth="1"/>
    <col min="2818" max="2818" width="8.88671875" style="2591"/>
    <col min="2819" max="2821" width="12.88671875" style="2591" customWidth="1"/>
    <col min="2822" max="2822" width="47.44140625" style="2591" customWidth="1"/>
    <col min="2823" max="2823" width="13" style="2591" customWidth="1"/>
    <col min="2824" max="2825" width="8.88671875" style="2591"/>
    <col min="2826" max="2826" width="5.77734375" style="2591" customWidth="1"/>
    <col min="2827" max="2827" width="11.77734375" style="2591" customWidth="1"/>
    <col min="2828" max="2829" width="10.77734375" style="2591" customWidth="1"/>
    <col min="2830" max="2830" width="10" style="2591" customWidth="1"/>
    <col min="2831" max="2832" width="10.44140625" style="2591" bestFit="1" customWidth="1"/>
    <col min="2833" max="2833" width="10" style="2591" customWidth="1"/>
    <col min="2834" max="2834" width="10.109375" style="2591" customWidth="1"/>
    <col min="2835" max="2835" width="10" style="2591" customWidth="1"/>
    <col min="2836" max="2836" width="26.109375" style="2591" customWidth="1"/>
    <col min="2837" max="3072" width="8.88671875" style="2591"/>
    <col min="3073" max="3073" width="9.44140625" style="2591" customWidth="1"/>
    <col min="3074" max="3074" width="8.88671875" style="2591"/>
    <col min="3075" max="3077" width="12.88671875" style="2591" customWidth="1"/>
    <col min="3078" max="3078" width="47.44140625" style="2591" customWidth="1"/>
    <col min="3079" max="3079" width="13" style="2591" customWidth="1"/>
    <col min="3080" max="3081" width="8.88671875" style="2591"/>
    <col min="3082" max="3082" width="5.77734375" style="2591" customWidth="1"/>
    <col min="3083" max="3083" width="11.77734375" style="2591" customWidth="1"/>
    <col min="3084" max="3085" width="10.77734375" style="2591" customWidth="1"/>
    <col min="3086" max="3086" width="10" style="2591" customWidth="1"/>
    <col min="3087" max="3088" width="10.44140625" style="2591" bestFit="1" customWidth="1"/>
    <col min="3089" max="3089" width="10" style="2591" customWidth="1"/>
    <col min="3090" max="3090" width="10.109375" style="2591" customWidth="1"/>
    <col min="3091" max="3091" width="10" style="2591" customWidth="1"/>
    <col min="3092" max="3092" width="26.109375" style="2591" customWidth="1"/>
    <col min="3093" max="3328" width="8.88671875" style="2591"/>
    <col min="3329" max="3329" width="9.44140625" style="2591" customWidth="1"/>
    <col min="3330" max="3330" width="8.88671875" style="2591"/>
    <col min="3331" max="3333" width="12.88671875" style="2591" customWidth="1"/>
    <col min="3334" max="3334" width="47.44140625" style="2591" customWidth="1"/>
    <col min="3335" max="3335" width="13" style="2591" customWidth="1"/>
    <col min="3336" max="3337" width="8.88671875" style="2591"/>
    <col min="3338" max="3338" width="5.77734375" style="2591" customWidth="1"/>
    <col min="3339" max="3339" width="11.77734375" style="2591" customWidth="1"/>
    <col min="3340" max="3341" width="10.77734375" style="2591" customWidth="1"/>
    <col min="3342" max="3342" width="10" style="2591" customWidth="1"/>
    <col min="3343" max="3344" width="10.44140625" style="2591" bestFit="1" customWidth="1"/>
    <col min="3345" max="3345" width="10" style="2591" customWidth="1"/>
    <col min="3346" max="3346" width="10.109375" style="2591" customWidth="1"/>
    <col min="3347" max="3347" width="10" style="2591" customWidth="1"/>
    <col min="3348" max="3348" width="26.109375" style="2591" customWidth="1"/>
    <col min="3349" max="3584" width="8.88671875" style="2591"/>
    <col min="3585" max="3585" width="9.44140625" style="2591" customWidth="1"/>
    <col min="3586" max="3586" width="8.88671875" style="2591"/>
    <col min="3587" max="3589" width="12.88671875" style="2591" customWidth="1"/>
    <col min="3590" max="3590" width="47.44140625" style="2591" customWidth="1"/>
    <col min="3591" max="3591" width="13" style="2591" customWidth="1"/>
    <col min="3592" max="3593" width="8.88671875" style="2591"/>
    <col min="3594" max="3594" width="5.77734375" style="2591" customWidth="1"/>
    <col min="3595" max="3595" width="11.77734375" style="2591" customWidth="1"/>
    <col min="3596" max="3597" width="10.77734375" style="2591" customWidth="1"/>
    <col min="3598" max="3598" width="10" style="2591" customWidth="1"/>
    <col min="3599" max="3600" width="10.44140625" style="2591" bestFit="1" customWidth="1"/>
    <col min="3601" max="3601" width="10" style="2591" customWidth="1"/>
    <col min="3602" max="3602" width="10.109375" style="2591" customWidth="1"/>
    <col min="3603" max="3603" width="10" style="2591" customWidth="1"/>
    <col min="3604" max="3604" width="26.109375" style="2591" customWidth="1"/>
    <col min="3605" max="3840" width="8.88671875" style="2591"/>
    <col min="3841" max="3841" width="9.44140625" style="2591" customWidth="1"/>
    <col min="3842" max="3842" width="8.88671875" style="2591"/>
    <col min="3843" max="3845" width="12.88671875" style="2591" customWidth="1"/>
    <col min="3846" max="3846" width="47.44140625" style="2591" customWidth="1"/>
    <col min="3847" max="3847" width="13" style="2591" customWidth="1"/>
    <col min="3848" max="3849" width="8.88671875" style="2591"/>
    <col min="3850" max="3850" width="5.77734375" style="2591" customWidth="1"/>
    <col min="3851" max="3851" width="11.77734375" style="2591" customWidth="1"/>
    <col min="3852" max="3853" width="10.77734375" style="2591" customWidth="1"/>
    <col min="3854" max="3854" width="10" style="2591" customWidth="1"/>
    <col min="3855" max="3856" width="10.44140625" style="2591" bestFit="1" customWidth="1"/>
    <col min="3857" max="3857" width="10" style="2591" customWidth="1"/>
    <col min="3858" max="3858" width="10.109375" style="2591" customWidth="1"/>
    <col min="3859" max="3859" width="10" style="2591" customWidth="1"/>
    <col min="3860" max="3860" width="26.109375" style="2591" customWidth="1"/>
    <col min="3861" max="4096" width="8.88671875" style="2591"/>
    <col min="4097" max="4097" width="9.44140625" style="2591" customWidth="1"/>
    <col min="4098" max="4098" width="8.88671875" style="2591"/>
    <col min="4099" max="4101" width="12.88671875" style="2591" customWidth="1"/>
    <col min="4102" max="4102" width="47.44140625" style="2591" customWidth="1"/>
    <col min="4103" max="4103" width="13" style="2591" customWidth="1"/>
    <col min="4104" max="4105" width="8.88671875" style="2591"/>
    <col min="4106" max="4106" width="5.77734375" style="2591" customWidth="1"/>
    <col min="4107" max="4107" width="11.77734375" style="2591" customWidth="1"/>
    <col min="4108" max="4109" width="10.77734375" style="2591" customWidth="1"/>
    <col min="4110" max="4110" width="10" style="2591" customWidth="1"/>
    <col min="4111" max="4112" width="10.44140625" style="2591" bestFit="1" customWidth="1"/>
    <col min="4113" max="4113" width="10" style="2591" customWidth="1"/>
    <col min="4114" max="4114" width="10.109375" style="2591" customWidth="1"/>
    <col min="4115" max="4115" width="10" style="2591" customWidth="1"/>
    <col min="4116" max="4116" width="26.109375" style="2591" customWidth="1"/>
    <col min="4117" max="4352" width="8.88671875" style="2591"/>
    <col min="4353" max="4353" width="9.44140625" style="2591" customWidth="1"/>
    <col min="4354" max="4354" width="8.88671875" style="2591"/>
    <col min="4355" max="4357" width="12.88671875" style="2591" customWidth="1"/>
    <col min="4358" max="4358" width="47.44140625" style="2591" customWidth="1"/>
    <col min="4359" max="4359" width="13" style="2591" customWidth="1"/>
    <col min="4360" max="4361" width="8.88671875" style="2591"/>
    <col min="4362" max="4362" width="5.77734375" style="2591" customWidth="1"/>
    <col min="4363" max="4363" width="11.77734375" style="2591" customWidth="1"/>
    <col min="4364" max="4365" width="10.77734375" style="2591" customWidth="1"/>
    <col min="4366" max="4366" width="10" style="2591" customWidth="1"/>
    <col min="4367" max="4368" width="10.44140625" style="2591" bestFit="1" customWidth="1"/>
    <col min="4369" max="4369" width="10" style="2591" customWidth="1"/>
    <col min="4370" max="4370" width="10.109375" style="2591" customWidth="1"/>
    <col min="4371" max="4371" width="10" style="2591" customWidth="1"/>
    <col min="4372" max="4372" width="26.109375" style="2591" customWidth="1"/>
    <col min="4373" max="4608" width="8.88671875" style="2591"/>
    <col min="4609" max="4609" width="9.44140625" style="2591" customWidth="1"/>
    <col min="4610" max="4610" width="8.88671875" style="2591"/>
    <col min="4611" max="4613" width="12.88671875" style="2591" customWidth="1"/>
    <col min="4614" max="4614" width="47.44140625" style="2591" customWidth="1"/>
    <col min="4615" max="4615" width="13" style="2591" customWidth="1"/>
    <col min="4616" max="4617" width="8.88671875" style="2591"/>
    <col min="4618" max="4618" width="5.77734375" style="2591" customWidth="1"/>
    <col min="4619" max="4619" width="11.77734375" style="2591" customWidth="1"/>
    <col min="4620" max="4621" width="10.77734375" style="2591" customWidth="1"/>
    <col min="4622" max="4622" width="10" style="2591" customWidth="1"/>
    <col min="4623" max="4624" width="10.44140625" style="2591" bestFit="1" customWidth="1"/>
    <col min="4625" max="4625" width="10" style="2591" customWidth="1"/>
    <col min="4626" max="4626" width="10.109375" style="2591" customWidth="1"/>
    <col min="4627" max="4627" width="10" style="2591" customWidth="1"/>
    <col min="4628" max="4628" width="26.109375" style="2591" customWidth="1"/>
    <col min="4629" max="4864" width="8.88671875" style="2591"/>
    <col min="4865" max="4865" width="9.44140625" style="2591" customWidth="1"/>
    <col min="4866" max="4866" width="8.88671875" style="2591"/>
    <col min="4867" max="4869" width="12.88671875" style="2591" customWidth="1"/>
    <col min="4870" max="4870" width="47.44140625" style="2591" customWidth="1"/>
    <col min="4871" max="4871" width="13" style="2591" customWidth="1"/>
    <col min="4872" max="4873" width="8.88671875" style="2591"/>
    <col min="4874" max="4874" width="5.77734375" style="2591" customWidth="1"/>
    <col min="4875" max="4875" width="11.77734375" style="2591" customWidth="1"/>
    <col min="4876" max="4877" width="10.77734375" style="2591" customWidth="1"/>
    <col min="4878" max="4878" width="10" style="2591" customWidth="1"/>
    <col min="4879" max="4880" width="10.44140625" style="2591" bestFit="1" customWidth="1"/>
    <col min="4881" max="4881" width="10" style="2591" customWidth="1"/>
    <col min="4882" max="4882" width="10.109375" style="2591" customWidth="1"/>
    <col min="4883" max="4883" width="10" style="2591" customWidth="1"/>
    <col min="4884" max="4884" width="26.109375" style="2591" customWidth="1"/>
    <col min="4885" max="5120" width="8.88671875" style="2591"/>
    <col min="5121" max="5121" width="9.44140625" style="2591" customWidth="1"/>
    <col min="5122" max="5122" width="8.88671875" style="2591"/>
    <col min="5123" max="5125" width="12.88671875" style="2591" customWidth="1"/>
    <col min="5126" max="5126" width="47.44140625" style="2591" customWidth="1"/>
    <col min="5127" max="5127" width="13" style="2591" customWidth="1"/>
    <col min="5128" max="5129" width="8.88671875" style="2591"/>
    <col min="5130" max="5130" width="5.77734375" style="2591" customWidth="1"/>
    <col min="5131" max="5131" width="11.77734375" style="2591" customWidth="1"/>
    <col min="5132" max="5133" width="10.77734375" style="2591" customWidth="1"/>
    <col min="5134" max="5134" width="10" style="2591" customWidth="1"/>
    <col min="5135" max="5136" width="10.44140625" style="2591" bestFit="1" customWidth="1"/>
    <col min="5137" max="5137" width="10" style="2591" customWidth="1"/>
    <col min="5138" max="5138" width="10.109375" style="2591" customWidth="1"/>
    <col min="5139" max="5139" width="10" style="2591" customWidth="1"/>
    <col min="5140" max="5140" width="26.109375" style="2591" customWidth="1"/>
    <col min="5141" max="5376" width="8.88671875" style="2591"/>
    <col min="5377" max="5377" width="9.44140625" style="2591" customWidth="1"/>
    <col min="5378" max="5378" width="8.88671875" style="2591"/>
    <col min="5379" max="5381" width="12.88671875" style="2591" customWidth="1"/>
    <col min="5382" max="5382" width="47.44140625" style="2591" customWidth="1"/>
    <col min="5383" max="5383" width="13" style="2591" customWidth="1"/>
    <col min="5384" max="5385" width="8.88671875" style="2591"/>
    <col min="5386" max="5386" width="5.77734375" style="2591" customWidth="1"/>
    <col min="5387" max="5387" width="11.77734375" style="2591" customWidth="1"/>
    <col min="5388" max="5389" width="10.77734375" style="2591" customWidth="1"/>
    <col min="5390" max="5390" width="10" style="2591" customWidth="1"/>
    <col min="5391" max="5392" width="10.44140625" style="2591" bestFit="1" customWidth="1"/>
    <col min="5393" max="5393" width="10" style="2591" customWidth="1"/>
    <col min="5394" max="5394" width="10.109375" style="2591" customWidth="1"/>
    <col min="5395" max="5395" width="10" style="2591" customWidth="1"/>
    <col min="5396" max="5396" width="26.109375" style="2591" customWidth="1"/>
    <col min="5397" max="5632" width="8.88671875" style="2591"/>
    <col min="5633" max="5633" width="9.44140625" style="2591" customWidth="1"/>
    <col min="5634" max="5634" width="8.88671875" style="2591"/>
    <col min="5635" max="5637" width="12.88671875" style="2591" customWidth="1"/>
    <col min="5638" max="5638" width="47.44140625" style="2591" customWidth="1"/>
    <col min="5639" max="5639" width="13" style="2591" customWidth="1"/>
    <col min="5640" max="5641" width="8.88671875" style="2591"/>
    <col min="5642" max="5642" width="5.77734375" style="2591" customWidth="1"/>
    <col min="5643" max="5643" width="11.77734375" style="2591" customWidth="1"/>
    <col min="5644" max="5645" width="10.77734375" style="2591" customWidth="1"/>
    <col min="5646" max="5646" width="10" style="2591" customWidth="1"/>
    <col min="5647" max="5648" width="10.44140625" style="2591" bestFit="1" customWidth="1"/>
    <col min="5649" max="5649" width="10" style="2591" customWidth="1"/>
    <col min="5650" max="5650" width="10.109375" style="2591" customWidth="1"/>
    <col min="5651" max="5651" width="10" style="2591" customWidth="1"/>
    <col min="5652" max="5652" width="26.109375" style="2591" customWidth="1"/>
    <col min="5653" max="5888" width="8.88671875" style="2591"/>
    <col min="5889" max="5889" width="9.44140625" style="2591" customWidth="1"/>
    <col min="5890" max="5890" width="8.88671875" style="2591"/>
    <col min="5891" max="5893" width="12.88671875" style="2591" customWidth="1"/>
    <col min="5894" max="5894" width="47.44140625" style="2591" customWidth="1"/>
    <col min="5895" max="5895" width="13" style="2591" customWidth="1"/>
    <col min="5896" max="5897" width="8.88671875" style="2591"/>
    <col min="5898" max="5898" width="5.77734375" style="2591" customWidth="1"/>
    <col min="5899" max="5899" width="11.77734375" style="2591" customWidth="1"/>
    <col min="5900" max="5901" width="10.77734375" style="2591" customWidth="1"/>
    <col min="5902" max="5902" width="10" style="2591" customWidth="1"/>
    <col min="5903" max="5904" width="10.44140625" style="2591" bestFit="1" customWidth="1"/>
    <col min="5905" max="5905" width="10" style="2591" customWidth="1"/>
    <col min="5906" max="5906" width="10.109375" style="2591" customWidth="1"/>
    <col min="5907" max="5907" width="10" style="2591" customWidth="1"/>
    <col min="5908" max="5908" width="26.109375" style="2591" customWidth="1"/>
    <col min="5909" max="6144" width="8.88671875" style="2591"/>
    <col min="6145" max="6145" width="9.44140625" style="2591" customWidth="1"/>
    <col min="6146" max="6146" width="8.88671875" style="2591"/>
    <col min="6147" max="6149" width="12.88671875" style="2591" customWidth="1"/>
    <col min="6150" max="6150" width="47.44140625" style="2591" customWidth="1"/>
    <col min="6151" max="6151" width="13" style="2591" customWidth="1"/>
    <col min="6152" max="6153" width="8.88671875" style="2591"/>
    <col min="6154" max="6154" width="5.77734375" style="2591" customWidth="1"/>
    <col min="6155" max="6155" width="11.77734375" style="2591" customWidth="1"/>
    <col min="6156" max="6157" width="10.77734375" style="2591" customWidth="1"/>
    <col min="6158" max="6158" width="10" style="2591" customWidth="1"/>
    <col min="6159" max="6160" width="10.44140625" style="2591" bestFit="1" customWidth="1"/>
    <col min="6161" max="6161" width="10" style="2591" customWidth="1"/>
    <col min="6162" max="6162" width="10.109375" style="2591" customWidth="1"/>
    <col min="6163" max="6163" width="10" style="2591" customWidth="1"/>
    <col min="6164" max="6164" width="26.109375" style="2591" customWidth="1"/>
    <col min="6165" max="6400" width="8.88671875" style="2591"/>
    <col min="6401" max="6401" width="9.44140625" style="2591" customWidth="1"/>
    <col min="6402" max="6402" width="8.88671875" style="2591"/>
    <col min="6403" max="6405" width="12.88671875" style="2591" customWidth="1"/>
    <col min="6406" max="6406" width="47.44140625" style="2591" customWidth="1"/>
    <col min="6407" max="6407" width="13" style="2591" customWidth="1"/>
    <col min="6408" max="6409" width="8.88671875" style="2591"/>
    <col min="6410" max="6410" width="5.77734375" style="2591" customWidth="1"/>
    <col min="6411" max="6411" width="11.77734375" style="2591" customWidth="1"/>
    <col min="6412" max="6413" width="10.77734375" style="2591" customWidth="1"/>
    <col min="6414" max="6414" width="10" style="2591" customWidth="1"/>
    <col min="6415" max="6416" width="10.44140625" style="2591" bestFit="1" customWidth="1"/>
    <col min="6417" max="6417" width="10" style="2591" customWidth="1"/>
    <col min="6418" max="6418" width="10.109375" style="2591" customWidth="1"/>
    <col min="6419" max="6419" width="10" style="2591" customWidth="1"/>
    <col min="6420" max="6420" width="26.109375" style="2591" customWidth="1"/>
    <col min="6421" max="6656" width="8.88671875" style="2591"/>
    <col min="6657" max="6657" width="9.44140625" style="2591" customWidth="1"/>
    <col min="6658" max="6658" width="8.88671875" style="2591"/>
    <col min="6659" max="6661" width="12.88671875" style="2591" customWidth="1"/>
    <col min="6662" max="6662" width="47.44140625" style="2591" customWidth="1"/>
    <col min="6663" max="6663" width="13" style="2591" customWidth="1"/>
    <col min="6664" max="6665" width="8.88671875" style="2591"/>
    <col min="6666" max="6666" width="5.77734375" style="2591" customWidth="1"/>
    <col min="6667" max="6667" width="11.77734375" style="2591" customWidth="1"/>
    <col min="6668" max="6669" width="10.77734375" style="2591" customWidth="1"/>
    <col min="6670" max="6670" width="10" style="2591" customWidth="1"/>
    <col min="6671" max="6672" width="10.44140625" style="2591" bestFit="1" customWidth="1"/>
    <col min="6673" max="6673" width="10" style="2591" customWidth="1"/>
    <col min="6674" max="6674" width="10.109375" style="2591" customWidth="1"/>
    <col min="6675" max="6675" width="10" style="2591" customWidth="1"/>
    <col min="6676" max="6676" width="26.109375" style="2591" customWidth="1"/>
    <col min="6677" max="6912" width="8.88671875" style="2591"/>
    <col min="6913" max="6913" width="9.44140625" style="2591" customWidth="1"/>
    <col min="6914" max="6914" width="8.88671875" style="2591"/>
    <col min="6915" max="6917" width="12.88671875" style="2591" customWidth="1"/>
    <col min="6918" max="6918" width="47.44140625" style="2591" customWidth="1"/>
    <col min="6919" max="6919" width="13" style="2591" customWidth="1"/>
    <col min="6920" max="6921" width="8.88671875" style="2591"/>
    <col min="6922" max="6922" width="5.77734375" style="2591" customWidth="1"/>
    <col min="6923" max="6923" width="11.77734375" style="2591" customWidth="1"/>
    <col min="6924" max="6925" width="10.77734375" style="2591" customWidth="1"/>
    <col min="6926" max="6926" width="10" style="2591" customWidth="1"/>
    <col min="6927" max="6928" width="10.44140625" style="2591" bestFit="1" customWidth="1"/>
    <col min="6929" max="6929" width="10" style="2591" customWidth="1"/>
    <col min="6930" max="6930" width="10.109375" style="2591" customWidth="1"/>
    <col min="6931" max="6931" width="10" style="2591" customWidth="1"/>
    <col min="6932" max="6932" width="26.109375" style="2591" customWidth="1"/>
    <col min="6933" max="7168" width="8.88671875" style="2591"/>
    <col min="7169" max="7169" width="9.44140625" style="2591" customWidth="1"/>
    <col min="7170" max="7170" width="8.88671875" style="2591"/>
    <col min="7171" max="7173" width="12.88671875" style="2591" customWidth="1"/>
    <col min="7174" max="7174" width="47.44140625" style="2591" customWidth="1"/>
    <col min="7175" max="7175" width="13" style="2591" customWidth="1"/>
    <col min="7176" max="7177" width="8.88671875" style="2591"/>
    <col min="7178" max="7178" width="5.77734375" style="2591" customWidth="1"/>
    <col min="7179" max="7179" width="11.77734375" style="2591" customWidth="1"/>
    <col min="7180" max="7181" width="10.77734375" style="2591" customWidth="1"/>
    <col min="7182" max="7182" width="10" style="2591" customWidth="1"/>
    <col min="7183" max="7184" width="10.44140625" style="2591" bestFit="1" customWidth="1"/>
    <col min="7185" max="7185" width="10" style="2591" customWidth="1"/>
    <col min="7186" max="7186" width="10.109375" style="2591" customWidth="1"/>
    <col min="7187" max="7187" width="10" style="2591" customWidth="1"/>
    <col min="7188" max="7188" width="26.109375" style="2591" customWidth="1"/>
    <col min="7189" max="7424" width="8.88671875" style="2591"/>
    <col min="7425" max="7425" width="9.44140625" style="2591" customWidth="1"/>
    <col min="7426" max="7426" width="8.88671875" style="2591"/>
    <col min="7427" max="7429" width="12.88671875" style="2591" customWidth="1"/>
    <col min="7430" max="7430" width="47.44140625" style="2591" customWidth="1"/>
    <col min="7431" max="7431" width="13" style="2591" customWidth="1"/>
    <col min="7432" max="7433" width="8.88671875" style="2591"/>
    <col min="7434" max="7434" width="5.77734375" style="2591" customWidth="1"/>
    <col min="7435" max="7435" width="11.77734375" style="2591" customWidth="1"/>
    <col min="7436" max="7437" width="10.77734375" style="2591" customWidth="1"/>
    <col min="7438" max="7438" width="10" style="2591" customWidth="1"/>
    <col min="7439" max="7440" width="10.44140625" style="2591" bestFit="1" customWidth="1"/>
    <col min="7441" max="7441" width="10" style="2591" customWidth="1"/>
    <col min="7442" max="7442" width="10.109375" style="2591" customWidth="1"/>
    <col min="7443" max="7443" width="10" style="2591" customWidth="1"/>
    <col min="7444" max="7444" width="26.109375" style="2591" customWidth="1"/>
    <col min="7445" max="7680" width="8.88671875" style="2591"/>
    <col min="7681" max="7681" width="9.44140625" style="2591" customWidth="1"/>
    <col min="7682" max="7682" width="8.88671875" style="2591"/>
    <col min="7683" max="7685" width="12.88671875" style="2591" customWidth="1"/>
    <col min="7686" max="7686" width="47.44140625" style="2591" customWidth="1"/>
    <col min="7687" max="7687" width="13" style="2591" customWidth="1"/>
    <col min="7688" max="7689" width="8.88671875" style="2591"/>
    <col min="7690" max="7690" width="5.77734375" style="2591" customWidth="1"/>
    <col min="7691" max="7691" width="11.77734375" style="2591" customWidth="1"/>
    <col min="7692" max="7693" width="10.77734375" style="2591" customWidth="1"/>
    <col min="7694" max="7694" width="10" style="2591" customWidth="1"/>
    <col min="7695" max="7696" width="10.44140625" style="2591" bestFit="1" customWidth="1"/>
    <col min="7697" max="7697" width="10" style="2591" customWidth="1"/>
    <col min="7698" max="7698" width="10.109375" style="2591" customWidth="1"/>
    <col min="7699" max="7699" width="10" style="2591" customWidth="1"/>
    <col min="7700" max="7700" width="26.109375" style="2591" customWidth="1"/>
    <col min="7701" max="7936" width="8.88671875" style="2591"/>
    <col min="7937" max="7937" width="9.44140625" style="2591" customWidth="1"/>
    <col min="7938" max="7938" width="8.88671875" style="2591"/>
    <col min="7939" max="7941" width="12.88671875" style="2591" customWidth="1"/>
    <col min="7942" max="7942" width="47.44140625" style="2591" customWidth="1"/>
    <col min="7943" max="7943" width="13" style="2591" customWidth="1"/>
    <col min="7944" max="7945" width="8.88671875" style="2591"/>
    <col min="7946" max="7946" width="5.77734375" style="2591" customWidth="1"/>
    <col min="7947" max="7947" width="11.77734375" style="2591" customWidth="1"/>
    <col min="7948" max="7949" width="10.77734375" style="2591" customWidth="1"/>
    <col min="7950" max="7950" width="10" style="2591" customWidth="1"/>
    <col min="7951" max="7952" width="10.44140625" style="2591" bestFit="1" customWidth="1"/>
    <col min="7953" max="7953" width="10" style="2591" customWidth="1"/>
    <col min="7954" max="7954" width="10.109375" style="2591" customWidth="1"/>
    <col min="7955" max="7955" width="10" style="2591" customWidth="1"/>
    <col min="7956" max="7956" width="26.109375" style="2591" customWidth="1"/>
    <col min="7957" max="8192" width="8.88671875" style="2591"/>
    <col min="8193" max="8193" width="9.44140625" style="2591" customWidth="1"/>
    <col min="8194" max="8194" width="8.88671875" style="2591"/>
    <col min="8195" max="8197" width="12.88671875" style="2591" customWidth="1"/>
    <col min="8198" max="8198" width="47.44140625" style="2591" customWidth="1"/>
    <col min="8199" max="8199" width="13" style="2591" customWidth="1"/>
    <col min="8200" max="8201" width="8.88671875" style="2591"/>
    <col min="8202" max="8202" width="5.77734375" style="2591" customWidth="1"/>
    <col min="8203" max="8203" width="11.77734375" style="2591" customWidth="1"/>
    <col min="8204" max="8205" width="10.77734375" style="2591" customWidth="1"/>
    <col min="8206" max="8206" width="10" style="2591" customWidth="1"/>
    <col min="8207" max="8208" width="10.44140625" style="2591" bestFit="1" customWidth="1"/>
    <col min="8209" max="8209" width="10" style="2591" customWidth="1"/>
    <col min="8210" max="8210" width="10.109375" style="2591" customWidth="1"/>
    <col min="8211" max="8211" width="10" style="2591" customWidth="1"/>
    <col min="8212" max="8212" width="26.109375" style="2591" customWidth="1"/>
    <col min="8213" max="8448" width="8.88671875" style="2591"/>
    <col min="8449" max="8449" width="9.44140625" style="2591" customWidth="1"/>
    <col min="8450" max="8450" width="8.88671875" style="2591"/>
    <col min="8451" max="8453" width="12.88671875" style="2591" customWidth="1"/>
    <col min="8454" max="8454" width="47.44140625" style="2591" customWidth="1"/>
    <col min="8455" max="8455" width="13" style="2591" customWidth="1"/>
    <col min="8456" max="8457" width="8.88671875" style="2591"/>
    <col min="8458" max="8458" width="5.77734375" style="2591" customWidth="1"/>
    <col min="8459" max="8459" width="11.77734375" style="2591" customWidth="1"/>
    <col min="8460" max="8461" width="10.77734375" style="2591" customWidth="1"/>
    <col min="8462" max="8462" width="10" style="2591" customWidth="1"/>
    <col min="8463" max="8464" width="10.44140625" style="2591" bestFit="1" customWidth="1"/>
    <col min="8465" max="8465" width="10" style="2591" customWidth="1"/>
    <col min="8466" max="8466" width="10.109375" style="2591" customWidth="1"/>
    <col min="8467" max="8467" width="10" style="2591" customWidth="1"/>
    <col min="8468" max="8468" width="26.109375" style="2591" customWidth="1"/>
    <col min="8469" max="8704" width="8.88671875" style="2591"/>
    <col min="8705" max="8705" width="9.44140625" style="2591" customWidth="1"/>
    <col min="8706" max="8706" width="8.88671875" style="2591"/>
    <col min="8707" max="8709" width="12.88671875" style="2591" customWidth="1"/>
    <col min="8710" max="8710" width="47.44140625" style="2591" customWidth="1"/>
    <col min="8711" max="8711" width="13" style="2591" customWidth="1"/>
    <col min="8712" max="8713" width="8.88671875" style="2591"/>
    <col min="8714" max="8714" width="5.77734375" style="2591" customWidth="1"/>
    <col min="8715" max="8715" width="11.77734375" style="2591" customWidth="1"/>
    <col min="8716" max="8717" width="10.77734375" style="2591" customWidth="1"/>
    <col min="8718" max="8718" width="10" style="2591" customWidth="1"/>
    <col min="8719" max="8720" width="10.44140625" style="2591" bestFit="1" customWidth="1"/>
    <col min="8721" max="8721" width="10" style="2591" customWidth="1"/>
    <col min="8722" max="8722" width="10.109375" style="2591" customWidth="1"/>
    <col min="8723" max="8723" width="10" style="2591" customWidth="1"/>
    <col min="8724" max="8724" width="26.109375" style="2591" customWidth="1"/>
    <col min="8725" max="8960" width="8.88671875" style="2591"/>
    <col min="8961" max="8961" width="9.44140625" style="2591" customWidth="1"/>
    <col min="8962" max="8962" width="8.88671875" style="2591"/>
    <col min="8963" max="8965" width="12.88671875" style="2591" customWidth="1"/>
    <col min="8966" max="8966" width="47.44140625" style="2591" customWidth="1"/>
    <col min="8967" max="8967" width="13" style="2591" customWidth="1"/>
    <col min="8968" max="8969" width="8.88671875" style="2591"/>
    <col min="8970" max="8970" width="5.77734375" style="2591" customWidth="1"/>
    <col min="8971" max="8971" width="11.77734375" style="2591" customWidth="1"/>
    <col min="8972" max="8973" width="10.77734375" style="2591" customWidth="1"/>
    <col min="8974" max="8974" width="10" style="2591" customWidth="1"/>
    <col min="8975" max="8976" width="10.44140625" style="2591" bestFit="1" customWidth="1"/>
    <col min="8977" max="8977" width="10" style="2591" customWidth="1"/>
    <col min="8978" max="8978" width="10.109375" style="2591" customWidth="1"/>
    <col min="8979" max="8979" width="10" style="2591" customWidth="1"/>
    <col min="8980" max="8980" width="26.109375" style="2591" customWidth="1"/>
    <col min="8981" max="9216" width="8.88671875" style="2591"/>
    <col min="9217" max="9217" width="9.44140625" style="2591" customWidth="1"/>
    <col min="9218" max="9218" width="8.88671875" style="2591"/>
    <col min="9219" max="9221" width="12.88671875" style="2591" customWidth="1"/>
    <col min="9222" max="9222" width="47.44140625" style="2591" customWidth="1"/>
    <col min="9223" max="9223" width="13" style="2591" customWidth="1"/>
    <col min="9224" max="9225" width="8.88671875" style="2591"/>
    <col min="9226" max="9226" width="5.77734375" style="2591" customWidth="1"/>
    <col min="9227" max="9227" width="11.77734375" style="2591" customWidth="1"/>
    <col min="9228" max="9229" width="10.77734375" style="2591" customWidth="1"/>
    <col min="9230" max="9230" width="10" style="2591" customWidth="1"/>
    <col min="9231" max="9232" width="10.44140625" style="2591" bestFit="1" customWidth="1"/>
    <col min="9233" max="9233" width="10" style="2591" customWidth="1"/>
    <col min="9234" max="9234" width="10.109375" style="2591" customWidth="1"/>
    <col min="9235" max="9235" width="10" style="2591" customWidth="1"/>
    <col min="9236" max="9236" width="26.109375" style="2591" customWidth="1"/>
    <col min="9237" max="9472" width="8.88671875" style="2591"/>
    <col min="9473" max="9473" width="9.44140625" style="2591" customWidth="1"/>
    <col min="9474" max="9474" width="8.88671875" style="2591"/>
    <col min="9475" max="9477" width="12.88671875" style="2591" customWidth="1"/>
    <col min="9478" max="9478" width="47.44140625" style="2591" customWidth="1"/>
    <col min="9479" max="9479" width="13" style="2591" customWidth="1"/>
    <col min="9480" max="9481" width="8.88671875" style="2591"/>
    <col min="9482" max="9482" width="5.77734375" style="2591" customWidth="1"/>
    <col min="9483" max="9483" width="11.77734375" style="2591" customWidth="1"/>
    <col min="9484" max="9485" width="10.77734375" style="2591" customWidth="1"/>
    <col min="9486" max="9486" width="10" style="2591" customWidth="1"/>
    <col min="9487" max="9488" width="10.44140625" style="2591" bestFit="1" customWidth="1"/>
    <col min="9489" max="9489" width="10" style="2591" customWidth="1"/>
    <col min="9490" max="9490" width="10.109375" style="2591" customWidth="1"/>
    <col min="9491" max="9491" width="10" style="2591" customWidth="1"/>
    <col min="9492" max="9492" width="26.109375" style="2591" customWidth="1"/>
    <col min="9493" max="9728" width="8.88671875" style="2591"/>
    <col min="9729" max="9729" width="9.44140625" style="2591" customWidth="1"/>
    <col min="9730" max="9730" width="8.88671875" style="2591"/>
    <col min="9731" max="9733" width="12.88671875" style="2591" customWidth="1"/>
    <col min="9734" max="9734" width="47.44140625" style="2591" customWidth="1"/>
    <col min="9735" max="9735" width="13" style="2591" customWidth="1"/>
    <col min="9736" max="9737" width="8.88671875" style="2591"/>
    <col min="9738" max="9738" width="5.77734375" style="2591" customWidth="1"/>
    <col min="9739" max="9739" width="11.77734375" style="2591" customWidth="1"/>
    <col min="9740" max="9741" width="10.77734375" style="2591" customWidth="1"/>
    <col min="9742" max="9742" width="10" style="2591" customWidth="1"/>
    <col min="9743" max="9744" width="10.44140625" style="2591" bestFit="1" customWidth="1"/>
    <col min="9745" max="9745" width="10" style="2591" customWidth="1"/>
    <col min="9746" max="9746" width="10.109375" style="2591" customWidth="1"/>
    <col min="9747" max="9747" width="10" style="2591" customWidth="1"/>
    <col min="9748" max="9748" width="26.109375" style="2591" customWidth="1"/>
    <col min="9749" max="9984" width="8.88671875" style="2591"/>
    <col min="9985" max="9985" width="9.44140625" style="2591" customWidth="1"/>
    <col min="9986" max="9986" width="8.88671875" style="2591"/>
    <col min="9987" max="9989" width="12.88671875" style="2591" customWidth="1"/>
    <col min="9990" max="9990" width="47.44140625" style="2591" customWidth="1"/>
    <col min="9991" max="9991" width="13" style="2591" customWidth="1"/>
    <col min="9992" max="9993" width="8.88671875" style="2591"/>
    <col min="9994" max="9994" width="5.77734375" style="2591" customWidth="1"/>
    <col min="9995" max="9995" width="11.77734375" style="2591" customWidth="1"/>
    <col min="9996" max="9997" width="10.77734375" style="2591" customWidth="1"/>
    <col min="9998" max="9998" width="10" style="2591" customWidth="1"/>
    <col min="9999" max="10000" width="10.44140625" style="2591" bestFit="1" customWidth="1"/>
    <col min="10001" max="10001" width="10" style="2591" customWidth="1"/>
    <col min="10002" max="10002" width="10.109375" style="2591" customWidth="1"/>
    <col min="10003" max="10003" width="10" style="2591" customWidth="1"/>
    <col min="10004" max="10004" width="26.109375" style="2591" customWidth="1"/>
    <col min="10005" max="10240" width="8.88671875" style="2591"/>
    <col min="10241" max="10241" width="9.44140625" style="2591" customWidth="1"/>
    <col min="10242" max="10242" width="8.88671875" style="2591"/>
    <col min="10243" max="10245" width="12.88671875" style="2591" customWidth="1"/>
    <col min="10246" max="10246" width="47.44140625" style="2591" customWidth="1"/>
    <col min="10247" max="10247" width="13" style="2591" customWidth="1"/>
    <col min="10248" max="10249" width="8.88671875" style="2591"/>
    <col min="10250" max="10250" width="5.77734375" style="2591" customWidth="1"/>
    <col min="10251" max="10251" width="11.77734375" style="2591" customWidth="1"/>
    <col min="10252" max="10253" width="10.77734375" style="2591" customWidth="1"/>
    <col min="10254" max="10254" width="10" style="2591" customWidth="1"/>
    <col min="10255" max="10256" width="10.44140625" style="2591" bestFit="1" customWidth="1"/>
    <col min="10257" max="10257" width="10" style="2591" customWidth="1"/>
    <col min="10258" max="10258" width="10.109375" style="2591" customWidth="1"/>
    <col min="10259" max="10259" width="10" style="2591" customWidth="1"/>
    <col min="10260" max="10260" width="26.109375" style="2591" customWidth="1"/>
    <col min="10261" max="10496" width="8.88671875" style="2591"/>
    <col min="10497" max="10497" width="9.44140625" style="2591" customWidth="1"/>
    <col min="10498" max="10498" width="8.88671875" style="2591"/>
    <col min="10499" max="10501" width="12.88671875" style="2591" customWidth="1"/>
    <col min="10502" max="10502" width="47.44140625" style="2591" customWidth="1"/>
    <col min="10503" max="10503" width="13" style="2591" customWidth="1"/>
    <col min="10504" max="10505" width="8.88671875" style="2591"/>
    <col min="10506" max="10506" width="5.77734375" style="2591" customWidth="1"/>
    <col min="10507" max="10507" width="11.77734375" style="2591" customWidth="1"/>
    <col min="10508" max="10509" width="10.77734375" style="2591" customWidth="1"/>
    <col min="10510" max="10510" width="10" style="2591" customWidth="1"/>
    <col min="10511" max="10512" width="10.44140625" style="2591" bestFit="1" customWidth="1"/>
    <col min="10513" max="10513" width="10" style="2591" customWidth="1"/>
    <col min="10514" max="10514" width="10.109375" style="2591" customWidth="1"/>
    <col min="10515" max="10515" width="10" style="2591" customWidth="1"/>
    <col min="10516" max="10516" width="26.109375" style="2591" customWidth="1"/>
    <col min="10517" max="10752" width="8.88671875" style="2591"/>
    <col min="10753" max="10753" width="9.44140625" style="2591" customWidth="1"/>
    <col min="10754" max="10754" width="8.88671875" style="2591"/>
    <col min="10755" max="10757" width="12.88671875" style="2591" customWidth="1"/>
    <col min="10758" max="10758" width="47.44140625" style="2591" customWidth="1"/>
    <col min="10759" max="10759" width="13" style="2591" customWidth="1"/>
    <col min="10760" max="10761" width="8.88671875" style="2591"/>
    <col min="10762" max="10762" width="5.77734375" style="2591" customWidth="1"/>
    <col min="10763" max="10763" width="11.77734375" style="2591" customWidth="1"/>
    <col min="10764" max="10765" width="10.77734375" style="2591" customWidth="1"/>
    <col min="10766" max="10766" width="10" style="2591" customWidth="1"/>
    <col min="10767" max="10768" width="10.44140625" style="2591" bestFit="1" customWidth="1"/>
    <col min="10769" max="10769" width="10" style="2591" customWidth="1"/>
    <col min="10770" max="10770" width="10.109375" style="2591" customWidth="1"/>
    <col min="10771" max="10771" width="10" style="2591" customWidth="1"/>
    <col min="10772" max="10772" width="26.109375" style="2591" customWidth="1"/>
    <col min="10773" max="11008" width="8.88671875" style="2591"/>
    <col min="11009" max="11009" width="9.44140625" style="2591" customWidth="1"/>
    <col min="11010" max="11010" width="8.88671875" style="2591"/>
    <col min="11011" max="11013" width="12.88671875" style="2591" customWidth="1"/>
    <col min="11014" max="11014" width="47.44140625" style="2591" customWidth="1"/>
    <col min="11015" max="11015" width="13" style="2591" customWidth="1"/>
    <col min="11016" max="11017" width="8.88671875" style="2591"/>
    <col min="11018" max="11018" width="5.77734375" style="2591" customWidth="1"/>
    <col min="11019" max="11019" width="11.77734375" style="2591" customWidth="1"/>
    <col min="11020" max="11021" width="10.77734375" style="2591" customWidth="1"/>
    <col min="11022" max="11022" width="10" style="2591" customWidth="1"/>
    <col min="11023" max="11024" width="10.44140625" style="2591" bestFit="1" customWidth="1"/>
    <col min="11025" max="11025" width="10" style="2591" customWidth="1"/>
    <col min="11026" max="11026" width="10.109375" style="2591" customWidth="1"/>
    <col min="11027" max="11027" width="10" style="2591" customWidth="1"/>
    <col min="11028" max="11028" width="26.109375" style="2591" customWidth="1"/>
    <col min="11029" max="11264" width="8.88671875" style="2591"/>
    <col min="11265" max="11265" width="9.44140625" style="2591" customWidth="1"/>
    <col min="11266" max="11266" width="8.88671875" style="2591"/>
    <col min="11267" max="11269" width="12.88671875" style="2591" customWidth="1"/>
    <col min="11270" max="11270" width="47.44140625" style="2591" customWidth="1"/>
    <col min="11271" max="11271" width="13" style="2591" customWidth="1"/>
    <col min="11272" max="11273" width="8.88671875" style="2591"/>
    <col min="11274" max="11274" width="5.77734375" style="2591" customWidth="1"/>
    <col min="11275" max="11275" width="11.77734375" style="2591" customWidth="1"/>
    <col min="11276" max="11277" width="10.77734375" style="2591" customWidth="1"/>
    <col min="11278" max="11278" width="10" style="2591" customWidth="1"/>
    <col min="11279" max="11280" width="10.44140625" style="2591" bestFit="1" customWidth="1"/>
    <col min="11281" max="11281" width="10" style="2591" customWidth="1"/>
    <col min="11282" max="11282" width="10.109375" style="2591" customWidth="1"/>
    <col min="11283" max="11283" width="10" style="2591" customWidth="1"/>
    <col min="11284" max="11284" width="26.109375" style="2591" customWidth="1"/>
    <col min="11285" max="11520" width="8.88671875" style="2591"/>
    <col min="11521" max="11521" width="9.44140625" style="2591" customWidth="1"/>
    <col min="11522" max="11522" width="8.88671875" style="2591"/>
    <col min="11523" max="11525" width="12.88671875" style="2591" customWidth="1"/>
    <col min="11526" max="11526" width="47.44140625" style="2591" customWidth="1"/>
    <col min="11527" max="11527" width="13" style="2591" customWidth="1"/>
    <col min="11528" max="11529" width="8.88671875" style="2591"/>
    <col min="11530" max="11530" width="5.77734375" style="2591" customWidth="1"/>
    <col min="11531" max="11531" width="11.77734375" style="2591" customWidth="1"/>
    <col min="11532" max="11533" width="10.77734375" style="2591" customWidth="1"/>
    <col min="11534" max="11534" width="10" style="2591" customWidth="1"/>
    <col min="11535" max="11536" width="10.44140625" style="2591" bestFit="1" customWidth="1"/>
    <col min="11537" max="11537" width="10" style="2591" customWidth="1"/>
    <col min="11538" max="11538" width="10.109375" style="2591" customWidth="1"/>
    <col min="11539" max="11539" width="10" style="2591" customWidth="1"/>
    <col min="11540" max="11540" width="26.109375" style="2591" customWidth="1"/>
    <col min="11541" max="11776" width="8.88671875" style="2591"/>
    <col min="11777" max="11777" width="9.44140625" style="2591" customWidth="1"/>
    <col min="11778" max="11778" width="8.88671875" style="2591"/>
    <col min="11779" max="11781" width="12.88671875" style="2591" customWidth="1"/>
    <col min="11782" max="11782" width="47.44140625" style="2591" customWidth="1"/>
    <col min="11783" max="11783" width="13" style="2591" customWidth="1"/>
    <col min="11784" max="11785" width="8.88671875" style="2591"/>
    <col min="11786" max="11786" width="5.77734375" style="2591" customWidth="1"/>
    <col min="11787" max="11787" width="11.77734375" style="2591" customWidth="1"/>
    <col min="11788" max="11789" width="10.77734375" style="2591" customWidth="1"/>
    <col min="11790" max="11790" width="10" style="2591" customWidth="1"/>
    <col min="11791" max="11792" width="10.44140625" style="2591" bestFit="1" customWidth="1"/>
    <col min="11793" max="11793" width="10" style="2591" customWidth="1"/>
    <col min="11794" max="11794" width="10.109375" style="2591" customWidth="1"/>
    <col min="11795" max="11795" width="10" style="2591" customWidth="1"/>
    <col min="11796" max="11796" width="26.109375" style="2591" customWidth="1"/>
    <col min="11797" max="12032" width="8.88671875" style="2591"/>
    <col min="12033" max="12033" width="9.44140625" style="2591" customWidth="1"/>
    <col min="12034" max="12034" width="8.88671875" style="2591"/>
    <col min="12035" max="12037" width="12.88671875" style="2591" customWidth="1"/>
    <col min="12038" max="12038" width="47.44140625" style="2591" customWidth="1"/>
    <col min="12039" max="12039" width="13" style="2591" customWidth="1"/>
    <col min="12040" max="12041" width="8.88671875" style="2591"/>
    <col min="12042" max="12042" width="5.77734375" style="2591" customWidth="1"/>
    <col min="12043" max="12043" width="11.77734375" style="2591" customWidth="1"/>
    <col min="12044" max="12045" width="10.77734375" style="2591" customWidth="1"/>
    <col min="12046" max="12046" width="10" style="2591" customWidth="1"/>
    <col min="12047" max="12048" width="10.44140625" style="2591" bestFit="1" customWidth="1"/>
    <col min="12049" max="12049" width="10" style="2591" customWidth="1"/>
    <col min="12050" max="12050" width="10.109375" style="2591" customWidth="1"/>
    <col min="12051" max="12051" width="10" style="2591" customWidth="1"/>
    <col min="12052" max="12052" width="26.109375" style="2591" customWidth="1"/>
    <col min="12053" max="12288" width="8.88671875" style="2591"/>
    <col min="12289" max="12289" width="9.44140625" style="2591" customWidth="1"/>
    <col min="12290" max="12290" width="8.88671875" style="2591"/>
    <col min="12291" max="12293" width="12.88671875" style="2591" customWidth="1"/>
    <col min="12294" max="12294" width="47.44140625" style="2591" customWidth="1"/>
    <col min="12295" max="12295" width="13" style="2591" customWidth="1"/>
    <col min="12296" max="12297" width="8.88671875" style="2591"/>
    <col min="12298" max="12298" width="5.77734375" style="2591" customWidth="1"/>
    <col min="12299" max="12299" width="11.77734375" style="2591" customWidth="1"/>
    <col min="12300" max="12301" width="10.77734375" style="2591" customWidth="1"/>
    <col min="12302" max="12302" width="10" style="2591" customWidth="1"/>
    <col min="12303" max="12304" width="10.44140625" style="2591" bestFit="1" customWidth="1"/>
    <col min="12305" max="12305" width="10" style="2591" customWidth="1"/>
    <col min="12306" max="12306" width="10.109375" style="2591" customWidth="1"/>
    <col min="12307" max="12307" width="10" style="2591" customWidth="1"/>
    <col min="12308" max="12308" width="26.109375" style="2591" customWidth="1"/>
    <col min="12309" max="12544" width="8.88671875" style="2591"/>
    <col min="12545" max="12545" width="9.44140625" style="2591" customWidth="1"/>
    <col min="12546" max="12546" width="8.88671875" style="2591"/>
    <col min="12547" max="12549" width="12.88671875" style="2591" customWidth="1"/>
    <col min="12550" max="12550" width="47.44140625" style="2591" customWidth="1"/>
    <col min="12551" max="12551" width="13" style="2591" customWidth="1"/>
    <col min="12552" max="12553" width="8.88671875" style="2591"/>
    <col min="12554" max="12554" width="5.77734375" style="2591" customWidth="1"/>
    <col min="12555" max="12555" width="11.77734375" style="2591" customWidth="1"/>
    <col min="12556" max="12557" width="10.77734375" style="2591" customWidth="1"/>
    <col min="12558" max="12558" width="10" style="2591" customWidth="1"/>
    <col min="12559" max="12560" width="10.44140625" style="2591" bestFit="1" customWidth="1"/>
    <col min="12561" max="12561" width="10" style="2591" customWidth="1"/>
    <col min="12562" max="12562" width="10.109375" style="2591" customWidth="1"/>
    <col min="12563" max="12563" width="10" style="2591" customWidth="1"/>
    <col min="12564" max="12564" width="26.109375" style="2591" customWidth="1"/>
    <col min="12565" max="12800" width="8.88671875" style="2591"/>
    <col min="12801" max="12801" width="9.44140625" style="2591" customWidth="1"/>
    <col min="12802" max="12802" width="8.88671875" style="2591"/>
    <col min="12803" max="12805" width="12.88671875" style="2591" customWidth="1"/>
    <col min="12806" max="12806" width="47.44140625" style="2591" customWidth="1"/>
    <col min="12807" max="12807" width="13" style="2591" customWidth="1"/>
    <col min="12808" max="12809" width="8.88671875" style="2591"/>
    <col min="12810" max="12810" width="5.77734375" style="2591" customWidth="1"/>
    <col min="12811" max="12811" width="11.77734375" style="2591" customWidth="1"/>
    <col min="12812" max="12813" width="10.77734375" style="2591" customWidth="1"/>
    <col min="12814" max="12814" width="10" style="2591" customWidth="1"/>
    <col min="12815" max="12816" width="10.44140625" style="2591" bestFit="1" customWidth="1"/>
    <col min="12817" max="12817" width="10" style="2591" customWidth="1"/>
    <col min="12818" max="12818" width="10.109375" style="2591" customWidth="1"/>
    <col min="12819" max="12819" width="10" style="2591" customWidth="1"/>
    <col min="12820" max="12820" width="26.109375" style="2591" customWidth="1"/>
    <col min="12821" max="13056" width="8.88671875" style="2591"/>
    <col min="13057" max="13057" width="9.44140625" style="2591" customWidth="1"/>
    <col min="13058" max="13058" width="8.88671875" style="2591"/>
    <col min="13059" max="13061" width="12.88671875" style="2591" customWidth="1"/>
    <col min="13062" max="13062" width="47.44140625" style="2591" customWidth="1"/>
    <col min="13063" max="13063" width="13" style="2591" customWidth="1"/>
    <col min="13064" max="13065" width="8.88671875" style="2591"/>
    <col min="13066" max="13066" width="5.77734375" style="2591" customWidth="1"/>
    <col min="13067" max="13067" width="11.77734375" style="2591" customWidth="1"/>
    <col min="13068" max="13069" width="10.77734375" style="2591" customWidth="1"/>
    <col min="13070" max="13070" width="10" style="2591" customWidth="1"/>
    <col min="13071" max="13072" width="10.44140625" style="2591" bestFit="1" customWidth="1"/>
    <col min="13073" max="13073" width="10" style="2591" customWidth="1"/>
    <col min="13074" max="13074" width="10.109375" style="2591" customWidth="1"/>
    <col min="13075" max="13075" width="10" style="2591" customWidth="1"/>
    <col min="13076" max="13076" width="26.109375" style="2591" customWidth="1"/>
    <col min="13077" max="13312" width="8.88671875" style="2591"/>
    <col min="13313" max="13313" width="9.44140625" style="2591" customWidth="1"/>
    <col min="13314" max="13314" width="8.88671875" style="2591"/>
    <col min="13315" max="13317" width="12.88671875" style="2591" customWidth="1"/>
    <col min="13318" max="13318" width="47.44140625" style="2591" customWidth="1"/>
    <col min="13319" max="13319" width="13" style="2591" customWidth="1"/>
    <col min="13320" max="13321" width="8.88671875" style="2591"/>
    <col min="13322" max="13322" width="5.77734375" style="2591" customWidth="1"/>
    <col min="13323" max="13323" width="11.77734375" style="2591" customWidth="1"/>
    <col min="13324" max="13325" width="10.77734375" style="2591" customWidth="1"/>
    <col min="13326" max="13326" width="10" style="2591" customWidth="1"/>
    <col min="13327" max="13328" width="10.44140625" style="2591" bestFit="1" customWidth="1"/>
    <col min="13329" max="13329" width="10" style="2591" customWidth="1"/>
    <col min="13330" max="13330" width="10.109375" style="2591" customWidth="1"/>
    <col min="13331" max="13331" width="10" style="2591" customWidth="1"/>
    <col min="13332" max="13332" width="26.109375" style="2591" customWidth="1"/>
    <col min="13333" max="13568" width="8.88671875" style="2591"/>
    <col min="13569" max="13569" width="9.44140625" style="2591" customWidth="1"/>
    <col min="13570" max="13570" width="8.88671875" style="2591"/>
    <col min="13571" max="13573" width="12.88671875" style="2591" customWidth="1"/>
    <col min="13574" max="13574" width="47.44140625" style="2591" customWidth="1"/>
    <col min="13575" max="13575" width="13" style="2591" customWidth="1"/>
    <col min="13576" max="13577" width="8.88671875" style="2591"/>
    <col min="13578" max="13578" width="5.77734375" style="2591" customWidth="1"/>
    <col min="13579" max="13579" width="11.77734375" style="2591" customWidth="1"/>
    <col min="13580" max="13581" width="10.77734375" style="2591" customWidth="1"/>
    <col min="13582" max="13582" width="10" style="2591" customWidth="1"/>
    <col min="13583" max="13584" width="10.44140625" style="2591" bestFit="1" customWidth="1"/>
    <col min="13585" max="13585" width="10" style="2591" customWidth="1"/>
    <col min="13586" max="13586" width="10.109375" style="2591" customWidth="1"/>
    <col min="13587" max="13587" width="10" style="2591" customWidth="1"/>
    <col min="13588" max="13588" width="26.109375" style="2591" customWidth="1"/>
    <col min="13589" max="13824" width="8.88671875" style="2591"/>
    <col min="13825" max="13825" width="9.44140625" style="2591" customWidth="1"/>
    <col min="13826" max="13826" width="8.88671875" style="2591"/>
    <col min="13827" max="13829" width="12.88671875" style="2591" customWidth="1"/>
    <col min="13830" max="13830" width="47.44140625" style="2591" customWidth="1"/>
    <col min="13831" max="13831" width="13" style="2591" customWidth="1"/>
    <col min="13832" max="13833" width="8.88671875" style="2591"/>
    <col min="13834" max="13834" width="5.77734375" style="2591" customWidth="1"/>
    <col min="13835" max="13835" width="11.77734375" style="2591" customWidth="1"/>
    <col min="13836" max="13837" width="10.77734375" style="2591" customWidth="1"/>
    <col min="13838" max="13838" width="10" style="2591" customWidth="1"/>
    <col min="13839" max="13840" width="10.44140625" style="2591" bestFit="1" customWidth="1"/>
    <col min="13841" max="13841" width="10" style="2591" customWidth="1"/>
    <col min="13842" max="13842" width="10.109375" style="2591" customWidth="1"/>
    <col min="13843" max="13843" width="10" style="2591" customWidth="1"/>
    <col min="13844" max="13844" width="26.109375" style="2591" customWidth="1"/>
    <col min="13845" max="14080" width="8.88671875" style="2591"/>
    <col min="14081" max="14081" width="9.44140625" style="2591" customWidth="1"/>
    <col min="14082" max="14082" width="8.88671875" style="2591"/>
    <col min="14083" max="14085" width="12.88671875" style="2591" customWidth="1"/>
    <col min="14086" max="14086" width="47.44140625" style="2591" customWidth="1"/>
    <col min="14087" max="14087" width="13" style="2591" customWidth="1"/>
    <col min="14088" max="14089" width="8.88671875" style="2591"/>
    <col min="14090" max="14090" width="5.77734375" style="2591" customWidth="1"/>
    <col min="14091" max="14091" width="11.77734375" style="2591" customWidth="1"/>
    <col min="14092" max="14093" width="10.77734375" style="2591" customWidth="1"/>
    <col min="14094" max="14094" width="10" style="2591" customWidth="1"/>
    <col min="14095" max="14096" width="10.44140625" style="2591" bestFit="1" customWidth="1"/>
    <col min="14097" max="14097" width="10" style="2591" customWidth="1"/>
    <col min="14098" max="14098" width="10.109375" style="2591" customWidth="1"/>
    <col min="14099" max="14099" width="10" style="2591" customWidth="1"/>
    <col min="14100" max="14100" width="26.109375" style="2591" customWidth="1"/>
    <col min="14101" max="14336" width="8.88671875" style="2591"/>
    <col min="14337" max="14337" width="9.44140625" style="2591" customWidth="1"/>
    <col min="14338" max="14338" width="8.88671875" style="2591"/>
    <col min="14339" max="14341" width="12.88671875" style="2591" customWidth="1"/>
    <col min="14342" max="14342" width="47.44140625" style="2591" customWidth="1"/>
    <col min="14343" max="14343" width="13" style="2591" customWidth="1"/>
    <col min="14344" max="14345" width="8.88671875" style="2591"/>
    <col min="14346" max="14346" width="5.77734375" style="2591" customWidth="1"/>
    <col min="14347" max="14347" width="11.77734375" style="2591" customWidth="1"/>
    <col min="14348" max="14349" width="10.77734375" style="2591" customWidth="1"/>
    <col min="14350" max="14350" width="10" style="2591" customWidth="1"/>
    <col min="14351" max="14352" width="10.44140625" style="2591" bestFit="1" customWidth="1"/>
    <col min="14353" max="14353" width="10" style="2591" customWidth="1"/>
    <col min="14354" max="14354" width="10.109375" style="2591" customWidth="1"/>
    <col min="14355" max="14355" width="10" style="2591" customWidth="1"/>
    <col min="14356" max="14356" width="26.109375" style="2591" customWidth="1"/>
    <col min="14357" max="14592" width="8.88671875" style="2591"/>
    <col min="14593" max="14593" width="9.44140625" style="2591" customWidth="1"/>
    <col min="14594" max="14594" width="8.88671875" style="2591"/>
    <col min="14595" max="14597" width="12.88671875" style="2591" customWidth="1"/>
    <col min="14598" max="14598" width="47.44140625" style="2591" customWidth="1"/>
    <col min="14599" max="14599" width="13" style="2591" customWidth="1"/>
    <col min="14600" max="14601" width="8.88671875" style="2591"/>
    <col min="14602" max="14602" width="5.77734375" style="2591" customWidth="1"/>
    <col min="14603" max="14603" width="11.77734375" style="2591" customWidth="1"/>
    <col min="14604" max="14605" width="10.77734375" style="2591" customWidth="1"/>
    <col min="14606" max="14606" width="10" style="2591" customWidth="1"/>
    <col min="14607" max="14608" width="10.44140625" style="2591" bestFit="1" customWidth="1"/>
    <col min="14609" max="14609" width="10" style="2591" customWidth="1"/>
    <col min="14610" max="14610" width="10.109375" style="2591" customWidth="1"/>
    <col min="14611" max="14611" width="10" style="2591" customWidth="1"/>
    <col min="14612" max="14612" width="26.109375" style="2591" customWidth="1"/>
    <col min="14613" max="14848" width="8.88671875" style="2591"/>
    <col min="14849" max="14849" width="9.44140625" style="2591" customWidth="1"/>
    <col min="14850" max="14850" width="8.88671875" style="2591"/>
    <col min="14851" max="14853" width="12.88671875" style="2591" customWidth="1"/>
    <col min="14854" max="14854" width="47.44140625" style="2591" customWidth="1"/>
    <col min="14855" max="14855" width="13" style="2591" customWidth="1"/>
    <col min="14856" max="14857" width="8.88671875" style="2591"/>
    <col min="14858" max="14858" width="5.77734375" style="2591" customWidth="1"/>
    <col min="14859" max="14859" width="11.77734375" style="2591" customWidth="1"/>
    <col min="14860" max="14861" width="10.77734375" style="2591" customWidth="1"/>
    <col min="14862" max="14862" width="10" style="2591" customWidth="1"/>
    <col min="14863" max="14864" width="10.44140625" style="2591" bestFit="1" customWidth="1"/>
    <col min="14865" max="14865" width="10" style="2591" customWidth="1"/>
    <col min="14866" max="14866" width="10.109375" style="2591" customWidth="1"/>
    <col min="14867" max="14867" width="10" style="2591" customWidth="1"/>
    <col min="14868" max="14868" width="26.109375" style="2591" customWidth="1"/>
    <col min="14869" max="15104" width="8.88671875" style="2591"/>
    <col min="15105" max="15105" width="9.44140625" style="2591" customWidth="1"/>
    <col min="15106" max="15106" width="8.88671875" style="2591"/>
    <col min="15107" max="15109" width="12.88671875" style="2591" customWidth="1"/>
    <col min="15110" max="15110" width="47.44140625" style="2591" customWidth="1"/>
    <col min="15111" max="15111" width="13" style="2591" customWidth="1"/>
    <col min="15112" max="15113" width="8.88671875" style="2591"/>
    <col min="15114" max="15114" width="5.77734375" style="2591" customWidth="1"/>
    <col min="15115" max="15115" width="11.77734375" style="2591" customWidth="1"/>
    <col min="15116" max="15117" width="10.77734375" style="2591" customWidth="1"/>
    <col min="15118" max="15118" width="10" style="2591" customWidth="1"/>
    <col min="15119" max="15120" width="10.44140625" style="2591" bestFit="1" customWidth="1"/>
    <col min="15121" max="15121" width="10" style="2591" customWidth="1"/>
    <col min="15122" max="15122" width="10.109375" style="2591" customWidth="1"/>
    <col min="15123" max="15123" width="10" style="2591" customWidth="1"/>
    <col min="15124" max="15124" width="26.109375" style="2591" customWidth="1"/>
    <col min="15125" max="15360" width="8.88671875" style="2591"/>
    <col min="15361" max="15361" width="9.44140625" style="2591" customWidth="1"/>
    <col min="15362" max="15362" width="8.88671875" style="2591"/>
    <col min="15363" max="15365" width="12.88671875" style="2591" customWidth="1"/>
    <col min="15366" max="15366" width="47.44140625" style="2591" customWidth="1"/>
    <col min="15367" max="15367" width="13" style="2591" customWidth="1"/>
    <col min="15368" max="15369" width="8.88671875" style="2591"/>
    <col min="15370" max="15370" width="5.77734375" style="2591" customWidth="1"/>
    <col min="15371" max="15371" width="11.77734375" style="2591" customWidth="1"/>
    <col min="15372" max="15373" width="10.77734375" style="2591" customWidth="1"/>
    <col min="15374" max="15374" width="10" style="2591" customWidth="1"/>
    <col min="15375" max="15376" width="10.44140625" style="2591" bestFit="1" customWidth="1"/>
    <col min="15377" max="15377" width="10" style="2591" customWidth="1"/>
    <col min="15378" max="15378" width="10.109375" style="2591" customWidth="1"/>
    <col min="15379" max="15379" width="10" style="2591" customWidth="1"/>
    <col min="15380" max="15380" width="26.109375" style="2591" customWidth="1"/>
    <col min="15381" max="15616" width="8.88671875" style="2591"/>
    <col min="15617" max="15617" width="9.44140625" style="2591" customWidth="1"/>
    <col min="15618" max="15618" width="8.88671875" style="2591"/>
    <col min="15619" max="15621" width="12.88671875" style="2591" customWidth="1"/>
    <col min="15622" max="15622" width="47.44140625" style="2591" customWidth="1"/>
    <col min="15623" max="15623" width="13" style="2591" customWidth="1"/>
    <col min="15624" max="15625" width="8.88671875" style="2591"/>
    <col min="15626" max="15626" width="5.77734375" style="2591" customWidth="1"/>
    <col min="15627" max="15627" width="11.77734375" style="2591" customWidth="1"/>
    <col min="15628" max="15629" width="10.77734375" style="2591" customWidth="1"/>
    <col min="15630" max="15630" width="10" style="2591" customWidth="1"/>
    <col min="15631" max="15632" width="10.44140625" style="2591" bestFit="1" customWidth="1"/>
    <col min="15633" max="15633" width="10" style="2591" customWidth="1"/>
    <col min="15634" max="15634" width="10.109375" style="2591" customWidth="1"/>
    <col min="15635" max="15635" width="10" style="2591" customWidth="1"/>
    <col min="15636" max="15636" width="26.109375" style="2591" customWidth="1"/>
    <col min="15637" max="15872" width="8.88671875" style="2591"/>
    <col min="15873" max="15873" width="9.44140625" style="2591" customWidth="1"/>
    <col min="15874" max="15874" width="8.88671875" style="2591"/>
    <col min="15875" max="15877" width="12.88671875" style="2591" customWidth="1"/>
    <col min="15878" max="15878" width="47.44140625" style="2591" customWidth="1"/>
    <col min="15879" max="15879" width="13" style="2591" customWidth="1"/>
    <col min="15880" max="15881" width="8.88671875" style="2591"/>
    <col min="15882" max="15882" width="5.77734375" style="2591" customWidth="1"/>
    <col min="15883" max="15883" width="11.77734375" style="2591" customWidth="1"/>
    <col min="15884" max="15885" width="10.77734375" style="2591" customWidth="1"/>
    <col min="15886" max="15886" width="10" style="2591" customWidth="1"/>
    <col min="15887" max="15888" width="10.44140625" style="2591" bestFit="1" customWidth="1"/>
    <col min="15889" max="15889" width="10" style="2591" customWidth="1"/>
    <col min="15890" max="15890" width="10.109375" style="2591" customWidth="1"/>
    <col min="15891" max="15891" width="10" style="2591" customWidth="1"/>
    <col min="15892" max="15892" width="26.109375" style="2591" customWidth="1"/>
    <col min="15893" max="16128" width="8.88671875" style="2591"/>
    <col min="16129" max="16129" width="9.44140625" style="2591" customWidth="1"/>
    <col min="16130" max="16130" width="8.88671875" style="2591"/>
    <col min="16131" max="16133" width="12.88671875" style="2591" customWidth="1"/>
    <col min="16134" max="16134" width="47.44140625" style="2591" customWidth="1"/>
    <col min="16135" max="16135" width="13" style="2591" customWidth="1"/>
    <col min="16136" max="16137" width="8.88671875" style="2591"/>
    <col min="16138" max="16138" width="5.77734375" style="2591" customWidth="1"/>
    <col min="16139" max="16139" width="11.77734375" style="2591" customWidth="1"/>
    <col min="16140" max="16141" width="10.77734375" style="2591" customWidth="1"/>
    <col min="16142" max="16142" width="10" style="2591" customWidth="1"/>
    <col min="16143" max="16144" width="10.44140625" style="2591" bestFit="1" customWidth="1"/>
    <col min="16145" max="16145" width="10" style="2591" customWidth="1"/>
    <col min="16146" max="16146" width="10.109375" style="2591" customWidth="1"/>
    <col min="16147" max="16147" width="10" style="2591" customWidth="1"/>
    <col min="16148" max="16148" width="26.109375" style="2591" customWidth="1"/>
    <col min="16149" max="16384" width="8.88671875" style="2591"/>
  </cols>
  <sheetData>
    <row r="1" spans="1:22" ht="21" customHeight="1">
      <c r="A1" s="2580" t="s">
        <v>2434</v>
      </c>
      <c r="B1" s="2581"/>
      <c r="C1" s="2593"/>
      <c r="D1" s="2593"/>
      <c r="E1" s="2582"/>
      <c r="F1" s="2583"/>
      <c r="G1" s="2584"/>
      <c r="J1" s="2587" t="s">
        <v>2313</v>
      </c>
      <c r="K1" s="2588"/>
      <c r="L1" s="2588"/>
      <c r="M1" s="2588"/>
      <c r="N1" s="2588"/>
      <c r="O1" s="2588"/>
      <c r="P1" s="2588"/>
      <c r="Q1" s="2588"/>
      <c r="R1" s="2589"/>
      <c r="S1" s="2590"/>
      <c r="T1" s="2590"/>
      <c r="U1" s="2590"/>
    </row>
    <row r="2" spans="1:22" s="2602" customFormat="1" ht="13.2" customHeight="1">
      <c r="A2" s="1293" t="s">
        <v>2314</v>
      </c>
      <c r="B2" s="2592" t="e">
        <f>IF(D2="——",C40,C40+E2)</f>
        <v>#DIV/0!</v>
      </c>
      <c r="C2" s="2593" t="s">
        <v>2315</v>
      </c>
      <c r="D2" s="3136" t="s">
        <v>3358</v>
      </c>
      <c r="E2" s="3137"/>
      <c r="F2" s="2595"/>
      <c r="G2" s="2596"/>
      <c r="H2" s="2597"/>
      <c r="I2" s="2598"/>
      <c r="J2" s="3378" t="s">
        <v>2316</v>
      </c>
      <c r="K2" s="3379"/>
      <c r="L2" s="2599" t="s">
        <v>2317</v>
      </c>
      <c r="M2" s="2599" t="s">
        <v>2318</v>
      </c>
      <c r="N2" s="2599" t="s">
        <v>2319</v>
      </c>
      <c r="O2" s="2599" t="s">
        <v>2320</v>
      </c>
      <c r="P2" s="2599" t="s">
        <v>2321</v>
      </c>
      <c r="Q2" s="2600" t="s">
        <v>2322</v>
      </c>
      <c r="R2" s="2601" t="s">
        <v>2323</v>
      </c>
      <c r="S2" s="2590"/>
      <c r="T2" s="2590"/>
      <c r="U2" s="2590"/>
      <c r="V2" s="2598"/>
    </row>
    <row r="3" spans="1:22" s="2602" customFormat="1" ht="13.2" customHeight="1">
      <c r="A3" s="2603" t="s">
        <v>2324</v>
      </c>
      <c r="B3" s="2604" t="e">
        <f>ROUND(B2*10000/B4,0)</f>
        <v>#DIV/0!</v>
      </c>
      <c r="C3" s="2593" t="s">
        <v>2325</v>
      </c>
      <c r="D3" s="2593"/>
      <c r="E3" s="2594"/>
      <c r="F3" s="2595"/>
      <c r="G3" s="2596"/>
      <c r="H3" s="2597"/>
      <c r="I3" s="2598"/>
      <c r="J3" s="3380" t="s">
        <v>2326</v>
      </c>
      <c r="K3" s="3381"/>
      <c r="L3" s="2605"/>
      <c r="M3" s="2605"/>
      <c r="N3" s="2605"/>
      <c r="O3" s="2605"/>
      <c r="P3" s="2605"/>
      <c r="Q3" s="2606"/>
      <c r="R3" s="2607">
        <f>SUM(L3:Q3)</f>
        <v>0</v>
      </c>
      <c r="S3" s="2590"/>
      <c r="T3" s="2590"/>
      <c r="U3" s="2590"/>
      <c r="V3" s="2598"/>
    </row>
    <row r="4" spans="1:22" s="2602" customFormat="1" ht="13.2" customHeight="1">
      <c r="A4" s="2608" t="s">
        <v>2327</v>
      </c>
      <c r="B4" s="2609"/>
      <c r="C4" s="2593"/>
      <c r="D4" s="2593"/>
      <c r="E4" s="2594"/>
      <c r="F4" s="2595"/>
      <c r="G4" s="2596"/>
      <c r="H4" s="2597"/>
      <c r="I4" s="2598"/>
      <c r="J4" s="3380" t="s">
        <v>2328</v>
      </c>
      <c r="K4" s="3381"/>
      <c r="L4" s="2610"/>
      <c r="M4" s="2610"/>
      <c r="N4" s="2610"/>
      <c r="O4" s="2610"/>
      <c r="P4" s="2610"/>
      <c r="Q4" s="2611"/>
      <c r="R4" s="2612">
        <f>SUM(L4:Q4)</f>
        <v>0</v>
      </c>
      <c r="S4" s="2590"/>
      <c r="T4" s="2590"/>
      <c r="U4" s="2590"/>
      <c r="V4" s="2598"/>
    </row>
    <row r="5" spans="1:22" s="2602" customFormat="1" ht="13.2" customHeight="1" thickBot="1">
      <c r="A5" s="2613" t="s">
        <v>2329</v>
      </c>
      <c r="B5" s="2614"/>
      <c r="C5" s="2593"/>
      <c r="D5" s="2615"/>
      <c r="E5" s="2595"/>
      <c r="F5" s="2595"/>
      <c r="G5" s="2596"/>
      <c r="H5" s="2597"/>
      <c r="I5" s="2598"/>
      <c r="J5" s="2616" t="s">
        <v>2330</v>
      </c>
      <c r="K5" s="2617"/>
      <c r="L5" s="2617"/>
      <c r="M5" s="2618"/>
      <c r="N5" s="2618"/>
      <c r="O5" s="2618"/>
      <c r="P5" s="2618"/>
      <c r="Q5" s="2618"/>
      <c r="R5" s="2601">
        <f>SUM(R14,R19,R24,R25,R27,R28)</f>
        <v>0</v>
      </c>
      <c r="S5" s="2590"/>
      <c r="T5" s="2590" t="s">
        <v>2331</v>
      </c>
      <c r="U5" s="2590" t="e">
        <f>ROUND(R5*10000/365/R3,1)</f>
        <v>#DIV/0!</v>
      </c>
      <c r="V5" s="2598"/>
    </row>
    <row r="6" spans="1:22" s="2602" customFormat="1" ht="13.2" customHeight="1" thickBot="1">
      <c r="A6" s="3382" t="s">
        <v>2332</v>
      </c>
      <c r="B6" s="3383"/>
      <c r="C6" s="3384"/>
      <c r="D6" s="2619"/>
      <c r="E6" s="2620"/>
      <c r="F6" s="2621"/>
      <c r="G6" s="2622"/>
      <c r="H6" s="2597"/>
      <c r="I6" s="2598"/>
      <c r="J6" s="3385">
        <v>1</v>
      </c>
      <c r="K6" s="3386" t="s">
        <v>2333</v>
      </c>
      <c r="L6" s="2623" t="s">
        <v>2334</v>
      </c>
      <c r="M6" s="2624" t="s">
        <v>2335</v>
      </c>
      <c r="N6" s="2624" t="s">
        <v>2336</v>
      </c>
      <c r="O6" s="2624" t="s">
        <v>2337</v>
      </c>
      <c r="P6" s="2624" t="s">
        <v>2338</v>
      </c>
      <c r="Q6" s="2624" t="s">
        <v>2339</v>
      </c>
      <c r="R6" s="2607" t="s">
        <v>2340</v>
      </c>
      <c r="S6" s="2590"/>
      <c r="T6" s="2590" t="s">
        <v>2341</v>
      </c>
      <c r="U6" s="2590"/>
      <c r="V6" s="2598"/>
    </row>
    <row r="7" spans="1:22" s="2602" customFormat="1" ht="13.2" customHeight="1">
      <c r="A7" s="2625" t="s">
        <v>2342</v>
      </c>
      <c r="B7" s="2626"/>
      <c r="C7" s="2627"/>
      <c r="D7" s="2628">
        <f>SUM(D9,D10,D11,D17,0)</f>
        <v>0</v>
      </c>
      <c r="E7" s="2629" t="e">
        <f>E9+E10+E11+E17</f>
        <v>#DIV/0!</v>
      </c>
      <c r="F7" s="2630"/>
      <c r="G7" s="2631"/>
      <c r="H7" s="2597"/>
      <c r="I7" s="2598"/>
      <c r="J7" s="3385"/>
      <c r="K7" s="3387"/>
      <c r="L7" s="2632" t="s">
        <v>2343</v>
      </c>
      <c r="M7" s="2633"/>
      <c r="N7" s="2609"/>
      <c r="O7" s="2634"/>
      <c r="P7" s="2634"/>
      <c r="Q7" s="2635">
        <v>365</v>
      </c>
      <c r="R7" s="2636">
        <f>ROUND(M7*N7*O7*P7*Q7/10000,0)</f>
        <v>0</v>
      </c>
      <c r="S7" s="2590"/>
      <c r="T7" s="2590" t="s">
        <v>2344</v>
      </c>
      <c r="U7" s="2590"/>
      <c r="V7" s="2598"/>
    </row>
    <row r="8" spans="1:22" s="2602" customFormat="1" ht="13.2" customHeight="1">
      <c r="A8" s="2637" t="s">
        <v>2345</v>
      </c>
      <c r="B8" s="3389" t="s">
        <v>2346</v>
      </c>
      <c r="C8" s="3390"/>
      <c r="D8" s="2638" t="s">
        <v>2347</v>
      </c>
      <c r="E8" s="2639" t="s">
        <v>2348</v>
      </c>
      <c r="F8" s="2640" t="s">
        <v>2349</v>
      </c>
      <c r="G8" s="2641"/>
      <c r="H8" s="2597"/>
      <c r="I8" s="2598"/>
      <c r="J8" s="3385"/>
      <c r="K8" s="3387"/>
      <c r="L8" s="2632" t="s">
        <v>2350</v>
      </c>
      <c r="M8" s="2633"/>
      <c r="N8" s="2609"/>
      <c r="O8" s="2634"/>
      <c r="P8" s="2634"/>
      <c r="Q8" s="2635">
        <v>365</v>
      </c>
      <c r="R8" s="2636">
        <f t="shared" ref="R8:R13" si="0">ROUND(M8*N8*O8*P8*Q8/10000,0)</f>
        <v>0</v>
      </c>
      <c r="S8" s="2590"/>
      <c r="T8" s="2590" t="s">
        <v>2351</v>
      </c>
      <c r="U8" s="2590"/>
      <c r="V8" s="2598"/>
    </row>
    <row r="9" spans="1:22" s="2602" customFormat="1" ht="13.2" customHeight="1">
      <c r="A9" s="2637">
        <v>1</v>
      </c>
      <c r="B9" s="3389" t="s">
        <v>2352</v>
      </c>
      <c r="C9" s="3390"/>
      <c r="D9" s="2638">
        <f>ROUND(D6*E9,0)</f>
        <v>0</v>
      </c>
      <c r="E9" s="2642"/>
      <c r="F9" s="2643" t="s">
        <v>2353</v>
      </c>
      <c r="G9" s="2622"/>
      <c r="H9" s="2597"/>
      <c r="I9" s="2598"/>
      <c r="J9" s="3385"/>
      <c r="K9" s="3387"/>
      <c r="L9" s="2632" t="s">
        <v>2354</v>
      </c>
      <c r="M9" s="2633"/>
      <c r="N9" s="2609"/>
      <c r="O9" s="2634"/>
      <c r="P9" s="2634"/>
      <c r="Q9" s="2635">
        <v>365</v>
      </c>
      <c r="R9" s="2636">
        <f t="shared" si="0"/>
        <v>0</v>
      </c>
      <c r="S9" s="2590"/>
      <c r="T9" s="2590"/>
      <c r="U9" s="2590"/>
      <c r="V9" s="2598"/>
    </row>
    <row r="10" spans="1:22" s="2602" customFormat="1" ht="13.2" customHeight="1">
      <c r="A10" s="2637">
        <v>2</v>
      </c>
      <c r="B10" s="3389" t="s">
        <v>2355</v>
      </c>
      <c r="C10" s="3390"/>
      <c r="D10" s="2638">
        <f>ROUND(D6*E10,0)</f>
        <v>0</v>
      </c>
      <c r="E10" s="2642"/>
      <c r="F10" s="2643" t="s">
        <v>2356</v>
      </c>
      <c r="G10" s="2622"/>
      <c r="H10" s="2597"/>
      <c r="I10" s="2598"/>
      <c r="J10" s="3385"/>
      <c r="K10" s="3387"/>
      <c r="L10" s="2632" t="s">
        <v>2357</v>
      </c>
      <c r="M10" s="2633"/>
      <c r="N10" s="2609"/>
      <c r="O10" s="2634"/>
      <c r="P10" s="2634"/>
      <c r="Q10" s="2635">
        <v>365</v>
      </c>
      <c r="R10" s="2636">
        <f t="shared" si="0"/>
        <v>0</v>
      </c>
      <c r="S10" s="2590"/>
      <c r="T10" s="2590"/>
      <c r="U10" s="2590"/>
      <c r="V10" s="2598"/>
    </row>
    <row r="11" spans="1:22" s="2602" customFormat="1" ht="13.2" customHeight="1">
      <c r="A11" s="2637">
        <v>3</v>
      </c>
      <c r="B11" s="3389" t="s">
        <v>2358</v>
      </c>
      <c r="C11" s="3390"/>
      <c r="D11" s="2638">
        <f>D12+D14+D15+D16</f>
        <v>0</v>
      </c>
      <c r="E11" s="2644" t="e">
        <f>D11/D6</f>
        <v>#DIV/0!</v>
      </c>
      <c r="F11" s="2640"/>
      <c r="G11" s="2641"/>
      <c r="H11" s="2597"/>
      <c r="I11" s="2598"/>
      <c r="J11" s="3385"/>
      <c r="K11" s="3387"/>
      <c r="L11" s="2632" t="s">
        <v>2359</v>
      </c>
      <c r="M11" s="2633"/>
      <c r="N11" s="2609"/>
      <c r="O11" s="2634"/>
      <c r="P11" s="2634"/>
      <c r="Q11" s="2635">
        <v>365</v>
      </c>
      <c r="R11" s="2636">
        <f t="shared" si="0"/>
        <v>0</v>
      </c>
      <c r="S11" s="2590"/>
      <c r="T11" s="2590"/>
      <c r="U11" s="2590"/>
      <c r="V11" s="2598"/>
    </row>
    <row r="12" spans="1:22" s="2602" customFormat="1" ht="13.2" customHeight="1">
      <c r="A12" s="2645" t="s">
        <v>2360</v>
      </c>
      <c r="B12" s="3391" t="s">
        <v>2361</v>
      </c>
      <c r="C12" s="3392"/>
      <c r="D12" s="2646">
        <f>ROUND(D13*1.2%*(1-30%),0)</f>
        <v>0</v>
      </c>
      <c r="E12" s="2647">
        <v>1.2E-2</v>
      </c>
      <c r="F12" s="2640" t="s">
        <v>2362</v>
      </c>
      <c r="G12" s="2641"/>
      <c r="H12" s="2597"/>
      <c r="I12" s="2598"/>
      <c r="J12" s="3385"/>
      <c r="K12" s="3387"/>
      <c r="L12" s="2632" t="s">
        <v>2363</v>
      </c>
      <c r="M12" s="2633"/>
      <c r="N12" s="2609"/>
      <c r="O12" s="2634"/>
      <c r="P12" s="2634"/>
      <c r="Q12" s="2635">
        <v>365</v>
      </c>
      <c r="R12" s="2636">
        <f t="shared" si="0"/>
        <v>0</v>
      </c>
      <c r="S12" s="2590"/>
      <c r="T12" s="2590"/>
      <c r="U12" s="2590"/>
      <c r="V12" s="2598"/>
    </row>
    <row r="13" spans="1:22" s="2602" customFormat="1" ht="13.2" customHeight="1">
      <c r="A13" s="2645"/>
      <c r="B13" s="2648"/>
      <c r="C13" s="2649" t="s">
        <v>2364</v>
      </c>
      <c r="D13" s="2650"/>
      <c r="E13" s="2651"/>
      <c r="F13" s="2640"/>
      <c r="G13" s="2641"/>
      <c r="H13" s="2597"/>
      <c r="I13" s="2598"/>
      <c r="J13" s="3385"/>
      <c r="K13" s="3387"/>
      <c r="L13" s="2632" t="s">
        <v>2365</v>
      </c>
      <c r="M13" s="2633"/>
      <c r="N13" s="2609"/>
      <c r="O13" s="2634"/>
      <c r="P13" s="2634"/>
      <c r="Q13" s="2635">
        <v>365</v>
      </c>
      <c r="R13" s="2636">
        <f t="shared" si="0"/>
        <v>0</v>
      </c>
      <c r="S13" s="2590"/>
      <c r="T13" s="2590"/>
      <c r="U13" s="2590"/>
      <c r="V13" s="2598"/>
    </row>
    <row r="14" spans="1:22" s="2602" customFormat="1" ht="13.2" customHeight="1">
      <c r="A14" s="2645" t="s">
        <v>2366</v>
      </c>
      <c r="B14" s="3391" t="s">
        <v>2367</v>
      </c>
      <c r="C14" s="3392"/>
      <c r="D14" s="2646">
        <f>ROUND(E14*B5/10000,0)</f>
        <v>0</v>
      </c>
      <c r="E14" s="2635"/>
      <c r="F14" s="2640" t="s">
        <v>2368</v>
      </c>
      <c r="G14" s="2641"/>
      <c r="H14" s="2597"/>
      <c r="I14" s="2598"/>
      <c r="J14" s="3385"/>
      <c r="K14" s="3388"/>
      <c r="L14" s="2652" t="s">
        <v>2369</v>
      </c>
      <c r="M14" s="2653">
        <f>SUM(M7:M13)</f>
        <v>0</v>
      </c>
      <c r="N14" s="2653" t="e">
        <f>ROUND((N7*M7+N8*M8+N9*M9+N10*M10+N11*M11+N12*M12+N13*M13)/M14,0)</f>
        <v>#DIV/0!</v>
      </c>
      <c r="O14" s="2654"/>
      <c r="P14" s="2654"/>
      <c r="Q14" s="2655"/>
      <c r="R14" s="2601">
        <f>SUM(R7:R13)</f>
        <v>0</v>
      </c>
      <c r="S14" s="2590"/>
      <c r="T14" s="2590"/>
      <c r="U14" s="2590"/>
      <c r="V14" s="2598"/>
    </row>
    <row r="15" spans="1:22" s="2602" customFormat="1" ht="13.2" customHeight="1">
      <c r="A15" s="2645" t="s">
        <v>2370</v>
      </c>
      <c r="B15" s="3391" t="s">
        <v>2371</v>
      </c>
      <c r="C15" s="3392"/>
      <c r="D15" s="2646">
        <f>ROUND(D6*E15,0)</f>
        <v>0</v>
      </c>
      <c r="E15" s="2647">
        <v>5.5E-2</v>
      </c>
      <c r="F15" s="2640" t="s">
        <v>2372</v>
      </c>
      <c r="G15" s="2622"/>
      <c r="H15" s="2597"/>
      <c r="I15" s="2598"/>
      <c r="J15" s="3385">
        <v>2</v>
      </c>
      <c r="K15" s="3386" t="s">
        <v>2373</v>
      </c>
      <c r="L15" s="2632" t="s">
        <v>2374</v>
      </c>
      <c r="M15" s="2633" t="s">
        <v>2375</v>
      </c>
      <c r="N15" s="2633" t="s">
        <v>2376</v>
      </c>
      <c r="O15" s="2634" t="s">
        <v>2377</v>
      </c>
      <c r="P15" s="2634" t="s">
        <v>2339</v>
      </c>
      <c r="Q15" s="2609" t="s">
        <v>2378</v>
      </c>
      <c r="R15" s="2656" t="s">
        <v>2340</v>
      </c>
      <c r="S15" s="2590"/>
      <c r="T15" s="2590"/>
      <c r="U15" s="2590"/>
      <c r="V15" s="2598"/>
    </row>
    <row r="16" spans="1:22" s="2602" customFormat="1" ht="13.2" customHeight="1">
      <c r="A16" s="2645" t="s">
        <v>2379</v>
      </c>
      <c r="B16" s="3391" t="s">
        <v>2380</v>
      </c>
      <c r="C16" s="3392"/>
      <c r="D16" s="2657">
        <f>D6*E16</f>
        <v>0</v>
      </c>
      <c r="E16" s="2658"/>
      <c r="F16" s="2643" t="s">
        <v>2381</v>
      </c>
      <c r="G16" s="2622"/>
      <c r="H16" s="2597"/>
      <c r="I16" s="2598"/>
      <c r="J16" s="3385"/>
      <c r="K16" s="3387"/>
      <c r="L16" s="2632" t="s">
        <v>2382</v>
      </c>
      <c r="M16" s="2633"/>
      <c r="N16" s="2633"/>
      <c r="O16" s="2634"/>
      <c r="P16" s="2635">
        <v>365</v>
      </c>
      <c r="Q16" s="2609"/>
      <c r="R16" s="2656">
        <f>ROUND(M16*N16*O16*P16/10000,0)</f>
        <v>0</v>
      </c>
      <c r="S16" s="2590"/>
      <c r="T16" s="2590"/>
      <c r="U16" s="2590"/>
      <c r="V16" s="2598"/>
    </row>
    <row r="17" spans="1:22" s="2602" customFormat="1" ht="13.2" customHeight="1" thickBot="1">
      <c r="A17" s="2659">
        <v>4</v>
      </c>
      <c r="B17" s="3393" t="s">
        <v>2383</v>
      </c>
      <c r="C17" s="3394"/>
      <c r="D17" s="2660">
        <f>ROUND(D6*E17,0)</f>
        <v>0</v>
      </c>
      <c r="E17" s="2661"/>
      <c r="F17" s="2662" t="s">
        <v>2384</v>
      </c>
      <c r="G17" s="2622"/>
      <c r="H17" s="2597"/>
      <c r="I17" s="2598"/>
      <c r="J17" s="3385"/>
      <c r="K17" s="3387"/>
      <c r="L17" s="2632" t="s">
        <v>2385</v>
      </c>
      <c r="M17" s="2633"/>
      <c r="N17" s="2633"/>
      <c r="O17" s="2634"/>
      <c r="P17" s="2635">
        <v>365</v>
      </c>
      <c r="Q17" s="2609"/>
      <c r="R17" s="2656">
        <f>ROUND(M17*N17*O17*P17/10000,0)</f>
        <v>0</v>
      </c>
      <c r="S17" s="2590"/>
      <c r="T17" s="2590"/>
      <c r="U17" s="2590"/>
      <c r="V17" s="2598"/>
    </row>
    <row r="18" spans="1:22" s="2602" customFormat="1" ht="13.2" customHeight="1" thickBot="1">
      <c r="A18" s="2625" t="s">
        <v>2386</v>
      </c>
      <c r="B18" s="2626"/>
      <c r="C18" s="2626"/>
      <c r="D18" s="2663">
        <f>ROUND(D6*E18,0)</f>
        <v>0</v>
      </c>
      <c r="E18" s="2664"/>
      <c r="F18" s="2665" t="s">
        <v>2387</v>
      </c>
      <c r="G18" s="2622"/>
      <c r="H18" s="2597"/>
      <c r="I18" s="2598"/>
      <c r="J18" s="3385"/>
      <c r="K18" s="3387"/>
      <c r="L18" s="2632" t="s">
        <v>2388</v>
      </c>
      <c r="M18" s="2633"/>
      <c r="N18" s="2633"/>
      <c r="O18" s="2634"/>
      <c r="P18" s="2635">
        <v>365</v>
      </c>
      <c r="Q18" s="2609"/>
      <c r="R18" s="2656">
        <f>ROUND(M18*N18*O18*P18/10000,0)</f>
        <v>0</v>
      </c>
      <c r="S18" s="2590"/>
      <c r="T18" s="2590"/>
      <c r="U18" s="2590"/>
      <c r="V18" s="2598"/>
    </row>
    <row r="19" spans="1:22" s="2602" customFormat="1" ht="13.2" customHeight="1" thickBot="1">
      <c r="A19" s="2666" t="s">
        <v>2389</v>
      </c>
      <c r="B19" s="2620"/>
      <c r="C19" s="2620"/>
      <c r="D19" s="2620"/>
      <c r="E19" s="2620"/>
      <c r="F19" s="2621"/>
      <c r="G19" s="2641"/>
      <c r="H19" s="2597"/>
      <c r="I19" s="2598"/>
      <c r="J19" s="3385"/>
      <c r="K19" s="3388"/>
      <c r="L19" s="2652" t="s">
        <v>2369</v>
      </c>
      <c r="M19" s="2653"/>
      <c r="N19" s="2653">
        <f>SUM(N16:N18)</f>
        <v>0</v>
      </c>
      <c r="O19" s="2654"/>
      <c r="P19" s="2667" t="s">
        <v>2433</v>
      </c>
      <c r="Q19" s="2634">
        <v>0</v>
      </c>
      <c r="R19" s="2668">
        <f>ROUND(IF(P19="按比例",R14*Q19,SUM(R16:R18)),0)</f>
        <v>0</v>
      </c>
      <c r="S19" s="2590"/>
      <c r="T19" s="2590"/>
      <c r="U19" s="2590"/>
      <c r="V19" s="2598"/>
    </row>
    <row r="20" spans="1:22" s="2602" customFormat="1" ht="13.2" customHeight="1">
      <c r="A20" s="2625"/>
      <c r="B20" s="2626"/>
      <c r="C20" s="2626"/>
      <c r="D20" s="2626"/>
      <c r="E20" s="2626"/>
      <c r="F20" s="2669"/>
      <c r="G20" s="2641"/>
      <c r="H20" s="2597"/>
      <c r="I20" s="2598"/>
      <c r="J20" s="3385">
        <v>3</v>
      </c>
      <c r="K20" s="3386" t="s">
        <v>2390</v>
      </c>
      <c r="L20" s="2632" t="s">
        <v>2391</v>
      </c>
      <c r="M20" s="2633" t="s">
        <v>2392</v>
      </c>
      <c r="N20" s="2670" t="s">
        <v>2393</v>
      </c>
      <c r="O20" s="2634" t="s">
        <v>2394</v>
      </c>
      <c r="P20" s="2635" t="s">
        <v>2395</v>
      </c>
      <c r="Q20" s="2609" t="s">
        <v>2396</v>
      </c>
      <c r="R20" s="2656" t="s">
        <v>2397</v>
      </c>
      <c r="S20" s="2590"/>
      <c r="T20" s="2590"/>
      <c r="U20" s="2590"/>
      <c r="V20" s="2598"/>
    </row>
    <row r="21" spans="1:22" s="2602" customFormat="1" ht="13.2" customHeight="1">
      <c r="A21" s="2625"/>
      <c r="B21" s="2626"/>
      <c r="C21" s="2671" t="s">
        <v>2398</v>
      </c>
      <c r="D21" s="2672" t="s">
        <v>2399</v>
      </c>
      <c r="E21" s="2673" t="s">
        <v>2400</v>
      </c>
      <c r="F21" s="2669"/>
      <c r="G21" s="2641"/>
      <c r="H21" s="2597"/>
      <c r="I21" s="2598"/>
      <c r="J21" s="3385"/>
      <c r="K21" s="3387"/>
      <c r="L21" s="2632" t="s">
        <v>2401</v>
      </c>
      <c r="M21" s="2633"/>
      <c r="N21" s="2633"/>
      <c r="O21" s="2634"/>
      <c r="P21" s="2635">
        <v>365</v>
      </c>
      <c r="Q21" s="2609"/>
      <c r="R21" s="2674">
        <f>ROUND(M21*N21*O21*P21/10000,0)</f>
        <v>0</v>
      </c>
      <c r="S21" s="2590"/>
      <c r="T21" s="2590"/>
      <c r="U21" s="2590"/>
      <c r="V21" s="2598"/>
    </row>
    <row r="22" spans="1:22" s="2602" customFormat="1" ht="13.2" customHeight="1">
      <c r="A22" s="2625"/>
      <c r="B22" s="2626"/>
      <c r="C22" s="2675" t="s">
        <v>2402</v>
      </c>
      <c r="D22" s="2676" t="s">
        <v>2403</v>
      </c>
      <c r="E22" s="2677" t="s">
        <v>2404</v>
      </c>
      <c r="F22" s="2669"/>
      <c r="G22" s="2590"/>
      <c r="H22" s="2597"/>
      <c r="I22" s="2598"/>
      <c r="J22" s="3385"/>
      <c r="K22" s="3387"/>
      <c r="L22" s="2632" t="s">
        <v>2405</v>
      </c>
      <c r="M22" s="2633"/>
      <c r="N22" s="2633"/>
      <c r="O22" s="2634"/>
      <c r="P22" s="2635">
        <v>365</v>
      </c>
      <c r="Q22" s="2609"/>
      <c r="R22" s="2674">
        <f>ROUND(M22*N22*O22*P22/10000,0)</f>
        <v>0</v>
      </c>
      <c r="S22" s="2590"/>
      <c r="T22" s="2590"/>
      <c r="U22" s="2590"/>
      <c r="V22" s="2598"/>
    </row>
    <row r="23" spans="1:22" s="2602" customFormat="1" ht="13.2" customHeight="1">
      <c r="A23" s="2678">
        <v>1</v>
      </c>
      <c r="B23" s="2679" t="s">
        <v>2406</v>
      </c>
      <c r="C23" s="2680">
        <f>D6</f>
        <v>0</v>
      </c>
      <c r="D23" s="2681">
        <f>C23*(1+D24)</f>
        <v>0</v>
      </c>
      <c r="E23" s="2682">
        <f>D23*(1+E24)</f>
        <v>0</v>
      </c>
      <c r="F23" s="2683"/>
      <c r="G23" s="2684"/>
      <c r="H23" s="2597"/>
      <c r="I23" s="2598"/>
      <c r="J23" s="3385"/>
      <c r="K23" s="3387"/>
      <c r="L23" s="2632" t="s">
        <v>2407</v>
      </c>
      <c r="M23" s="2633"/>
      <c r="N23" s="2633"/>
      <c r="O23" s="2634"/>
      <c r="P23" s="2635">
        <v>365</v>
      </c>
      <c r="Q23" s="2609"/>
      <c r="R23" s="2674">
        <f>ROUND(M23*N23*O23*P23/10000,0)</f>
        <v>0</v>
      </c>
      <c r="S23" s="2590"/>
      <c r="T23" s="2590"/>
      <c r="U23" s="2590"/>
      <c r="V23" s="2598"/>
    </row>
    <row r="24" spans="1:22" s="2602" customFormat="1" ht="13.2" customHeight="1">
      <c r="A24" s="2685"/>
      <c r="B24" s="2686" t="s">
        <v>2408</v>
      </c>
      <c r="C24" s="2687"/>
      <c r="D24" s="2688"/>
      <c r="E24" s="2689"/>
      <c r="F24" s="2690"/>
      <c r="G24" s="2684"/>
      <c r="H24" s="2597"/>
      <c r="I24" s="2598"/>
      <c r="J24" s="3385"/>
      <c r="K24" s="3388"/>
      <c r="L24" s="2652" t="s">
        <v>2369</v>
      </c>
      <c r="M24" s="2653">
        <f>SUM(M21:M23)</f>
        <v>0</v>
      </c>
      <c r="N24" s="2653"/>
      <c r="O24" s="2654"/>
      <c r="P24" s="2667" t="s">
        <v>2433</v>
      </c>
      <c r="Q24" s="2634">
        <v>0</v>
      </c>
      <c r="R24" s="2668">
        <f>ROUND(IF(P24="按比例",R14*Q24,SUM(R21:R23)),0)</f>
        <v>0</v>
      </c>
      <c r="S24" s="2590"/>
      <c r="T24" s="2590"/>
      <c r="U24" s="2590"/>
      <c r="V24" s="2598"/>
    </row>
    <row r="25" spans="1:22" s="2697" customFormat="1" ht="13.2" customHeight="1">
      <c r="A25" s="2685"/>
      <c r="B25" s="2686"/>
      <c r="C25" s="2687"/>
      <c r="D25" s="2688"/>
      <c r="E25" s="2689"/>
      <c r="F25" s="2690"/>
      <c r="G25" s="2590"/>
      <c r="H25" s="2597"/>
      <c r="I25" s="2598"/>
      <c r="J25" s="2691">
        <v>4</v>
      </c>
      <c r="K25" s="2692" t="s">
        <v>2409</v>
      </c>
      <c r="L25" s="2693"/>
      <c r="M25" s="2693"/>
      <c r="N25" s="2693"/>
      <c r="O25" s="2693"/>
      <c r="P25" s="2694"/>
      <c r="Q25" s="2695">
        <v>0</v>
      </c>
      <c r="R25" s="2668">
        <f>ROUND(R14*Q25,0)</f>
        <v>0</v>
      </c>
      <c r="S25" s="2590"/>
      <c r="T25" s="2590"/>
      <c r="U25" s="2590"/>
      <c r="V25" s="2696"/>
    </row>
    <row r="26" spans="1:22" s="2697" customFormat="1" ht="13.2" customHeight="1">
      <c r="A26" s="2678">
        <v>2</v>
      </c>
      <c r="B26" s="2679" t="s">
        <v>2410</v>
      </c>
      <c r="C26" s="2680">
        <f>D7</f>
        <v>0</v>
      </c>
      <c r="D26" s="2681">
        <f>D23*D27</f>
        <v>0</v>
      </c>
      <c r="E26" s="2682">
        <f>E23*E27</f>
        <v>0</v>
      </c>
      <c r="F26" s="2683"/>
      <c r="G26" s="2684"/>
      <c r="H26" s="2597"/>
      <c r="I26" s="2598"/>
      <c r="J26" s="3395">
        <v>5</v>
      </c>
      <c r="K26" s="2698" t="s">
        <v>2411</v>
      </c>
      <c r="L26" s="2699"/>
      <c r="M26" s="2700"/>
      <c r="N26" s="2701" t="s">
        <v>2412</v>
      </c>
      <c r="O26" s="2701" t="s">
        <v>2413</v>
      </c>
      <c r="P26" s="2702" t="s">
        <v>2414</v>
      </c>
      <c r="Q26" s="2702" t="s">
        <v>2415</v>
      </c>
      <c r="R26" s="2607" t="s">
        <v>2340</v>
      </c>
      <c r="S26" s="2641"/>
      <c r="T26" s="2641"/>
      <c r="U26" s="2641"/>
      <c r="V26" s="2696"/>
    </row>
    <row r="27" spans="1:22" s="2602" customFormat="1" ht="13.2" customHeight="1">
      <c r="A27" s="2685"/>
      <c r="B27" s="2686" t="s">
        <v>2416</v>
      </c>
      <c r="C27" s="2703" t="e">
        <f>E7</f>
        <v>#DIV/0!</v>
      </c>
      <c r="D27" s="2688"/>
      <c r="E27" s="2689"/>
      <c r="F27" s="2690"/>
      <c r="G27" s="2684"/>
      <c r="H27" s="2704"/>
      <c r="I27" s="2696"/>
      <c r="J27" s="3396"/>
      <c r="K27" s="2705"/>
      <c r="L27" s="2706"/>
      <c r="M27" s="2707"/>
      <c r="N27" s="2708"/>
      <c r="O27" s="2708"/>
      <c r="P27" s="2708"/>
      <c r="Q27" s="2709"/>
      <c r="R27" s="2668">
        <f>ROUND(O27*N27*P27*(1-Q27)/10000,0)</f>
        <v>0</v>
      </c>
      <c r="S27" s="2590"/>
      <c r="T27" s="2590"/>
      <c r="U27" s="2590"/>
      <c r="V27" s="2598"/>
    </row>
    <row r="28" spans="1:22" s="2697" customFormat="1" ht="13.2" customHeight="1" thickBot="1">
      <c r="A28" s="2685"/>
      <c r="B28" s="2686"/>
      <c r="C28" s="2703"/>
      <c r="D28" s="2688"/>
      <c r="E28" s="2689" t="s">
        <v>2417</v>
      </c>
      <c r="F28" s="2690"/>
      <c r="G28" s="2590"/>
      <c r="H28" s="2704"/>
      <c r="I28" s="2696"/>
      <c r="J28" s="2710">
        <v>6</v>
      </c>
      <c r="K28" s="2711" t="s">
        <v>2418</v>
      </c>
      <c r="L28" s="2712" t="s">
        <v>2419</v>
      </c>
      <c r="M28" s="2713"/>
      <c r="N28" s="2712" t="s">
        <v>2420</v>
      </c>
      <c r="O28" s="2714"/>
      <c r="P28" s="2712" t="s">
        <v>2421</v>
      </c>
      <c r="Q28" s="2715">
        <v>1.4999999999999999E-2</v>
      </c>
      <c r="R28" s="2716"/>
      <c r="S28" s="2590"/>
      <c r="T28" s="2590"/>
      <c r="U28" s="2590"/>
      <c r="V28" s="2696"/>
    </row>
    <row r="29" spans="1:22" s="2697" customFormat="1" ht="13.2" customHeight="1">
      <c r="A29" s="2678">
        <v>3</v>
      </c>
      <c r="B29" s="2679" t="s">
        <v>2422</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2" customHeight="1" thickBot="1">
      <c r="A30" s="2685"/>
      <c r="B30" s="2686" t="s">
        <v>2416</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2" customHeight="1">
      <c r="A31" s="2685"/>
      <c r="B31" s="2686"/>
      <c r="C31" s="2718"/>
      <c r="D31" s="2717"/>
      <c r="E31" s="2651"/>
      <c r="F31" s="2690"/>
      <c r="G31" s="2590"/>
      <c r="H31" s="2704"/>
      <c r="I31" s="2696"/>
      <c r="J31" s="2587" t="s">
        <v>2423</v>
      </c>
      <c r="K31" s="2588"/>
      <c r="L31" s="2588"/>
      <c r="M31" s="2588"/>
      <c r="N31" s="2588"/>
      <c r="O31" s="2588"/>
      <c r="P31" s="2588"/>
      <c r="Q31" s="2588"/>
      <c r="R31" s="2589"/>
      <c r="S31" s="2590"/>
      <c r="T31" s="2590"/>
      <c r="U31" s="2590"/>
      <c r="V31" s="2696"/>
    </row>
    <row r="32" spans="1:22" s="2697" customFormat="1" ht="13.2" customHeight="1">
      <c r="A32" s="2678">
        <v>4</v>
      </c>
      <c r="B32" s="2679" t="s">
        <v>2424</v>
      </c>
      <c r="C32" s="2680">
        <f>C23-C26-C29</f>
        <v>0</v>
      </c>
      <c r="D32" s="2681">
        <f>D23-D26-D29</f>
        <v>0</v>
      </c>
      <c r="E32" s="2682">
        <f>E23-E26-E29</f>
        <v>0</v>
      </c>
      <c r="F32" s="2683"/>
      <c r="G32" s="2590"/>
      <c r="H32" s="2597"/>
      <c r="I32" s="2598"/>
      <c r="J32" s="3378" t="s">
        <v>2316</v>
      </c>
      <c r="K32" s="3379"/>
      <c r="L32" s="2599" t="s">
        <v>2317</v>
      </c>
      <c r="M32" s="2599" t="s">
        <v>2318</v>
      </c>
      <c r="N32" s="2599" t="s">
        <v>2319</v>
      </c>
      <c r="O32" s="2599" t="s">
        <v>2320</v>
      </c>
      <c r="P32" s="2599" t="s">
        <v>2321</v>
      </c>
      <c r="Q32" s="2600" t="s">
        <v>2322</v>
      </c>
      <c r="R32" s="2719" t="s">
        <v>2323</v>
      </c>
      <c r="S32" s="2590"/>
      <c r="T32" s="2590"/>
      <c r="U32" s="2590"/>
      <c r="V32" s="2696"/>
    </row>
    <row r="33" spans="1:23" s="2602" customFormat="1" ht="13.2" customHeight="1">
      <c r="A33" s="2678"/>
      <c r="B33" s="2679"/>
      <c r="C33" s="2680"/>
      <c r="D33" s="2720"/>
      <c r="E33" s="2721"/>
      <c r="F33" s="2683"/>
      <c r="G33" s="2590"/>
      <c r="H33" s="2704"/>
      <c r="I33" s="2696"/>
      <c r="J33" s="3380" t="s">
        <v>2326</v>
      </c>
      <c r="K33" s="3381"/>
      <c r="L33" s="2605"/>
      <c r="M33" s="2605"/>
      <c r="N33" s="2605"/>
      <c r="O33" s="2605"/>
      <c r="P33" s="2605"/>
      <c r="Q33" s="2606"/>
      <c r="R33" s="2722">
        <f>SUM(L33:Q33)</f>
        <v>0</v>
      </c>
      <c r="S33" s="2590"/>
      <c r="T33" s="2590"/>
      <c r="U33" s="2590"/>
      <c r="V33" s="2598"/>
    </row>
    <row r="34" spans="1:23" s="2602" customFormat="1" ht="13.2" customHeight="1">
      <c r="A34" s="2678">
        <v>5</v>
      </c>
      <c r="B34" s="2679" t="s">
        <v>2425</v>
      </c>
      <c r="C34" s="2723"/>
      <c r="D34" s="2724"/>
      <c r="E34" s="2725"/>
      <c r="F34" s="2683"/>
      <c r="G34" s="2590"/>
      <c r="H34" s="2704"/>
      <c r="I34" s="2696"/>
      <c r="J34" s="3380" t="s">
        <v>2328</v>
      </c>
      <c r="K34" s="3381"/>
      <c r="L34" s="2610"/>
      <c r="M34" s="2610"/>
      <c r="N34" s="2610"/>
      <c r="O34" s="2610"/>
      <c r="P34" s="2610"/>
      <c r="Q34" s="2611"/>
      <c r="R34" s="2726">
        <f>SUM(L34:Q34)</f>
        <v>0</v>
      </c>
      <c r="S34" s="2590"/>
      <c r="T34" s="2590"/>
      <c r="U34" s="2590" t="e">
        <f>ROUND(R35*10000/365/R33,1)</f>
        <v>#DIV/0!</v>
      </c>
      <c r="V34" s="2598"/>
    </row>
    <row r="35" spans="1:23" s="2602" customFormat="1" ht="13.2" customHeight="1">
      <c r="A35" s="2678">
        <v>6</v>
      </c>
      <c r="B35" s="2679" t="s">
        <v>2426</v>
      </c>
      <c r="C35" s="2727"/>
      <c r="D35" s="2728"/>
      <c r="E35" s="2729"/>
      <c r="F35" s="2683"/>
      <c r="G35" s="2730"/>
      <c r="H35" s="2597"/>
      <c r="I35" s="2696"/>
      <c r="J35" s="2616" t="s">
        <v>2330</v>
      </c>
      <c r="K35" s="2617"/>
      <c r="L35" s="2617"/>
      <c r="M35" s="2618"/>
      <c r="N35" s="2618"/>
      <c r="O35" s="2618"/>
      <c r="P35" s="2618"/>
      <c r="Q35" s="2618"/>
      <c r="R35" s="2731">
        <f>R40+R41+R43</f>
        <v>0</v>
      </c>
      <c r="S35" s="2590"/>
      <c r="T35" s="2590" t="s">
        <v>2331</v>
      </c>
      <c r="U35" s="2590"/>
      <c r="V35" s="2598"/>
    </row>
    <row r="36" spans="1:23" s="2602" customFormat="1" ht="13.2" customHeight="1" thickBot="1">
      <c r="A36" s="2678">
        <v>7</v>
      </c>
      <c r="B36" s="2732" t="s">
        <v>2427</v>
      </c>
      <c r="C36" s="2733"/>
      <c r="D36" s="2734"/>
      <c r="E36" s="2735"/>
      <c r="F36" s="2736">
        <f>C36+D36+E36</f>
        <v>0</v>
      </c>
      <c r="G36" s="2590"/>
      <c r="H36" s="2597"/>
      <c r="I36" s="2598"/>
      <c r="J36" s="3385">
        <v>1</v>
      </c>
      <c r="K36" s="3386" t="s">
        <v>2428</v>
      </c>
      <c r="L36" s="2623"/>
      <c r="M36" s="2624"/>
      <c r="N36" s="2624"/>
      <c r="O36" s="2624"/>
      <c r="P36" s="2624"/>
      <c r="Q36" s="2624"/>
      <c r="R36" s="2607" t="s">
        <v>2340</v>
      </c>
      <c r="S36" s="2590"/>
      <c r="T36" s="2590" t="s">
        <v>2341</v>
      </c>
      <c r="U36" s="2590"/>
      <c r="V36" s="2598"/>
    </row>
    <row r="37" spans="1:23" s="2602" customFormat="1" ht="13.2" customHeight="1">
      <c r="A37" s="2678"/>
      <c r="B37" s="2679"/>
      <c r="C37" s="2679"/>
      <c r="D37" s="2679"/>
      <c r="E37" s="2679"/>
      <c r="F37" s="2683"/>
      <c r="G37" s="2590"/>
      <c r="H37" s="2597"/>
      <c r="I37" s="2598"/>
      <c r="J37" s="3385"/>
      <c r="K37" s="3387"/>
      <c r="L37" s="2632"/>
      <c r="M37" s="2633"/>
      <c r="N37" s="2609"/>
      <c r="O37" s="2634"/>
      <c r="P37" s="2634"/>
      <c r="Q37" s="2635"/>
      <c r="R37" s="2636"/>
      <c r="S37" s="2590"/>
      <c r="T37" s="2590" t="s">
        <v>2344</v>
      </c>
      <c r="U37" s="2590"/>
      <c r="V37" s="2598"/>
    </row>
    <row r="38" spans="1:23" s="2602" customFormat="1" ht="13.2" customHeight="1">
      <c r="A38" s="2678">
        <v>8</v>
      </c>
      <c r="B38" s="2679"/>
      <c r="C38" s="2638" t="e">
        <f>ROUND(C32*(1-((1+C35)/(1+C34))^C36)/(C34-C35),0)</f>
        <v>#DIV/0!</v>
      </c>
      <c r="D38" s="2638">
        <f>IF(D23=0,0,ROUND(D32*(1-((1+D35)/(1+D34))^D36)/(D34-D35),0))</f>
        <v>0</v>
      </c>
      <c r="E38" s="2638">
        <f>IF(E23=0,0,ROUND(E32*(1-((1+E35)/(1+E34))^E36)/(E34-E35),0))</f>
        <v>0</v>
      </c>
      <c r="F38" s="2683"/>
      <c r="G38" s="2590"/>
      <c r="H38" s="2597"/>
      <c r="I38" s="2598"/>
      <c r="J38" s="3385"/>
      <c r="K38" s="3387"/>
      <c r="L38" s="2632"/>
      <c r="M38" s="2633"/>
      <c r="N38" s="2609"/>
      <c r="O38" s="2634"/>
      <c r="P38" s="2634"/>
      <c r="Q38" s="2635"/>
      <c r="R38" s="2636"/>
      <c r="S38" s="2590"/>
      <c r="T38" s="2590" t="s">
        <v>2351</v>
      </c>
      <c r="U38" s="2590"/>
      <c r="V38" s="2598"/>
    </row>
    <row r="39" spans="1:23" s="2602" customFormat="1" ht="13.2" customHeight="1">
      <c r="A39" s="2678">
        <v>9</v>
      </c>
      <c r="B39" s="2679" t="s">
        <v>2429</v>
      </c>
      <c r="C39" s="2646" t="e">
        <f>C38</f>
        <v>#DIV/0!</v>
      </c>
      <c r="D39" s="2679">
        <f>D38/(1+D34)^C36</f>
        <v>0</v>
      </c>
      <c r="E39" s="2679">
        <f>E38/(1+E34)^(C36+D36)</f>
        <v>0</v>
      </c>
      <c r="F39" s="2683"/>
      <c r="G39" s="2598"/>
      <c r="H39" s="2597"/>
      <c r="I39" s="2598"/>
      <c r="J39" s="3385"/>
      <c r="K39" s="3387"/>
      <c r="L39" s="2632"/>
      <c r="M39" s="2633"/>
      <c r="N39" s="2609"/>
      <c r="O39" s="2634"/>
      <c r="P39" s="2634"/>
      <c r="Q39" s="2635"/>
      <c r="R39" s="2636"/>
      <c r="S39" s="2590"/>
      <c r="T39" s="2590"/>
      <c r="U39" s="2590"/>
      <c r="V39" s="2598"/>
    </row>
    <row r="40" spans="1:23" s="2602" customFormat="1" ht="13.2" customHeight="1">
      <c r="A40" s="2737">
        <v>10</v>
      </c>
      <c r="B40" s="2679" t="s">
        <v>2430</v>
      </c>
      <c r="C40" s="2738" t="e">
        <f>C39+D39+E39</f>
        <v>#DIV/0!</v>
      </c>
      <c r="D40" s="2739"/>
      <c r="E40" s="2739"/>
      <c r="F40" s="2740"/>
      <c r="G40" s="2590"/>
      <c r="H40" s="2597"/>
      <c r="I40" s="2598"/>
      <c r="J40" s="3385"/>
      <c r="K40" s="3388"/>
      <c r="L40" s="2652" t="s">
        <v>2369</v>
      </c>
      <c r="M40" s="2653"/>
      <c r="N40" s="2653"/>
      <c r="O40" s="2654"/>
      <c r="P40" s="2654"/>
      <c r="Q40" s="2655"/>
      <c r="R40" s="2601">
        <f>SUM(R37:R39)</f>
        <v>0</v>
      </c>
      <c r="S40" s="2590"/>
      <c r="T40" s="2590"/>
      <c r="U40" s="2590"/>
      <c r="V40" s="2598"/>
    </row>
    <row r="41" spans="1:23" s="2602" customFormat="1" ht="13.2" customHeight="1" thickBot="1">
      <c r="A41" s="2741">
        <v>11</v>
      </c>
      <c r="B41" s="2742" t="s">
        <v>2431</v>
      </c>
      <c r="C41" s="2742" t="e">
        <f>ROUND(C40*10000/B4,0)</f>
        <v>#DIV/0!</v>
      </c>
      <c r="D41" s="2743"/>
      <c r="E41" s="2743"/>
      <c r="F41" s="2744"/>
      <c r="G41" s="2597"/>
      <c r="H41" s="2597"/>
      <c r="I41" s="2598"/>
      <c r="J41" s="2691">
        <v>2</v>
      </c>
      <c r="K41" s="2692" t="s">
        <v>2409</v>
      </c>
      <c r="L41" s="2693"/>
      <c r="M41" s="2693"/>
      <c r="N41" s="2693"/>
      <c r="O41" s="2693"/>
      <c r="P41" s="2694"/>
      <c r="Q41" s="2695"/>
      <c r="R41" s="2668">
        <f>ROUND(R40*Q41,0)</f>
        <v>0</v>
      </c>
      <c r="S41" s="2590"/>
      <c r="T41" s="2590"/>
      <c r="U41" s="2641"/>
      <c r="V41" s="2598"/>
    </row>
    <row r="42" spans="1:23" s="2602" customFormat="1" ht="13.2" customHeight="1">
      <c r="G42" s="2597"/>
      <c r="H42" s="2597"/>
      <c r="I42" s="2598"/>
      <c r="J42" s="3395">
        <v>3</v>
      </c>
      <c r="K42" s="2698" t="s">
        <v>2411</v>
      </c>
      <c r="L42" s="2699"/>
      <c r="M42" s="2700"/>
      <c r="N42" s="2701" t="s">
        <v>2412</v>
      </c>
      <c r="O42" s="2701" t="s">
        <v>2413</v>
      </c>
      <c r="P42" s="2702" t="s">
        <v>2414</v>
      </c>
      <c r="Q42" s="2702" t="s">
        <v>2415</v>
      </c>
      <c r="R42" s="2607" t="s">
        <v>2340</v>
      </c>
      <c r="S42" s="2641"/>
      <c r="T42" s="2641"/>
      <c r="U42" s="2590"/>
      <c r="V42" s="2598"/>
    </row>
    <row r="43" spans="1:23" ht="13.2" customHeight="1">
      <c r="A43" s="2602"/>
      <c r="B43" s="2602"/>
      <c r="C43" s="2602"/>
      <c r="D43" s="2602"/>
      <c r="E43" s="2602"/>
      <c r="F43" s="2602"/>
      <c r="I43" s="2585"/>
      <c r="J43" s="3396"/>
      <c r="K43" s="2705"/>
      <c r="L43" s="2706"/>
      <c r="M43" s="2707"/>
      <c r="N43" s="2633"/>
      <c r="O43" s="2633"/>
      <c r="P43" s="2633"/>
      <c r="Q43" s="2695"/>
      <c r="R43" s="2668">
        <f>ROUND(O43*N43*P43*(1-Q43)/10000,0)</f>
        <v>0</v>
      </c>
      <c r="S43" s="2590"/>
      <c r="T43" s="2590"/>
      <c r="V43" s="2745"/>
      <c r="W43" s="2746"/>
    </row>
    <row r="44" spans="1:23" ht="13.2" customHeight="1" thickBot="1">
      <c r="J44" s="2710">
        <v>6</v>
      </c>
      <c r="K44" s="2711" t="s">
        <v>2418</v>
      </c>
      <c r="L44" s="2747" t="s">
        <v>2419</v>
      </c>
      <c r="M44" s="2713"/>
      <c r="N44" s="2747" t="s">
        <v>2420</v>
      </c>
      <c r="O44" s="2713"/>
      <c r="P44" s="2747" t="s">
        <v>2421</v>
      </c>
      <c r="Q44" s="2715">
        <v>1.4999999999999999E-2</v>
      </c>
      <c r="R44" s="271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L14" sqref="L14"/>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7"/>
      <c r="G1" s="459"/>
      <c r="H1" s="459"/>
      <c r="I1" s="459"/>
      <c r="J1" s="459"/>
      <c r="K1" s="459"/>
      <c r="L1" s="459"/>
      <c r="M1" s="459"/>
      <c r="N1" s="459"/>
      <c r="O1" s="459"/>
      <c r="P1" s="459"/>
      <c r="Q1" s="459"/>
      <c r="R1" s="459"/>
      <c r="S1" s="459"/>
    </row>
    <row r="2" spans="1:22" ht="15.6">
      <c r="A2" s="1728" t="s">
        <v>1462</v>
      </c>
      <c r="B2" s="811">
        <f ca="1">SUMIF(B6:B13,"&lt;&gt;#ref!",B6:B13)</f>
        <v>274.77530000000002</v>
      </c>
      <c r="C2" s="1729" t="s">
        <v>1651</v>
      </c>
      <c r="D2" s="1730" t="s">
        <v>1652</v>
      </c>
      <c r="E2" s="2390">
        <f>SUM(E6:E13)</f>
        <v>57.2</v>
      </c>
      <c r="F2" s="2477"/>
      <c r="G2" s="459"/>
      <c r="H2" s="459"/>
      <c r="I2" s="459"/>
      <c r="J2" s="459"/>
      <c r="K2" s="459"/>
      <c r="L2" s="459"/>
      <c r="M2" s="459"/>
      <c r="N2" s="459"/>
      <c r="O2" s="459"/>
      <c r="P2" s="459"/>
      <c r="Q2" s="459"/>
      <c r="R2" s="459"/>
      <c r="S2" s="459"/>
    </row>
    <row r="3" spans="1:22" ht="15.6">
      <c r="A3" s="1728" t="s">
        <v>686</v>
      </c>
      <c r="B3" s="2384">
        <f ca="1">ROUND(B2*10000/E2,0)</f>
        <v>48038</v>
      </c>
      <c r="C3" s="1729" t="s">
        <v>1659</v>
      </c>
      <c r="D3" s="2477"/>
      <c r="E3" s="2480"/>
      <c r="F3" s="2477"/>
      <c r="G3" s="459"/>
      <c r="H3" s="459"/>
      <c r="I3" s="459"/>
      <c r="J3" s="459"/>
      <c r="K3" s="459"/>
      <c r="L3" s="459"/>
      <c r="M3" s="459"/>
      <c r="N3" s="459"/>
      <c r="O3" s="459"/>
      <c r="P3" s="459"/>
      <c r="Q3" s="459"/>
      <c r="R3" s="459"/>
      <c r="S3" s="459"/>
    </row>
    <row r="4" spans="1:22" ht="15.6">
      <c r="A4" s="2481"/>
      <c r="B4" s="2477"/>
      <c r="C4" s="2477"/>
      <c r="D4" s="2477"/>
      <c r="E4" s="2480"/>
      <c r="F4" s="2477"/>
      <c r="G4" s="459"/>
      <c r="H4" s="459"/>
      <c r="I4" s="459"/>
      <c r="J4" s="459"/>
      <c r="K4" s="459"/>
      <c r="L4" s="459"/>
      <c r="M4" s="459"/>
      <c r="N4" s="459"/>
      <c r="O4" s="459"/>
      <c r="P4" s="459"/>
      <c r="Q4" s="459"/>
      <c r="R4" s="459"/>
      <c r="S4" s="459"/>
    </row>
    <row r="5" spans="1:22" ht="14.4">
      <c r="A5" s="2386" t="s">
        <v>1653</v>
      </c>
      <c r="B5" s="3397" t="s">
        <v>1654</v>
      </c>
      <c r="C5" s="3398"/>
      <c r="D5" s="2478"/>
      <c r="E5" s="1731" t="s">
        <v>1655</v>
      </c>
      <c r="F5" s="129" t="s">
        <v>1656</v>
      </c>
      <c r="G5" s="459"/>
      <c r="H5" s="459"/>
      <c r="I5" s="459"/>
      <c r="J5" s="459"/>
      <c r="K5" s="459"/>
      <c r="L5" s="459"/>
      <c r="M5" s="459"/>
      <c r="N5" s="459"/>
      <c r="O5" s="459"/>
      <c r="P5" s="459"/>
      <c r="Q5" s="459"/>
      <c r="R5" s="459"/>
      <c r="S5" s="459"/>
    </row>
    <row r="6" spans="1:22" ht="14.4">
      <c r="A6" s="2387" t="str">
        <f>'数据-取费表'!AN6</f>
        <v>收益法 (元)</v>
      </c>
      <c r="B6" s="2385">
        <f ca="1">IF(F6="是",'数据-取费表'!AO6,0)</f>
        <v>274.77530000000002</v>
      </c>
      <c r="C6" s="1729" t="s">
        <v>1651</v>
      </c>
      <c r="D6" s="2477"/>
      <c r="E6" s="2389">
        <f>IF(OR(A6=0,F6="否"),0,'数据-取费表'!K6+'数据-取费表'!S6)</f>
        <v>57.2</v>
      </c>
      <c r="F6" s="1732" t="s">
        <v>1657</v>
      </c>
      <c r="G6" s="459"/>
      <c r="H6" s="459"/>
      <c r="I6" s="459"/>
      <c r="J6" s="459"/>
      <c r="K6" s="459"/>
      <c r="L6" s="459"/>
      <c r="M6" s="459"/>
      <c r="N6" s="459"/>
      <c r="O6" s="459"/>
      <c r="P6" s="459"/>
      <c r="Q6" s="459"/>
      <c r="R6" s="459"/>
      <c r="S6" s="459"/>
    </row>
    <row r="7" spans="1:22" ht="14.4">
      <c r="A7" s="2387">
        <f>'数据-取费表'!AN7</f>
        <v>0</v>
      </c>
      <c r="B7" s="2385" t="e">
        <f ca="1">IF(F7="是",'数据-取费表'!AO7,0)</f>
        <v>#REF!</v>
      </c>
      <c r="C7" s="1729" t="s">
        <v>1651</v>
      </c>
      <c r="D7" s="2477"/>
      <c r="E7" s="2389">
        <f>IF(OR(A7=0,F7="否"),0,'数据-取费表'!K7+'数据-取费表'!S7)</f>
        <v>0</v>
      </c>
      <c r="F7" s="1732" t="s">
        <v>1657</v>
      </c>
      <c r="G7" s="459"/>
      <c r="H7" s="459"/>
      <c r="I7" s="459"/>
      <c r="J7" s="459"/>
      <c r="K7" s="459"/>
      <c r="L7" s="459"/>
      <c r="M7" s="459"/>
      <c r="N7" s="459"/>
      <c r="O7" s="459"/>
      <c r="P7" s="459"/>
      <c r="Q7" s="459"/>
      <c r="R7" s="459"/>
      <c r="S7" s="459"/>
    </row>
    <row r="8" spans="1:22" ht="14.4">
      <c r="A8" s="2387">
        <f>'数据-取费表'!AN8</f>
        <v>0</v>
      </c>
      <c r="B8" s="2385" t="e">
        <f ca="1">IF(F8="是",'数据-取费表'!AO8,0)</f>
        <v>#REF!</v>
      </c>
      <c r="C8" s="1729" t="s">
        <v>1651</v>
      </c>
      <c r="D8" s="2477"/>
      <c r="E8" s="2389">
        <f>IF(OR(A8=0,F8="否"),0,'数据-取费表'!K8+'数据-取费表'!S8)</f>
        <v>0</v>
      </c>
      <c r="F8" s="1732" t="s">
        <v>1657</v>
      </c>
      <c r="G8" s="459"/>
      <c r="H8" s="459"/>
      <c r="I8" s="459"/>
      <c r="J8" s="459"/>
      <c r="K8" s="459"/>
      <c r="L8" s="459"/>
      <c r="M8" s="459"/>
      <c r="N8" s="459"/>
      <c r="O8" s="459"/>
      <c r="P8" s="459"/>
      <c r="Q8" s="459"/>
      <c r="R8" s="459"/>
      <c r="S8" s="459"/>
    </row>
    <row r="9" spans="1:22" ht="14.4">
      <c r="A9" s="2387">
        <f>'数据-取费表'!AN9</f>
        <v>0</v>
      </c>
      <c r="B9" s="2385" t="e">
        <f ca="1">IF(F9="是",'数据-取费表'!AO9,0)</f>
        <v>#REF!</v>
      </c>
      <c r="C9" s="1729" t="s">
        <v>1651</v>
      </c>
      <c r="D9" s="2477"/>
      <c r="E9" s="2389">
        <f>IF(OR(A9=0,F9="否"),0,'数据-取费表'!K9+'数据-取费表'!S9)</f>
        <v>0</v>
      </c>
      <c r="F9" s="1732" t="s">
        <v>1657</v>
      </c>
      <c r="G9" s="459"/>
      <c r="H9" s="459"/>
      <c r="I9" s="459"/>
      <c r="J9" s="459"/>
      <c r="K9" s="459"/>
      <c r="L9" s="459"/>
      <c r="M9" s="459"/>
      <c r="N9" s="459"/>
      <c r="O9" s="459"/>
      <c r="P9" s="459"/>
      <c r="Q9" s="459"/>
      <c r="R9" s="459"/>
      <c r="S9" s="459"/>
    </row>
    <row r="10" spans="1:22" ht="14.4">
      <c r="A10" s="2387">
        <f>'数据-取费表'!AN10</f>
        <v>0</v>
      </c>
      <c r="B10" s="2385" t="e">
        <f ca="1">IF(F10="是",'数据-取费表'!AO10,0)</f>
        <v>#REF!</v>
      </c>
      <c r="C10" s="1729" t="s">
        <v>1651</v>
      </c>
      <c r="D10" s="2477"/>
      <c r="E10" s="2389">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7">
        <f>'数据-取费表'!AN11</f>
        <v>0</v>
      </c>
      <c r="B11" s="2385" t="e">
        <f ca="1">IF(F11="是",'数据-取费表'!AO11,0)</f>
        <v>#REF!</v>
      </c>
      <c r="C11" s="1729" t="s">
        <v>1651</v>
      </c>
      <c r="D11" s="2477"/>
      <c r="E11" s="2389">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7">
        <f>'数据-取费表'!AN12</f>
        <v>0</v>
      </c>
      <c r="B12" s="2385" t="e">
        <f ca="1">IF(F12="是",'数据-取费表'!AO12,0)</f>
        <v>#REF!</v>
      </c>
      <c r="C12" s="1729" t="s">
        <v>1651</v>
      </c>
      <c r="D12" s="2477"/>
      <c r="E12" s="2389">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88">
        <f>'数据-取费表'!AN13</f>
        <v>0</v>
      </c>
      <c r="B13" s="2385" t="e">
        <f ca="1">IF(F13="是",'数据-取费表'!AO13,0)</f>
        <v>#REF!</v>
      </c>
      <c r="C13" s="1733" t="s">
        <v>1651</v>
      </c>
      <c r="D13" s="2479"/>
      <c r="E13" s="2389">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R36"/>
  <sheetViews>
    <sheetView workbookViewId="0">
      <selection activeCell="O9" sqref="O9"/>
    </sheetView>
  </sheetViews>
  <sheetFormatPr defaultRowHeight="14.4"/>
  <sheetData>
    <row r="1" spans="15:18">
      <c r="O1" s="1405" t="s">
        <v>3497</v>
      </c>
      <c r="P1" s="1405" t="s">
        <v>3498</v>
      </c>
      <c r="Q1" s="1405" t="s">
        <v>3499</v>
      </c>
    </row>
    <row r="2" spans="15:18">
      <c r="O2">
        <v>57.2</v>
      </c>
      <c r="P2">
        <v>6300</v>
      </c>
      <c r="Q2">
        <f>P2/O2</f>
        <v>110.13986013986013</v>
      </c>
    </row>
    <row r="3" spans="15:18">
      <c r="O3">
        <v>57.2</v>
      </c>
      <c r="P3">
        <v>6930</v>
      </c>
      <c r="Q3">
        <f t="shared" ref="Q3:Q5" si="0">P3/O3</f>
        <v>121.15384615384615</v>
      </c>
    </row>
    <row r="4" spans="15:18">
      <c r="O4">
        <v>58.75</v>
      </c>
      <c r="P4">
        <v>7160</v>
      </c>
      <c r="Q4">
        <f t="shared" si="0"/>
        <v>121.87234042553192</v>
      </c>
    </row>
    <row r="5" spans="15:18">
      <c r="O5">
        <v>58.52</v>
      </c>
      <c r="P5">
        <v>6101</v>
      </c>
      <c r="Q5">
        <f t="shared" si="0"/>
        <v>104.25495557074504</v>
      </c>
    </row>
    <row r="8" spans="15:18">
      <c r="Q8">
        <f>AVERAGE(Q2:Q5)</f>
        <v>114.35525057249582</v>
      </c>
      <c r="R8">
        <f>Q8*'数据-汇总表'!E3</f>
        <v>6541.1203327467611</v>
      </c>
    </row>
    <row r="9" spans="15:18">
      <c r="R9">
        <f>R8*0.9</f>
        <v>5887.0082994720851</v>
      </c>
    </row>
    <row r="36" ht="11.4" customHeight="1"/>
  </sheetData>
  <phoneticPr fontId="134"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90" zoomScaleNormal="60" zoomScaleSheetLayoutView="90" workbookViewId="0">
      <selection activeCell="G32" sqref="G32"/>
    </sheetView>
  </sheetViews>
  <sheetFormatPr defaultColWidth="9" defaultRowHeight="13.8"/>
  <cols>
    <col min="1" max="1" width="10.44140625" style="347" customWidth="1"/>
    <col min="2" max="2" width="15.77734375" style="347" customWidth="1"/>
    <col min="3" max="3" width="18.77734375" style="347" customWidth="1"/>
    <col min="4" max="4" width="12.21875" style="347" customWidth="1"/>
    <col min="5" max="5" width="17.109375" style="347" customWidth="1"/>
    <col min="6" max="6" width="19.21875" style="347" customWidth="1"/>
    <col min="7" max="7" width="16.44140625" style="347" customWidth="1"/>
    <col min="8" max="9" width="19.77734375" style="347" customWidth="1"/>
    <col min="10" max="10" width="18.21875" style="347" customWidth="1"/>
    <col min="11" max="11" width="12.21875" style="430" customWidth="1"/>
    <col min="12" max="12" width="12.21875" style="431" customWidth="1"/>
    <col min="13" max="15" width="12.21875" style="347" customWidth="1"/>
    <col min="16" max="16" width="4.77734375" style="1766"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t="s">
        <v>3422</v>
      </c>
      <c r="E1" s="3122" t="s">
        <v>3488</v>
      </c>
      <c r="F1" s="1735" t="s">
        <v>3489</v>
      </c>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3">
        <f>IF(E1="项目模式",IF(C2="——",ROUND(C49*D3/10000,0),ROUND(C49*D3/10000,0)-D2),IF(E1="单套模式",IF(C2="——",ROUND(C49*D3/10000,4),ROUND(C49*D3/10000,4)-D2)))</f>
        <v>315.08049999999997</v>
      </c>
      <c r="C2" s="1737" t="s">
        <v>43</v>
      </c>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2"/>
      <c r="M2" s="2483"/>
      <c r="N2" s="2483"/>
      <c r="O2" s="2483"/>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55084</v>
      </c>
      <c r="C3" s="344" t="s">
        <v>1665</v>
      </c>
      <c r="D3" s="343">
        <f>IF(D1="",'数据-汇总表'!E3,SUMIF('数据-汇总表'!$C19:$C33,D1,'数据-汇总表'!$E19:$E33))</f>
        <v>57.2</v>
      </c>
      <c r="E3" s="854"/>
      <c r="F3" s="1743"/>
      <c r="G3" s="854"/>
      <c r="H3" s="854"/>
      <c r="I3" s="854"/>
      <c r="J3" s="854"/>
      <c r="K3" s="1740"/>
      <c r="L3" s="2482"/>
      <c r="M3" s="2483"/>
      <c r="N3" s="2483"/>
      <c r="O3" s="2483"/>
      <c r="P3" s="1741"/>
      <c r="Q3" s="1742"/>
      <c r="R3" s="1742"/>
      <c r="S3" s="1742"/>
      <c r="T3" s="1742"/>
      <c r="U3" s="1742"/>
      <c r="V3" s="1742"/>
      <c r="W3" s="1742"/>
      <c r="X3" s="1742"/>
      <c r="Y3" s="1742"/>
      <c r="Z3" s="1742"/>
      <c r="AA3" s="1742"/>
      <c r="AB3" s="1742"/>
      <c r="AC3" s="998"/>
    </row>
    <row r="4" spans="1:29" ht="14.4">
      <c r="A4" s="345" t="s">
        <v>1666</v>
      </c>
      <c r="B4" s="346"/>
      <c r="C4" s="3417" t="s">
        <v>1667</v>
      </c>
      <c r="D4" s="3418"/>
      <c r="E4" s="3419" t="s">
        <v>1668</v>
      </c>
      <c r="F4" s="3420"/>
      <c r="G4" s="3417" t="s">
        <v>1669</v>
      </c>
      <c r="H4" s="3418"/>
      <c r="I4" s="3417" t="s">
        <v>1670</v>
      </c>
      <c r="J4" s="3418"/>
      <c r="K4" s="1744" t="s">
        <v>1671</v>
      </c>
      <c r="L4" s="2484"/>
      <c r="M4" s="2485"/>
      <c r="N4" s="2485"/>
      <c r="O4" s="2485"/>
      <c r="P4" s="3421" t="s">
        <v>1672</v>
      </c>
      <c r="Q4" s="3422"/>
      <c r="R4" s="3404" t="s">
        <v>1668</v>
      </c>
      <c r="S4" s="3405"/>
      <c r="T4" s="3404" t="s">
        <v>1669</v>
      </c>
      <c r="U4" s="3405"/>
      <c r="V4" s="3429" t="s">
        <v>1670</v>
      </c>
      <c r="W4" s="3429"/>
      <c r="X4" s="1265"/>
      <c r="Y4" s="3404" t="s">
        <v>1672</v>
      </c>
      <c r="Z4" s="3405"/>
      <c r="AA4" s="3399" t="s">
        <v>1668</v>
      </c>
      <c r="AB4" s="3399" t="s">
        <v>1669</v>
      </c>
      <c r="AC4" s="3399" t="s">
        <v>1670</v>
      </c>
    </row>
    <row r="5" spans="1:29">
      <c r="A5" s="348"/>
      <c r="B5" s="349"/>
      <c r="C5" s="3410" t="str">
        <f>成交!C2</f>
        <v>慧忠北里第二社区</v>
      </c>
      <c r="D5" s="3411"/>
      <c r="E5" s="3408" t="str">
        <f>成交!C2</f>
        <v>慧忠北里第二社区</v>
      </c>
      <c r="F5" s="3409"/>
      <c r="G5" s="3410" t="str">
        <f>成交!C3</f>
        <v>慧忠北里第二社区</v>
      </c>
      <c r="H5" s="3411"/>
      <c r="I5" s="3410" t="str">
        <f>成交!C5</f>
        <v>慧忠北里第二社区</v>
      </c>
      <c r="J5" s="3411"/>
      <c r="K5" s="1745"/>
      <c r="L5" s="2484"/>
      <c r="M5" s="2485"/>
      <c r="N5" s="2485"/>
      <c r="O5" s="2485"/>
      <c r="P5" s="3423"/>
      <c r="Q5" s="3424"/>
      <c r="R5" s="3406"/>
      <c r="S5" s="3407"/>
      <c r="T5" s="3406"/>
      <c r="U5" s="3407"/>
      <c r="V5" s="3429"/>
      <c r="W5" s="3429"/>
      <c r="X5" s="1265"/>
      <c r="Y5" s="3406"/>
      <c r="Z5" s="3407"/>
      <c r="AA5" s="3400"/>
      <c r="AB5" s="3400"/>
      <c r="AC5" s="3400"/>
    </row>
    <row r="6" spans="1:29" ht="15" thickBot="1">
      <c r="A6" s="350"/>
      <c r="B6" s="351"/>
      <c r="C6" s="3412" t="s">
        <v>1677</v>
      </c>
      <c r="D6" s="3413"/>
      <c r="E6" s="3414" t="str">
        <f>成交!B24</f>
        <v>慧忠北里201号楼9层5门901</v>
      </c>
      <c r="F6" s="3415"/>
      <c r="G6" s="3412" t="str">
        <f>成交!B25</f>
        <v>慧忠北里201号楼12层1门1201</v>
      </c>
      <c r="H6" s="3413"/>
      <c r="I6" s="3412" t="str">
        <f>成交!B26</f>
        <v>慧忠北里201号楼16层1单元1601</v>
      </c>
      <c r="J6" s="3413"/>
      <c r="K6" s="1745" t="s">
        <v>1678</v>
      </c>
      <c r="L6" s="2484"/>
      <c r="M6" s="2485"/>
      <c r="N6" s="2485"/>
      <c r="O6" s="2485"/>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f>成交!N24</f>
        <v>45564</v>
      </c>
      <c r="F7" s="357">
        <f>SUMIF(58:58,YEAR(E7)&amp;"-"&amp;MONTH(E7),59:59)</f>
        <v>100.5</v>
      </c>
      <c r="G7" s="356">
        <f>成交!N25</f>
        <v>45526</v>
      </c>
      <c r="H7" s="355">
        <f>SUMIF(58:58,YEAR(G7)&amp;"-"&amp;MONTH(G7),59:59)</f>
        <v>100.5</v>
      </c>
      <c r="I7" s="356">
        <f>成交!N26</f>
        <v>45398</v>
      </c>
      <c r="J7" s="355">
        <f>SUMIF(58:58,YEAR(I7)&amp;"-"&amp;MONTH(I7),59:59)</f>
        <v>101</v>
      </c>
      <c r="K7" s="1746"/>
      <c r="L7" s="2486"/>
      <c r="M7" s="2437"/>
      <c r="N7" s="2437"/>
      <c r="O7" s="2437"/>
      <c r="P7" s="3402" t="s">
        <v>1680</v>
      </c>
      <c r="Q7" s="3430"/>
      <c r="R7" s="664" t="s">
        <v>20</v>
      </c>
      <c r="S7" s="665">
        <f t="shared" ref="S7:S15" si="0">F7</f>
        <v>100.5</v>
      </c>
      <c r="T7" s="664" t="s">
        <v>20</v>
      </c>
      <c r="U7" s="665">
        <f t="shared" ref="U7:U15" si="1">H7</f>
        <v>100.5</v>
      </c>
      <c r="V7" s="664" t="s">
        <v>20</v>
      </c>
      <c r="W7" s="665">
        <f t="shared" ref="W7:W15" si="2">J7</f>
        <v>101</v>
      </c>
      <c r="X7" s="666"/>
      <c r="Y7" s="3402" t="s">
        <v>1680</v>
      </c>
      <c r="Z7" s="3403"/>
      <c r="AA7" s="50">
        <f>D7/F7</f>
        <v>0.99502487562189057</v>
      </c>
      <c r="AB7" s="50">
        <f>D7/H7</f>
        <v>0.99502487562189057</v>
      </c>
      <c r="AC7" s="50">
        <f>D7/J7</f>
        <v>0.99009900990099009</v>
      </c>
    </row>
    <row r="8" spans="1:29" s="102" customFormat="1" ht="15" thickBot="1">
      <c r="A8" s="352" t="s">
        <v>1681</v>
      </c>
      <c r="B8" s="353"/>
      <c r="C8" s="358" t="s">
        <v>3436</v>
      </c>
      <c r="D8" s="355">
        <v>100</v>
      </c>
      <c r="E8" s="358" t="s">
        <v>3436</v>
      </c>
      <c r="F8" s="357">
        <f>SUMIF(61:61,E8,62:62)-SUMIF(61:61,C8,62:62)+100</f>
        <v>100</v>
      </c>
      <c r="G8" s="358" t="s">
        <v>3436</v>
      </c>
      <c r="H8" s="355">
        <f>SUMIF(61:61,G8,62:62)-SUMIF(61:61,C8,62:62)+100</f>
        <v>100</v>
      </c>
      <c r="I8" s="358" t="s">
        <v>3436</v>
      </c>
      <c r="J8" s="355">
        <f>SUMIF(61:61,I8,62:62)-SUMIF(61:61,C8,62:62)+100</f>
        <v>100</v>
      </c>
      <c r="K8" s="1746"/>
      <c r="L8" s="2486"/>
      <c r="M8" s="2437"/>
      <c r="N8" s="2437"/>
      <c r="O8" s="2437"/>
      <c r="P8" s="3402" t="s">
        <v>1683</v>
      </c>
      <c r="Q8" s="3403"/>
      <c r="R8" s="664" t="s">
        <v>20</v>
      </c>
      <c r="S8" s="665">
        <f t="shared" si="0"/>
        <v>100</v>
      </c>
      <c r="T8" s="664" t="s">
        <v>20</v>
      </c>
      <c r="U8" s="665">
        <f t="shared" si="1"/>
        <v>100</v>
      </c>
      <c r="V8" s="664" t="s">
        <v>20</v>
      </c>
      <c r="W8" s="665">
        <f t="shared" si="2"/>
        <v>100</v>
      </c>
      <c r="X8" s="666"/>
      <c r="Y8" s="3402" t="s">
        <v>1683</v>
      </c>
      <c r="Z8" s="3403"/>
      <c r="AA8" s="50">
        <f t="shared" ref="AA8:AA19" si="3">D8/F8</f>
        <v>1</v>
      </c>
      <c r="AB8" s="50">
        <f t="shared" ref="AB8:AB19" si="4">D8/H8</f>
        <v>1</v>
      </c>
      <c r="AC8" s="50">
        <f t="shared" ref="AC8:AC19" si="5">D8/J8</f>
        <v>1</v>
      </c>
    </row>
    <row r="9" spans="1:29" s="102" customFormat="1" ht="15" thickBot="1">
      <c r="A9" s="359" t="s">
        <v>1684</v>
      </c>
      <c r="B9" s="60" t="s">
        <v>1685</v>
      </c>
      <c r="C9" s="3160" t="s">
        <v>3437</v>
      </c>
      <c r="D9" s="59">
        <v>100</v>
      </c>
      <c r="E9" s="361" t="s">
        <v>3422</v>
      </c>
      <c r="F9" s="60">
        <f>SUMIF(63:63,E9,64:64)-SUMIF(63:63,C9,64:64)+100</f>
        <v>100</v>
      </c>
      <c r="G9" s="361" t="s">
        <v>3422</v>
      </c>
      <c r="H9" s="59">
        <f>SUMIF(63:63,G9,64:64)-SUMIF(63:63,C9,64:64)+100</f>
        <v>100</v>
      </c>
      <c r="I9" s="361" t="s">
        <v>3422</v>
      </c>
      <c r="J9" s="59">
        <f>SUMIF(63:63,I9,64:64)-SUMIF(63:63,C9,64:64)+100</f>
        <v>100</v>
      </c>
      <c r="K9" s="1746"/>
      <c r="L9" s="2486"/>
      <c r="M9" s="2437"/>
      <c r="N9" s="2437"/>
      <c r="O9" s="2437"/>
      <c r="P9" s="3416"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50">
        <f t="shared" si="5"/>
        <v>1</v>
      </c>
    </row>
    <row r="10" spans="1:29" s="366" customFormat="1" ht="28.8" hidden="1">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1746"/>
      <c r="L10" s="2487"/>
      <c r="M10" s="2488"/>
      <c r="N10" s="2488"/>
      <c r="O10" s="2488"/>
      <c r="P10" s="3416"/>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50">
        <f t="shared" si="5"/>
        <v>1</v>
      </c>
    </row>
    <row r="11" spans="1:29" ht="15" hidden="1">
      <c r="A11" s="367"/>
      <c r="B11" s="364" t="s">
        <v>1689</v>
      </c>
      <c r="C11" s="368">
        <v>2</v>
      </c>
      <c r="D11" s="119">
        <v>100</v>
      </c>
      <c r="E11" s="369">
        <v>2</v>
      </c>
      <c r="F11" s="364">
        <f>LOOKUP(E11,68:68,69:69)-LOOKUP(C11,68:68,69:69)+100</f>
        <v>100</v>
      </c>
      <c r="G11" s="368">
        <v>2</v>
      </c>
      <c r="H11" s="119">
        <f>LOOKUP(G11,68:68,69:69)-LOOKUP(C11,68:68,69:69)+100</f>
        <v>100</v>
      </c>
      <c r="I11" s="368">
        <v>2</v>
      </c>
      <c r="J11" s="119">
        <f>LOOKUP(I11,68:68,69:69)-LOOKUP(C11,68:68,69:69)+100</f>
        <v>100</v>
      </c>
      <c r="K11" s="365">
        <v>1</v>
      </c>
      <c r="L11" s="2489"/>
      <c r="M11" s="2485"/>
      <c r="N11" s="2485"/>
      <c r="O11" s="2485"/>
      <c r="P11" s="3416"/>
      <c r="Q11" s="530" t="str">
        <f t="shared" si="6"/>
        <v>容积率</v>
      </c>
      <c r="R11" s="664" t="s">
        <v>18</v>
      </c>
      <c r="S11" s="665">
        <f t="shared" si="0"/>
        <v>100</v>
      </c>
      <c r="T11" s="664" t="s">
        <v>18</v>
      </c>
      <c r="U11" s="665">
        <f t="shared" si="1"/>
        <v>100</v>
      </c>
      <c r="V11" s="664" t="s">
        <v>18</v>
      </c>
      <c r="W11" s="665">
        <f t="shared" si="2"/>
        <v>100</v>
      </c>
      <c r="X11" s="666"/>
      <c r="Y11" s="3345"/>
      <c r="Z11" s="50" t="str">
        <f t="shared" si="7"/>
        <v>容积率</v>
      </c>
      <c r="AA11" s="50">
        <f t="shared" si="3"/>
        <v>1</v>
      </c>
      <c r="AB11" s="50">
        <f t="shared" si="4"/>
        <v>1</v>
      </c>
      <c r="AC11" s="50">
        <f t="shared" si="5"/>
        <v>1</v>
      </c>
    </row>
    <row r="12" spans="1:29" s="102" customFormat="1" ht="15" hidden="1">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6"/>
      <c r="M12" s="2437"/>
      <c r="N12" s="2437"/>
      <c r="O12" s="2437"/>
      <c r="P12" s="3416"/>
      <c r="Q12" s="530">
        <f t="shared" si="6"/>
        <v>111</v>
      </c>
      <c r="R12" s="664" t="s">
        <v>18</v>
      </c>
      <c r="S12" s="665">
        <f t="shared" si="0"/>
        <v>100</v>
      </c>
      <c r="T12" s="664" t="s">
        <v>18</v>
      </c>
      <c r="U12" s="665">
        <f t="shared" si="1"/>
        <v>100</v>
      </c>
      <c r="V12" s="664" t="s">
        <v>18</v>
      </c>
      <c r="W12" s="665">
        <f t="shared" si="2"/>
        <v>100</v>
      </c>
      <c r="X12" s="666"/>
      <c r="Y12" s="3345"/>
      <c r="Z12" s="50">
        <f t="shared" si="7"/>
        <v>111</v>
      </c>
      <c r="AA12" s="50">
        <f>D12/F12</f>
        <v>1</v>
      </c>
      <c r="AB12" s="50">
        <f>D12/H12</f>
        <v>1</v>
      </c>
      <c r="AC12" s="50">
        <f>D12/J12</f>
        <v>1</v>
      </c>
    </row>
    <row r="13" spans="1:29" ht="15" hidden="1">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0"/>
      <c r="M13" s="2485"/>
      <c r="N13" s="2485"/>
      <c r="O13" s="2485"/>
      <c r="P13" s="3416"/>
      <c r="Q13" s="530">
        <f t="shared" si="6"/>
        <v>111</v>
      </c>
      <c r="R13" s="664" t="s">
        <v>18</v>
      </c>
      <c r="S13" s="665">
        <f t="shared" si="0"/>
        <v>100</v>
      </c>
      <c r="T13" s="664" t="s">
        <v>18</v>
      </c>
      <c r="U13" s="665">
        <f t="shared" si="1"/>
        <v>100</v>
      </c>
      <c r="V13" s="664" t="s">
        <v>18</v>
      </c>
      <c r="W13" s="665">
        <f t="shared" si="2"/>
        <v>100</v>
      </c>
      <c r="X13" s="666"/>
      <c r="Y13" s="3345"/>
      <c r="Z13" s="50">
        <f t="shared" si="7"/>
        <v>111</v>
      </c>
      <c r="AA13" s="50">
        <f t="shared" si="3"/>
        <v>1</v>
      </c>
      <c r="AB13" s="50">
        <f t="shared" si="4"/>
        <v>1</v>
      </c>
      <c r="AC13" s="50">
        <f t="shared" si="5"/>
        <v>1</v>
      </c>
    </row>
    <row r="14" spans="1:29" ht="15.6" hidden="1"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0"/>
      <c r="M14" s="2485"/>
      <c r="N14" s="2485"/>
      <c r="O14" s="2485"/>
      <c r="P14" s="3416"/>
      <c r="Q14" s="530">
        <f t="shared" si="6"/>
        <v>111</v>
      </c>
      <c r="R14" s="664" t="s">
        <v>18</v>
      </c>
      <c r="S14" s="665">
        <f t="shared" si="0"/>
        <v>100</v>
      </c>
      <c r="T14" s="664" t="s">
        <v>18</v>
      </c>
      <c r="U14" s="665">
        <f t="shared" si="1"/>
        <v>100</v>
      </c>
      <c r="V14" s="664" t="s">
        <v>18</v>
      </c>
      <c r="W14" s="665">
        <f t="shared" si="2"/>
        <v>100</v>
      </c>
      <c r="X14" s="666"/>
      <c r="Y14" s="3345"/>
      <c r="Z14" s="50">
        <f t="shared" si="7"/>
        <v>111</v>
      </c>
      <c r="AA14" s="50">
        <f t="shared" si="3"/>
        <v>1</v>
      </c>
      <c r="AB14" s="50">
        <f t="shared" si="4"/>
        <v>1</v>
      </c>
      <c r="AC14" s="50">
        <f t="shared" si="5"/>
        <v>1</v>
      </c>
    </row>
    <row r="15" spans="1:29" ht="69">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v>2</v>
      </c>
      <c r="L15" s="2490"/>
      <c r="M15" s="2485"/>
      <c r="N15" s="2485"/>
      <c r="O15" s="2485"/>
      <c r="P15" s="3442" t="s">
        <v>1691</v>
      </c>
      <c r="Q15" s="1263" t="str">
        <f t="shared" si="6"/>
        <v>居住社区成熟度</v>
      </c>
      <c r="R15" s="667" t="s">
        <v>18</v>
      </c>
      <c r="S15" s="668">
        <f t="shared" si="0"/>
        <v>100</v>
      </c>
      <c r="T15" s="667" t="s">
        <v>18</v>
      </c>
      <c r="U15" s="668">
        <f t="shared" si="1"/>
        <v>100</v>
      </c>
      <c r="V15" s="667" t="s">
        <v>18</v>
      </c>
      <c r="W15" s="668">
        <f t="shared" si="2"/>
        <v>100</v>
      </c>
      <c r="X15" s="1265"/>
      <c r="Y15" s="3435" t="s">
        <v>1691</v>
      </c>
      <c r="Z15" s="1264" t="str">
        <f t="shared" si="7"/>
        <v>居住社区成熟度</v>
      </c>
      <c r="AA15" s="1264">
        <f t="shared" si="3"/>
        <v>1</v>
      </c>
      <c r="AB15" s="1264">
        <f t="shared" si="4"/>
        <v>1</v>
      </c>
      <c r="AC15" s="1264">
        <f t="shared" si="5"/>
        <v>1</v>
      </c>
    </row>
    <row r="16" spans="1:29" ht="15">
      <c r="A16" s="367"/>
      <c r="B16" s="385"/>
      <c r="C16" s="386" t="s">
        <v>3485</v>
      </c>
      <c r="D16" s="387"/>
      <c r="E16" s="386" t="s">
        <v>3485</v>
      </c>
      <c r="F16" s="387"/>
      <c r="G16" s="386" t="s">
        <v>3485</v>
      </c>
      <c r="H16" s="389"/>
      <c r="I16" s="386" t="s">
        <v>3485</v>
      </c>
      <c r="J16" s="387"/>
      <c r="K16" s="1752"/>
      <c r="L16" s="2490"/>
      <c r="M16" s="2485"/>
      <c r="N16" s="2485"/>
      <c r="O16" s="2485"/>
      <c r="P16" s="3443"/>
      <c r="Q16" s="1263"/>
      <c r="R16" s="667"/>
      <c r="S16" s="668"/>
      <c r="T16" s="667"/>
      <c r="U16" s="668"/>
      <c r="V16" s="667"/>
      <c r="W16" s="668"/>
      <c r="X16" s="1265"/>
      <c r="Y16" s="3436"/>
      <c r="Z16" s="1264"/>
      <c r="AA16" s="1264">
        <v>1</v>
      </c>
      <c r="AB16" s="1264">
        <v>1</v>
      </c>
      <c r="AC16" s="1264">
        <v>1</v>
      </c>
    </row>
    <row r="17" spans="1:29" ht="69">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v>2</v>
      </c>
      <c r="L17" s="2490"/>
      <c r="M17" s="2485"/>
      <c r="N17" s="2485"/>
      <c r="O17" s="2485"/>
      <c r="P17" s="3443"/>
      <c r="Q17" s="1263" t="str">
        <f>B17</f>
        <v>交通便捷度</v>
      </c>
      <c r="R17" s="667" t="s">
        <v>18</v>
      </c>
      <c r="S17" s="668">
        <f>F17</f>
        <v>100</v>
      </c>
      <c r="T17" s="667" t="s">
        <v>18</v>
      </c>
      <c r="U17" s="668">
        <f>H17</f>
        <v>100</v>
      </c>
      <c r="V17" s="667" t="s">
        <v>18</v>
      </c>
      <c r="W17" s="668">
        <f>J17</f>
        <v>100</v>
      </c>
      <c r="X17" s="1265"/>
      <c r="Y17" s="3436"/>
      <c r="Z17" s="1264" t="str">
        <f>Q17</f>
        <v>交通便捷度</v>
      </c>
      <c r="AA17" s="1264">
        <f t="shared" si="3"/>
        <v>1</v>
      </c>
      <c r="AB17" s="1264">
        <f t="shared" si="4"/>
        <v>1</v>
      </c>
      <c r="AC17" s="1264">
        <f t="shared" si="5"/>
        <v>1</v>
      </c>
    </row>
    <row r="18" spans="1:29" ht="15">
      <c r="A18" s="367"/>
      <c r="B18" s="395"/>
      <c r="C18" s="386" t="s">
        <v>3485</v>
      </c>
      <c r="D18" s="389"/>
      <c r="E18" s="386" t="s">
        <v>3485</v>
      </c>
      <c r="F18" s="389"/>
      <c r="G18" s="386" t="s">
        <v>3485</v>
      </c>
      <c r="H18" s="387"/>
      <c r="I18" s="386" t="s">
        <v>3485</v>
      </c>
      <c r="J18" s="387"/>
      <c r="K18" s="1752"/>
      <c r="L18" s="2490"/>
      <c r="M18" s="2485"/>
      <c r="N18" s="2485"/>
      <c r="O18" s="2485"/>
      <c r="P18" s="3443"/>
      <c r="Q18" s="1263"/>
      <c r="R18" s="667"/>
      <c r="S18" s="668"/>
      <c r="T18" s="667"/>
      <c r="U18" s="668"/>
      <c r="V18" s="667"/>
      <c r="W18" s="668"/>
      <c r="X18" s="1265"/>
      <c r="Y18" s="3436"/>
      <c r="Z18" s="1264"/>
      <c r="AA18" s="1264">
        <v>1</v>
      </c>
      <c r="AB18" s="1264">
        <v>1</v>
      </c>
      <c r="AC18" s="1264">
        <v>1</v>
      </c>
    </row>
    <row r="19" spans="1:29" ht="27.6">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v>2</v>
      </c>
      <c r="L19" s="2490"/>
      <c r="M19" s="2485"/>
      <c r="N19" s="2485"/>
      <c r="O19" s="2485"/>
      <c r="P19" s="3443"/>
      <c r="Q19" s="1263" t="str">
        <f>B19</f>
        <v>公共配套设施</v>
      </c>
      <c r="R19" s="667" t="s">
        <v>18</v>
      </c>
      <c r="S19" s="668">
        <f>F19</f>
        <v>100</v>
      </c>
      <c r="T19" s="667" t="s">
        <v>18</v>
      </c>
      <c r="U19" s="668">
        <f>H19</f>
        <v>100</v>
      </c>
      <c r="V19" s="667" t="s">
        <v>18</v>
      </c>
      <c r="W19" s="668">
        <f>J19</f>
        <v>100</v>
      </c>
      <c r="X19" s="1265"/>
      <c r="Y19" s="3436"/>
      <c r="Z19" s="1264" t="str">
        <f>Q19</f>
        <v>公共配套设施</v>
      </c>
      <c r="AA19" s="1264">
        <f t="shared" si="3"/>
        <v>1</v>
      </c>
      <c r="AB19" s="1264">
        <f t="shared" si="4"/>
        <v>1</v>
      </c>
      <c r="AC19" s="1264">
        <f t="shared" si="5"/>
        <v>1</v>
      </c>
    </row>
    <row r="20" spans="1:29" ht="15">
      <c r="A20" s="367"/>
      <c r="B20" s="395"/>
      <c r="C20" s="386" t="s">
        <v>3485</v>
      </c>
      <c r="D20" s="387"/>
      <c r="E20" s="386" t="s">
        <v>3485</v>
      </c>
      <c r="F20" s="387"/>
      <c r="G20" s="386" t="s">
        <v>3485</v>
      </c>
      <c r="H20" s="387"/>
      <c r="I20" s="386" t="s">
        <v>3485</v>
      </c>
      <c r="J20" s="387"/>
      <c r="K20" s="1752"/>
      <c r="L20" s="2490"/>
      <c r="M20" s="2485"/>
      <c r="N20" s="2485"/>
      <c r="O20" s="2485"/>
      <c r="P20" s="3443"/>
      <c r="Q20" s="1263"/>
      <c r="R20" s="667"/>
      <c r="S20" s="668"/>
      <c r="T20" s="667"/>
      <c r="U20" s="668"/>
      <c r="V20" s="667"/>
      <c r="W20" s="668"/>
      <c r="X20" s="1265"/>
      <c r="Y20" s="3436"/>
      <c r="Z20" s="1264"/>
      <c r="AA20" s="1264">
        <v>1</v>
      </c>
      <c r="AB20" s="1264">
        <v>1</v>
      </c>
      <c r="AC20" s="1264">
        <v>1</v>
      </c>
    </row>
    <row r="21" spans="1:29" ht="27.6">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v>1</v>
      </c>
      <c r="L21" s="2490"/>
      <c r="M21" s="2485"/>
      <c r="N21" s="2485"/>
      <c r="O21" s="2485"/>
      <c r="P21" s="3443"/>
      <c r="Q21" s="1263" t="str">
        <f>B21</f>
        <v>基础设施水平</v>
      </c>
      <c r="R21" s="667" t="s">
        <v>14</v>
      </c>
      <c r="S21" s="668">
        <f>F21</f>
        <v>100</v>
      </c>
      <c r="T21" s="667" t="s">
        <v>14</v>
      </c>
      <c r="U21" s="668">
        <f>H21</f>
        <v>100</v>
      </c>
      <c r="V21" s="667" t="s">
        <v>14</v>
      </c>
      <c r="W21" s="668">
        <f>J21</f>
        <v>100</v>
      </c>
      <c r="X21" s="1265"/>
      <c r="Y21" s="3436"/>
      <c r="Z21" s="1264" t="str">
        <f>Q21</f>
        <v>基础设施水平</v>
      </c>
      <c r="AA21" s="1264">
        <f t="shared" ref="AA21" si="8">D21/F21</f>
        <v>1</v>
      </c>
      <c r="AB21" s="1264">
        <f t="shared" ref="AB21" si="9">D21/H21</f>
        <v>1</v>
      </c>
      <c r="AC21" s="1264">
        <f t="shared" ref="AC21" si="10">D21/J21</f>
        <v>1</v>
      </c>
    </row>
    <row r="22" spans="1:29" ht="15">
      <c r="A22" s="367"/>
      <c r="B22" s="586"/>
      <c r="C22" s="386" t="s">
        <v>3471</v>
      </c>
      <c r="D22" s="387"/>
      <c r="E22" s="386" t="s">
        <v>3471</v>
      </c>
      <c r="F22" s="387"/>
      <c r="G22" s="386" t="s">
        <v>3471</v>
      </c>
      <c r="H22" s="387"/>
      <c r="I22" s="386" t="s">
        <v>3471</v>
      </c>
      <c r="J22" s="387"/>
      <c r="K22" s="1758"/>
      <c r="L22" s="2490"/>
      <c r="M22" s="2485"/>
      <c r="N22" s="2485"/>
      <c r="O22" s="2485"/>
      <c r="P22" s="3443"/>
      <c r="Q22" s="1263"/>
      <c r="R22" s="667"/>
      <c r="S22" s="668"/>
      <c r="T22" s="667"/>
      <c r="U22" s="668"/>
      <c r="V22" s="667"/>
      <c r="W22" s="668"/>
      <c r="X22" s="1265"/>
      <c r="Y22" s="3436"/>
      <c r="Z22" s="1264"/>
      <c r="AA22" s="1264">
        <v>1</v>
      </c>
      <c r="AB22" s="1264">
        <v>1</v>
      </c>
      <c r="AC22" s="1264">
        <v>1</v>
      </c>
    </row>
    <row r="23" spans="1:29" ht="41.4">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v>2</v>
      </c>
      <c r="L23" s="2490"/>
      <c r="M23" s="2485"/>
      <c r="N23" s="2485"/>
      <c r="O23" s="2485"/>
      <c r="P23" s="3443"/>
      <c r="Q23" s="1263" t="str">
        <f>B23</f>
        <v>自然及人文环境</v>
      </c>
      <c r="R23" s="667" t="s">
        <v>18</v>
      </c>
      <c r="S23" s="668">
        <f>F23</f>
        <v>100</v>
      </c>
      <c r="T23" s="667" t="s">
        <v>18</v>
      </c>
      <c r="U23" s="668">
        <f>H23</f>
        <v>100</v>
      </c>
      <c r="V23" s="667" t="s">
        <v>18</v>
      </c>
      <c r="W23" s="668">
        <f>J23</f>
        <v>100</v>
      </c>
      <c r="X23" s="1265"/>
      <c r="Y23" s="3436"/>
      <c r="Z23" s="1264" t="str">
        <f>Q23</f>
        <v>自然及人文环境</v>
      </c>
      <c r="AA23" s="1264">
        <f>D23/F23</f>
        <v>1</v>
      </c>
      <c r="AB23" s="1264">
        <f>D23/H23</f>
        <v>1</v>
      </c>
      <c r="AC23" s="1264">
        <f>D23/J23</f>
        <v>1</v>
      </c>
    </row>
    <row r="24" spans="1:29" ht="15">
      <c r="A24" s="367"/>
      <c r="B24" s="395"/>
      <c r="C24" s="386" t="s">
        <v>3485</v>
      </c>
      <c r="D24" s="387"/>
      <c r="E24" s="386" t="s">
        <v>3485</v>
      </c>
      <c r="F24" s="387"/>
      <c r="G24" s="386" t="s">
        <v>3485</v>
      </c>
      <c r="H24" s="387"/>
      <c r="I24" s="386" t="s">
        <v>3485</v>
      </c>
      <c r="J24" s="387"/>
      <c r="K24" s="1752"/>
      <c r="L24" s="2490"/>
      <c r="M24" s="2485"/>
      <c r="N24" s="2485"/>
      <c r="O24" s="2485"/>
      <c r="P24" s="3443"/>
      <c r="Q24" s="1263"/>
      <c r="R24" s="667"/>
      <c r="S24" s="668"/>
      <c r="T24" s="667"/>
      <c r="U24" s="668"/>
      <c r="V24" s="667"/>
      <c r="W24" s="668"/>
      <c r="X24" s="1265"/>
      <c r="Y24" s="3436"/>
      <c r="Z24" s="1264"/>
      <c r="AA24" s="1264">
        <v>1</v>
      </c>
      <c r="AB24" s="1264">
        <v>1</v>
      </c>
      <c r="AC24" s="1264">
        <v>1</v>
      </c>
    </row>
    <row r="25" spans="1:29" ht="15" hidden="1">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0"/>
      <c r="M25" s="2485"/>
      <c r="N25" s="2485"/>
      <c r="O25" s="2485"/>
      <c r="P25" s="3443"/>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36"/>
      <c r="Z25" s="1264" t="str">
        <f>Q25</f>
        <v>楼层-1</v>
      </c>
      <c r="AA25" s="1264">
        <f t="shared" ref="AA25:AA46" si="15">D25/F25</f>
        <v>1</v>
      </c>
      <c r="AB25" s="1264">
        <f t="shared" ref="AB25:AB46" si="16">D25/H25</f>
        <v>1</v>
      </c>
      <c r="AC25" s="1264">
        <f t="shared" ref="AC25:AC46" si="17">D25/J25</f>
        <v>1</v>
      </c>
    </row>
    <row r="26" spans="1:29" ht="15">
      <c r="A26" s="367"/>
      <c r="B26" s="364" t="s">
        <v>1693</v>
      </c>
      <c r="C26" s="399" t="s">
        <v>3534</v>
      </c>
      <c r="D26" s="374">
        <v>100</v>
      </c>
      <c r="E26" s="1759" t="s">
        <v>3534</v>
      </c>
      <c r="F26" s="374">
        <f>SUMIF(88:88,E26,89:89)-SUMIF(88:88,C26,89:89)+100</f>
        <v>100</v>
      </c>
      <c r="G26" s="1759" t="s">
        <v>3538</v>
      </c>
      <c r="H26" s="374">
        <f>SUMIF(88:88,G26,89:89)-SUMIF(88:88,C26,89:89)+100</f>
        <v>96</v>
      </c>
      <c r="I26" s="1759" t="s">
        <v>3538</v>
      </c>
      <c r="J26" s="374">
        <f>SUMIF(88:88,I26,89:89)-SUMIF(88:88,C26,89:89)+100</f>
        <v>96</v>
      </c>
      <c r="K26" s="365">
        <v>1</v>
      </c>
      <c r="L26" s="2490"/>
      <c r="M26" s="2485"/>
      <c r="N26" s="2485"/>
      <c r="O26" s="2485"/>
      <c r="P26" s="3443"/>
      <c r="Q26" s="1263" t="str">
        <f t="shared" si="11"/>
        <v>朝向</v>
      </c>
      <c r="R26" s="667" t="s">
        <v>18</v>
      </c>
      <c r="S26" s="668">
        <f t="shared" si="12"/>
        <v>100</v>
      </c>
      <c r="T26" s="667" t="s">
        <v>18</v>
      </c>
      <c r="U26" s="668">
        <f t="shared" si="13"/>
        <v>96</v>
      </c>
      <c r="V26" s="667" t="s">
        <v>18</v>
      </c>
      <c r="W26" s="668">
        <f t="shared" si="14"/>
        <v>96</v>
      </c>
      <c r="X26" s="1265"/>
      <c r="Y26" s="3436"/>
      <c r="Z26" s="1264" t="str">
        <f>Q26</f>
        <v>朝向</v>
      </c>
      <c r="AA26" s="1264">
        <f t="shared" si="15"/>
        <v>1</v>
      </c>
      <c r="AB26" s="1264">
        <f t="shared" si="16"/>
        <v>1.0416666666666667</v>
      </c>
      <c r="AC26" s="1264">
        <f t="shared" si="17"/>
        <v>1.0416666666666667</v>
      </c>
    </row>
    <row r="27" spans="1:29" s="102" customFormat="1" ht="15">
      <c r="A27" s="370"/>
      <c r="B27" s="3165" t="s">
        <v>3452</v>
      </c>
      <c r="C27" s="403" t="s">
        <v>3540</v>
      </c>
      <c r="D27" s="401">
        <v>100</v>
      </c>
      <c r="E27" s="403" t="s">
        <v>3541</v>
      </c>
      <c r="F27" s="401">
        <f>SUMIF(90:90,E27,91:91)-SUMIF(90:90,C27,91:91)+100</f>
        <v>98</v>
      </c>
      <c r="G27" s="403" t="s">
        <v>3543</v>
      </c>
      <c r="H27" s="401">
        <f>SUMIF(90:90,G27,91:91)-SUMIF(90:90,C27,91:91)+100</f>
        <v>100</v>
      </c>
      <c r="I27" s="403" t="s">
        <v>3542</v>
      </c>
      <c r="J27" s="401">
        <f>SUMIF(90:90,I27,91:91)-SUMIF(90:90,C27,91:91)+100</f>
        <v>94</v>
      </c>
      <c r="K27" s="1747"/>
      <c r="L27" s="2486"/>
      <c r="M27" s="2437"/>
      <c r="N27" s="2437"/>
      <c r="O27" s="2437"/>
      <c r="P27" s="3443"/>
      <c r="Q27" s="530" t="str">
        <f t="shared" si="11"/>
        <v>楼层</v>
      </c>
      <c r="R27" s="664" t="s">
        <v>18</v>
      </c>
      <c r="S27" s="665">
        <f t="shared" si="12"/>
        <v>98</v>
      </c>
      <c r="T27" s="664" t="s">
        <v>18</v>
      </c>
      <c r="U27" s="665">
        <f t="shared" si="13"/>
        <v>100</v>
      </c>
      <c r="V27" s="664" t="s">
        <v>18</v>
      </c>
      <c r="W27" s="665">
        <f t="shared" si="14"/>
        <v>94</v>
      </c>
      <c r="X27" s="666"/>
      <c r="Y27" s="3436"/>
      <c r="Z27" s="50" t="str">
        <f>Q27</f>
        <v>楼层</v>
      </c>
      <c r="AA27" s="1264">
        <f t="shared" si="15"/>
        <v>1.0204081632653061</v>
      </c>
      <c r="AB27" s="1264">
        <f t="shared" si="16"/>
        <v>1</v>
      </c>
      <c r="AC27" s="1264">
        <f t="shared" si="17"/>
        <v>1.0638297872340425</v>
      </c>
    </row>
    <row r="28" spans="1:29" ht="32.4" customHeight="1" thickBot="1">
      <c r="A28" s="367"/>
      <c r="B28" s="3165" t="s">
        <v>3453</v>
      </c>
      <c r="C28" s="3171" t="s">
        <v>3544</v>
      </c>
      <c r="D28" s="374">
        <v>100</v>
      </c>
      <c r="E28" s="3171" t="s">
        <v>3544</v>
      </c>
      <c r="F28" s="374">
        <f>SUMIF(92:92,E28,93:93)-SUMIF(92:92,C28,93:93)+100</f>
        <v>100</v>
      </c>
      <c r="G28" s="3171" t="s">
        <v>3544</v>
      </c>
      <c r="H28" s="374">
        <f>SUMIF(92:92,G28,93:93)-SUMIF(92:92,C28,93:93)+100</f>
        <v>100</v>
      </c>
      <c r="I28" s="3171" t="s">
        <v>3544</v>
      </c>
      <c r="J28" s="374">
        <f>SUMIF(92:92,I28,93:93)-SUMIF(92:92,C28,93:93)+100</f>
        <v>100</v>
      </c>
      <c r="K28" s="1747"/>
      <c r="L28" s="2490"/>
      <c r="M28" s="2485"/>
      <c r="N28" s="2485"/>
      <c r="O28" s="2485"/>
      <c r="P28" s="3443"/>
      <c r="Q28" s="1263" t="str">
        <f t="shared" si="11"/>
        <v>道路</v>
      </c>
      <c r="R28" s="667" t="s">
        <v>18</v>
      </c>
      <c r="S28" s="668">
        <f t="shared" si="12"/>
        <v>100</v>
      </c>
      <c r="T28" s="667" t="s">
        <v>18</v>
      </c>
      <c r="U28" s="668">
        <f t="shared" si="13"/>
        <v>100</v>
      </c>
      <c r="V28" s="667" t="s">
        <v>18</v>
      </c>
      <c r="W28" s="668">
        <f t="shared" si="14"/>
        <v>100</v>
      </c>
      <c r="X28" s="1265"/>
      <c r="Y28" s="3436"/>
      <c r="Z28" s="1264" t="str">
        <f t="shared" ref="Z28:Z46" si="18">Q28</f>
        <v>道路</v>
      </c>
      <c r="AA28" s="1264">
        <f t="shared" si="15"/>
        <v>1</v>
      </c>
      <c r="AB28" s="1264">
        <f t="shared" si="16"/>
        <v>1</v>
      </c>
      <c r="AC28" s="1264">
        <f t="shared" si="17"/>
        <v>1</v>
      </c>
    </row>
    <row r="29" spans="1:29" ht="15" hidden="1">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0"/>
      <c r="M29" s="2485"/>
      <c r="N29" s="2485"/>
      <c r="O29" s="2485"/>
      <c r="P29" s="3443"/>
      <c r="Q29" s="1263">
        <f t="shared" si="11"/>
        <v>111</v>
      </c>
      <c r="R29" s="667" t="s">
        <v>18</v>
      </c>
      <c r="S29" s="668">
        <f t="shared" si="12"/>
        <v>100</v>
      </c>
      <c r="T29" s="667" t="s">
        <v>18</v>
      </c>
      <c r="U29" s="668">
        <f t="shared" si="13"/>
        <v>100</v>
      </c>
      <c r="V29" s="667" t="s">
        <v>18</v>
      </c>
      <c r="W29" s="668">
        <f t="shared" si="14"/>
        <v>100</v>
      </c>
      <c r="X29" s="1265"/>
      <c r="Y29" s="3436"/>
      <c r="Z29" s="1264">
        <f t="shared" si="18"/>
        <v>111</v>
      </c>
      <c r="AA29" s="1264">
        <f t="shared" si="15"/>
        <v>1</v>
      </c>
      <c r="AB29" s="1264">
        <f t="shared" si="16"/>
        <v>1</v>
      </c>
      <c r="AC29" s="1264">
        <f t="shared" si="17"/>
        <v>1</v>
      </c>
    </row>
    <row r="30" spans="1:29" ht="15" hidden="1">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0"/>
      <c r="M30" s="2485"/>
      <c r="N30" s="2485"/>
      <c r="O30" s="2485"/>
      <c r="P30" s="3443"/>
      <c r="Q30" s="1263">
        <f t="shared" si="11"/>
        <v>111</v>
      </c>
      <c r="R30" s="667" t="s">
        <v>18</v>
      </c>
      <c r="S30" s="668">
        <f t="shared" si="12"/>
        <v>100</v>
      </c>
      <c r="T30" s="667" t="s">
        <v>18</v>
      </c>
      <c r="U30" s="668">
        <f t="shared" si="13"/>
        <v>100</v>
      </c>
      <c r="V30" s="667" t="s">
        <v>18</v>
      </c>
      <c r="W30" s="668">
        <f t="shared" si="14"/>
        <v>100</v>
      </c>
      <c r="X30" s="1265"/>
      <c r="Y30" s="3436"/>
      <c r="Z30" s="1264">
        <f t="shared" si="18"/>
        <v>111</v>
      </c>
      <c r="AA30" s="1264">
        <f t="shared" si="15"/>
        <v>1</v>
      </c>
      <c r="AB30" s="1264">
        <f t="shared" si="16"/>
        <v>1</v>
      </c>
      <c r="AC30" s="1264">
        <f t="shared" si="17"/>
        <v>1</v>
      </c>
    </row>
    <row r="31" spans="1:29" ht="15.6" hidden="1"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0"/>
      <c r="M31" s="2485"/>
      <c r="N31" s="2485"/>
      <c r="O31" s="2485"/>
      <c r="P31" s="3443"/>
      <c r="Q31" s="1263">
        <f t="shared" si="11"/>
        <v>111</v>
      </c>
      <c r="R31" s="667" t="s">
        <v>18</v>
      </c>
      <c r="S31" s="668">
        <f t="shared" si="12"/>
        <v>100</v>
      </c>
      <c r="T31" s="667" t="s">
        <v>18</v>
      </c>
      <c r="U31" s="668">
        <f t="shared" si="13"/>
        <v>100</v>
      </c>
      <c r="V31" s="667" t="s">
        <v>18</v>
      </c>
      <c r="W31" s="668">
        <f t="shared" si="14"/>
        <v>100</v>
      </c>
      <c r="X31" s="1265"/>
      <c r="Y31" s="3436"/>
      <c r="Z31" s="1264">
        <f t="shared" si="18"/>
        <v>111</v>
      </c>
      <c r="AA31" s="1264">
        <f t="shared" si="15"/>
        <v>1</v>
      </c>
      <c r="AB31" s="1264">
        <f t="shared" si="16"/>
        <v>1</v>
      </c>
      <c r="AC31" s="1264">
        <f t="shared" si="17"/>
        <v>1</v>
      </c>
    </row>
    <row r="32" spans="1:29" ht="15">
      <c r="A32" s="379" t="s">
        <v>1694</v>
      </c>
      <c r="B32" s="60" t="s">
        <v>1695</v>
      </c>
      <c r="C32" s="1763" t="s">
        <v>3455</v>
      </c>
      <c r="D32" s="405">
        <v>100</v>
      </c>
      <c r="E32" s="1763" t="s">
        <v>3455</v>
      </c>
      <c r="F32" s="400">
        <f>SUMIF(100:100,E32,101:101)-SUMIF(100:100,C32,101:101)+100</f>
        <v>100</v>
      </c>
      <c r="G32" s="1763" t="s">
        <v>3455</v>
      </c>
      <c r="H32" s="405">
        <f>SUMIF(100:100,G32,101:101)-SUMIF(100:100,C32,101:101)+100</f>
        <v>100</v>
      </c>
      <c r="I32" s="1763" t="s">
        <v>3455</v>
      </c>
      <c r="J32" s="374">
        <f>SUMIF(100:100,I32,101:101)-SUMIF(100:100,C32,101:101)+100</f>
        <v>100</v>
      </c>
      <c r="K32" s="365">
        <v>1</v>
      </c>
      <c r="L32" s="2490"/>
      <c r="M32" s="2485"/>
      <c r="N32" s="2485"/>
      <c r="O32" s="2485"/>
      <c r="P32" s="3437" t="s">
        <v>1696</v>
      </c>
      <c r="Q32" s="1263" t="str">
        <f t="shared" si="11"/>
        <v>建筑类型</v>
      </c>
      <c r="R32" s="667" t="s">
        <v>18</v>
      </c>
      <c r="S32" s="668">
        <f t="shared" si="12"/>
        <v>100</v>
      </c>
      <c r="T32" s="667" t="s">
        <v>18</v>
      </c>
      <c r="U32" s="668">
        <f t="shared" si="13"/>
        <v>100</v>
      </c>
      <c r="V32" s="667" t="s">
        <v>18</v>
      </c>
      <c r="W32" s="668">
        <f t="shared" si="14"/>
        <v>100</v>
      </c>
      <c r="X32" s="1265"/>
      <c r="Y32" s="3440" t="s">
        <v>1696</v>
      </c>
      <c r="Z32" s="1264" t="str">
        <f t="shared" si="18"/>
        <v>建筑类型</v>
      </c>
      <c r="AA32" s="1264">
        <f t="shared" si="15"/>
        <v>1</v>
      </c>
      <c r="AB32" s="1264">
        <f t="shared" si="16"/>
        <v>1</v>
      </c>
      <c r="AC32" s="1264">
        <f t="shared" si="17"/>
        <v>1</v>
      </c>
    </row>
    <row r="33" spans="1:29" s="408" customFormat="1" ht="15">
      <c r="A33" s="406"/>
      <c r="B33" s="364" t="s">
        <v>1697</v>
      </c>
      <c r="C33" s="407">
        <f>'数据-汇总表'!E19</f>
        <v>57.2</v>
      </c>
      <c r="D33" s="119">
        <v>100</v>
      </c>
      <c r="E33" s="369">
        <f>成交!E24</f>
        <v>57.2</v>
      </c>
      <c r="F33" s="364">
        <f>LOOKUP(E33,103:103,104:104)-LOOKUP(C33,103:103,104:104)+100</f>
        <v>100</v>
      </c>
      <c r="G33" s="368">
        <f>成交!E25</f>
        <v>56.61</v>
      </c>
      <c r="H33" s="119">
        <f>LOOKUP(G33,103:103,104:104)-LOOKUP(C33,103:103,104:104)+100</f>
        <v>100</v>
      </c>
      <c r="I33" s="369">
        <f>成交!E26</f>
        <v>56.61</v>
      </c>
      <c r="J33" s="119">
        <f>LOOKUP(I33,103:103,104:104)-LOOKUP(C33,103:103,104:104)+100</f>
        <v>100</v>
      </c>
      <c r="K33" s="1747"/>
      <c r="L33" s="2489"/>
      <c r="M33" s="2491"/>
      <c r="N33" s="2491"/>
      <c r="O33" s="2491"/>
      <c r="P33" s="3438"/>
      <c r="Q33" s="531" t="str">
        <f t="shared" si="11"/>
        <v>项目建筑规模</v>
      </c>
      <c r="R33" s="669" t="s">
        <v>18</v>
      </c>
      <c r="S33" s="670">
        <f t="shared" si="12"/>
        <v>100</v>
      </c>
      <c r="T33" s="669" t="s">
        <v>18</v>
      </c>
      <c r="U33" s="670">
        <f t="shared" si="13"/>
        <v>100</v>
      </c>
      <c r="V33" s="669" t="s">
        <v>18</v>
      </c>
      <c r="W33" s="670">
        <f t="shared" si="14"/>
        <v>100</v>
      </c>
      <c r="X33" s="671"/>
      <c r="Y33" s="3440"/>
      <c r="Z33" s="672" t="str">
        <f t="shared" si="18"/>
        <v>项目建筑规模</v>
      </c>
      <c r="AA33" s="1264">
        <f t="shared" si="15"/>
        <v>1</v>
      </c>
      <c r="AB33" s="1264">
        <f t="shared" si="16"/>
        <v>1</v>
      </c>
      <c r="AC33" s="1264">
        <f t="shared" si="17"/>
        <v>1</v>
      </c>
    </row>
    <row r="34" spans="1:29" ht="15">
      <c r="A34" s="409"/>
      <c r="B34" s="364" t="s">
        <v>1698</v>
      </c>
      <c r="C34" s="399" t="s">
        <v>3432</v>
      </c>
      <c r="D34" s="374">
        <v>100</v>
      </c>
      <c r="E34" s="399" t="s">
        <v>3432</v>
      </c>
      <c r="F34" s="400">
        <f>SUMIF(105:105,E34,106:106)-SUMIF(105:105,C34,106:106)+100</f>
        <v>100</v>
      </c>
      <c r="G34" s="399" t="s">
        <v>3432</v>
      </c>
      <c r="H34" s="374">
        <f>SUMIF(105:105,G34,106:106)-SUMIF(105:105,C34,106:106)+100</f>
        <v>100</v>
      </c>
      <c r="I34" s="399" t="s">
        <v>3432</v>
      </c>
      <c r="J34" s="374">
        <f>SUMIF(105:105,I34,106:106)-SUMIF(105:105,C34,106:106)+100</f>
        <v>100</v>
      </c>
      <c r="K34" s="365">
        <v>2.5</v>
      </c>
      <c r="L34" s="2490"/>
      <c r="M34" s="2485"/>
      <c r="N34" s="2485"/>
      <c r="O34" s="2485"/>
      <c r="P34" s="3438"/>
      <c r="Q34" s="1263" t="str">
        <f t="shared" si="11"/>
        <v>建筑结构</v>
      </c>
      <c r="R34" s="667" t="s">
        <v>18</v>
      </c>
      <c r="S34" s="668">
        <f t="shared" si="12"/>
        <v>100</v>
      </c>
      <c r="T34" s="667" t="s">
        <v>18</v>
      </c>
      <c r="U34" s="668">
        <f t="shared" si="13"/>
        <v>100</v>
      </c>
      <c r="V34" s="667" t="s">
        <v>18</v>
      </c>
      <c r="W34" s="668">
        <f t="shared" si="14"/>
        <v>100</v>
      </c>
      <c r="X34" s="1265"/>
      <c r="Y34" s="3440"/>
      <c r="Z34" s="1264" t="str">
        <f t="shared" si="18"/>
        <v>建筑结构</v>
      </c>
      <c r="AA34" s="1264">
        <f t="shared" si="15"/>
        <v>1</v>
      </c>
      <c r="AB34" s="1264">
        <f t="shared" si="16"/>
        <v>1</v>
      </c>
      <c r="AC34" s="1264">
        <f t="shared" si="17"/>
        <v>1</v>
      </c>
    </row>
    <row r="35" spans="1:29" ht="15">
      <c r="A35" s="409"/>
      <c r="B35" s="364" t="s">
        <v>1699</v>
      </c>
      <c r="C35" s="1759" t="s">
        <v>3485</v>
      </c>
      <c r="D35" s="374">
        <v>100</v>
      </c>
      <c r="E35" s="1759" t="s">
        <v>3485</v>
      </c>
      <c r="F35" s="400">
        <f>SUMIF(107:107,E35,108:108)-SUMIF(107:107,C35,108:108)+100</f>
        <v>100</v>
      </c>
      <c r="G35" s="1759" t="s">
        <v>3485</v>
      </c>
      <c r="H35" s="374">
        <f>SUMIF(107:107,G35,108:108)-SUMIF(107:107,C35,108:108)+100</f>
        <v>100</v>
      </c>
      <c r="I35" s="1759" t="s">
        <v>3485</v>
      </c>
      <c r="J35" s="374">
        <f>SUMIF(107:107,I35,108:108)-SUMIF(107:107,C35,108:108)+100</f>
        <v>100</v>
      </c>
      <c r="K35" s="365">
        <v>2</v>
      </c>
      <c r="L35" s="2490"/>
      <c r="M35" s="2485"/>
      <c r="N35" s="2485"/>
      <c r="O35" s="2485"/>
      <c r="P35" s="3438"/>
      <c r="Q35" s="1263" t="str">
        <f t="shared" si="11"/>
        <v>建筑品质</v>
      </c>
      <c r="R35" s="667" t="s">
        <v>18</v>
      </c>
      <c r="S35" s="668">
        <f t="shared" si="12"/>
        <v>100</v>
      </c>
      <c r="T35" s="667" t="s">
        <v>18</v>
      </c>
      <c r="U35" s="668">
        <f t="shared" si="13"/>
        <v>100</v>
      </c>
      <c r="V35" s="667" t="s">
        <v>18</v>
      </c>
      <c r="W35" s="668">
        <f t="shared" si="14"/>
        <v>100</v>
      </c>
      <c r="X35" s="1265"/>
      <c r="Y35" s="3440"/>
      <c r="Z35" s="1264" t="str">
        <f t="shared" si="18"/>
        <v>建筑品质</v>
      </c>
      <c r="AA35" s="1264">
        <f t="shared" si="15"/>
        <v>1</v>
      </c>
      <c r="AB35" s="1264">
        <f t="shared" si="16"/>
        <v>1</v>
      </c>
      <c r="AC35" s="1264">
        <f t="shared" si="17"/>
        <v>1</v>
      </c>
    </row>
    <row r="36" spans="1:29" ht="15">
      <c r="A36" s="409"/>
      <c r="B36" s="364" t="s">
        <v>1700</v>
      </c>
      <c r="C36" s="1759" t="s">
        <v>3483</v>
      </c>
      <c r="D36" s="374">
        <v>100</v>
      </c>
      <c r="E36" s="1759" t="s">
        <v>3483</v>
      </c>
      <c r="F36" s="400">
        <f>SUMIF(109:109,E36,110:110)-SUMIF(109:109,C36,110:110)+100</f>
        <v>100</v>
      </c>
      <c r="G36" s="1759" t="s">
        <v>3483</v>
      </c>
      <c r="H36" s="374">
        <f>SUMIF(109:109,G36,110:110)-SUMIF(109:109,C36,110:110)+100</f>
        <v>100</v>
      </c>
      <c r="I36" s="1759" t="s">
        <v>3483</v>
      </c>
      <c r="J36" s="374">
        <f>SUMIF(109:109,I36,110:110)-SUMIF(109:109,C36,110:110)+100</f>
        <v>100</v>
      </c>
      <c r="K36" s="365">
        <v>2</v>
      </c>
      <c r="L36" s="2490"/>
      <c r="M36" s="2485"/>
      <c r="N36" s="2485"/>
      <c r="O36" s="2485"/>
      <c r="P36" s="3438"/>
      <c r="Q36" s="1263" t="str">
        <f t="shared" si="11"/>
        <v>公共部分装修</v>
      </c>
      <c r="R36" s="667" t="s">
        <v>18</v>
      </c>
      <c r="S36" s="668">
        <f t="shared" si="12"/>
        <v>100</v>
      </c>
      <c r="T36" s="667" t="s">
        <v>18</v>
      </c>
      <c r="U36" s="668">
        <f t="shared" si="13"/>
        <v>100</v>
      </c>
      <c r="V36" s="667" t="s">
        <v>18</v>
      </c>
      <c r="W36" s="668">
        <f t="shared" si="14"/>
        <v>100</v>
      </c>
      <c r="X36" s="1265"/>
      <c r="Y36" s="3440"/>
      <c r="Z36" s="1264" t="str">
        <f t="shared" si="18"/>
        <v>公共部分装修</v>
      </c>
      <c r="AA36" s="1264">
        <f t="shared" si="15"/>
        <v>1</v>
      </c>
      <c r="AB36" s="1264">
        <f t="shared" si="16"/>
        <v>1</v>
      </c>
      <c r="AC36" s="1264">
        <f t="shared" si="17"/>
        <v>1</v>
      </c>
    </row>
    <row r="37" spans="1:29" s="102" customFormat="1" ht="15">
      <c r="A37" s="410"/>
      <c r="B37" s="364" t="s">
        <v>1701</v>
      </c>
      <c r="C37" s="411">
        <f>'数据-取费表'!N6</f>
        <v>0.62</v>
      </c>
      <c r="D37" s="119">
        <v>100</v>
      </c>
      <c r="E37" s="411">
        <f>C37</f>
        <v>0.62</v>
      </c>
      <c r="F37" s="364">
        <f>LOOKUP(E37,112:112,113:113)-LOOKUP(C37,112:112,113:113)+100</f>
        <v>100</v>
      </c>
      <c r="G37" s="413">
        <f>C37</f>
        <v>0.62</v>
      </c>
      <c r="H37" s="119">
        <f>LOOKUP(G37,112:112,113:113)-LOOKUP(C37,112:112,113:113)+100</f>
        <v>100</v>
      </c>
      <c r="I37" s="412">
        <f>C37</f>
        <v>0.62</v>
      </c>
      <c r="J37" s="119">
        <f>LOOKUP(I37,112:112,113:113)-LOOKUP(C37,112:112,113:113)+100</f>
        <v>100</v>
      </c>
      <c r="K37" s="365">
        <v>3</v>
      </c>
      <c r="L37" s="2486"/>
      <c r="M37" s="2437"/>
      <c r="N37" s="2437"/>
      <c r="O37" s="2437"/>
      <c r="P37" s="3438"/>
      <c r="Q37" s="530" t="str">
        <f t="shared" si="11"/>
        <v>成新度</v>
      </c>
      <c r="R37" s="664" t="s">
        <v>18</v>
      </c>
      <c r="S37" s="665">
        <f t="shared" si="12"/>
        <v>100</v>
      </c>
      <c r="T37" s="664" t="s">
        <v>18</v>
      </c>
      <c r="U37" s="665">
        <f t="shared" si="13"/>
        <v>100</v>
      </c>
      <c r="V37" s="664" t="s">
        <v>18</v>
      </c>
      <c r="W37" s="665">
        <f t="shared" si="14"/>
        <v>100</v>
      </c>
      <c r="X37" s="666"/>
      <c r="Y37" s="3440"/>
      <c r="Z37" s="50" t="str">
        <f t="shared" si="18"/>
        <v>成新度</v>
      </c>
      <c r="AA37" s="50">
        <f t="shared" si="15"/>
        <v>1</v>
      </c>
      <c r="AB37" s="50">
        <f t="shared" si="16"/>
        <v>1</v>
      </c>
      <c r="AC37" s="50">
        <f t="shared" si="17"/>
        <v>1</v>
      </c>
    </row>
    <row r="38" spans="1:29" ht="15">
      <c r="A38" s="409"/>
      <c r="B38" s="364" t="s">
        <v>1702</v>
      </c>
      <c r="C38" s="1759" t="s">
        <v>3467</v>
      </c>
      <c r="D38" s="374">
        <v>100</v>
      </c>
      <c r="E38" s="1759" t="s">
        <v>3467</v>
      </c>
      <c r="F38" s="400">
        <f>SUMIF(114:114,E38,115:115)-SUMIF(114:114,C38,115:115)+100</f>
        <v>100</v>
      </c>
      <c r="G38" s="1759" t="s">
        <v>3467</v>
      </c>
      <c r="H38" s="374">
        <f>SUMIF(114:114,G38,115:115)-SUMIF(114:114,C38,115:115)+100</f>
        <v>100</v>
      </c>
      <c r="I38" s="1759" t="s">
        <v>3467</v>
      </c>
      <c r="J38" s="374">
        <f>SUMIF(114:114,I38,115:115)-SUMIF(114:114,C38,115:115)+100</f>
        <v>100</v>
      </c>
      <c r="K38" s="365">
        <v>1</v>
      </c>
      <c r="L38" s="2490"/>
      <c r="M38" s="2485"/>
      <c r="N38" s="2485"/>
      <c r="O38" s="2485"/>
      <c r="P38" s="3438" t="s">
        <v>1696</v>
      </c>
      <c r="Q38" s="1263" t="str">
        <f t="shared" si="11"/>
        <v>物业管理</v>
      </c>
      <c r="R38" s="667" t="s">
        <v>18</v>
      </c>
      <c r="S38" s="668">
        <f t="shared" si="12"/>
        <v>100</v>
      </c>
      <c r="T38" s="667" t="s">
        <v>18</v>
      </c>
      <c r="U38" s="668">
        <f t="shared" si="13"/>
        <v>100</v>
      </c>
      <c r="V38" s="667" t="s">
        <v>18</v>
      </c>
      <c r="W38" s="668">
        <f t="shared" si="14"/>
        <v>100</v>
      </c>
      <c r="X38" s="1265"/>
      <c r="Y38" s="3440" t="s">
        <v>1696</v>
      </c>
      <c r="Z38" s="1264" t="str">
        <f t="shared" si="18"/>
        <v>物业管理</v>
      </c>
      <c r="AA38" s="1264">
        <f t="shared" si="15"/>
        <v>1</v>
      </c>
      <c r="AB38" s="1264">
        <f t="shared" si="16"/>
        <v>1</v>
      </c>
      <c r="AC38" s="1264">
        <f t="shared" si="17"/>
        <v>1</v>
      </c>
    </row>
    <row r="39" spans="1:29" ht="15">
      <c r="A39" s="409"/>
      <c r="B39" s="364" t="s">
        <v>1703</v>
      </c>
      <c r="C39" s="1759" t="s">
        <v>3471</v>
      </c>
      <c r="D39" s="374">
        <v>100</v>
      </c>
      <c r="E39" s="1759" t="s">
        <v>3471</v>
      </c>
      <c r="F39" s="400">
        <f>SUMIF(116:116,E39,117:117)-SUMIF(116:116,C39,117:117)+100</f>
        <v>100</v>
      </c>
      <c r="G39" s="1759" t="s">
        <v>3471</v>
      </c>
      <c r="H39" s="374">
        <f>SUMIF(116:116,G39,117:117)-SUMIF(116:116,C39,117:117)+100</f>
        <v>100</v>
      </c>
      <c r="I39" s="1759" t="s">
        <v>3471</v>
      </c>
      <c r="J39" s="374">
        <f>SUMIF(116:116,I39,117:117)-SUMIF(116:116,C39,117:117)+100</f>
        <v>100</v>
      </c>
      <c r="K39" s="365">
        <v>1</v>
      </c>
      <c r="L39" s="2490"/>
      <c r="M39" s="2485"/>
      <c r="N39" s="2485"/>
      <c r="O39" s="2485"/>
      <c r="P39" s="3438"/>
      <c r="Q39" s="1263" t="str">
        <f t="shared" si="11"/>
        <v>市政基础设施</v>
      </c>
      <c r="R39" s="667" t="s">
        <v>18</v>
      </c>
      <c r="S39" s="668">
        <f t="shared" si="12"/>
        <v>100</v>
      </c>
      <c r="T39" s="667" t="s">
        <v>18</v>
      </c>
      <c r="U39" s="668">
        <f t="shared" si="13"/>
        <v>100</v>
      </c>
      <c r="V39" s="667" t="s">
        <v>18</v>
      </c>
      <c r="W39" s="668">
        <f t="shared" si="14"/>
        <v>100</v>
      </c>
      <c r="X39" s="1265"/>
      <c r="Y39" s="3440"/>
      <c r="Z39" s="1264" t="str">
        <f t="shared" si="18"/>
        <v>市政基础设施</v>
      </c>
      <c r="AA39" s="1264">
        <f t="shared" si="15"/>
        <v>1</v>
      </c>
      <c r="AB39" s="1264">
        <f t="shared" si="16"/>
        <v>1</v>
      </c>
      <c r="AC39" s="1264">
        <f t="shared" si="17"/>
        <v>1</v>
      </c>
    </row>
    <row r="40" spans="1:29" ht="15">
      <c r="A40" s="409"/>
      <c r="B40" s="364" t="s">
        <v>1704</v>
      </c>
      <c r="C40" s="1759" t="s">
        <v>3486</v>
      </c>
      <c r="D40" s="374">
        <v>100</v>
      </c>
      <c r="E40" s="1759" t="s">
        <v>3486</v>
      </c>
      <c r="F40" s="400">
        <f>SUMIF(118:118,E40,119:119)-SUMIF(118:118,C40,119:119)+100</f>
        <v>100</v>
      </c>
      <c r="G40" s="1759" t="s">
        <v>3486</v>
      </c>
      <c r="H40" s="374">
        <f>SUMIF(118:118,G40,119:119)-SUMIF(118:118,C40,119:119)+100</f>
        <v>100</v>
      </c>
      <c r="I40" s="1759" t="s">
        <v>3486</v>
      </c>
      <c r="J40" s="374">
        <f>SUMIF(118:118,I40,119:119)-SUMIF(118:118,C40,119:119)+100</f>
        <v>100</v>
      </c>
      <c r="K40" s="365">
        <v>1</v>
      </c>
      <c r="L40" s="2490"/>
      <c r="M40" s="2485"/>
      <c r="N40" s="2485"/>
      <c r="O40" s="2485"/>
      <c r="P40" s="3438"/>
      <c r="Q40" s="1263" t="str">
        <f t="shared" si="11"/>
        <v>房型</v>
      </c>
      <c r="R40" s="667" t="s">
        <v>18</v>
      </c>
      <c r="S40" s="668">
        <f t="shared" si="12"/>
        <v>100</v>
      </c>
      <c r="T40" s="667" t="s">
        <v>18</v>
      </c>
      <c r="U40" s="668">
        <f t="shared" si="13"/>
        <v>100</v>
      </c>
      <c r="V40" s="667" t="s">
        <v>18</v>
      </c>
      <c r="W40" s="668">
        <f t="shared" si="14"/>
        <v>100</v>
      </c>
      <c r="X40" s="1265"/>
      <c r="Y40" s="3440"/>
      <c r="Z40" s="1264" t="str">
        <f t="shared" si="18"/>
        <v>房型</v>
      </c>
      <c r="AA40" s="1264">
        <f t="shared" si="15"/>
        <v>1</v>
      </c>
      <c r="AB40" s="1264">
        <f t="shared" si="16"/>
        <v>1</v>
      </c>
      <c r="AC40" s="1264">
        <f t="shared" si="17"/>
        <v>1</v>
      </c>
    </row>
    <row r="41" spans="1:29" s="408" customFormat="1" ht="28.8" hidden="1">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89"/>
      <c r="M41" s="2491"/>
      <c r="N41" s="2491"/>
      <c r="O41" s="2491"/>
      <c r="P41" s="3438"/>
      <c r="Q41" s="531" t="str">
        <f t="shared" si="11"/>
        <v>单套/主力户型建筑面积</v>
      </c>
      <c r="R41" s="669" t="s">
        <v>18</v>
      </c>
      <c r="S41" s="670">
        <f t="shared" si="12"/>
        <v>100</v>
      </c>
      <c r="T41" s="669" t="s">
        <v>18</v>
      </c>
      <c r="U41" s="670">
        <f t="shared" si="13"/>
        <v>100</v>
      </c>
      <c r="V41" s="669" t="s">
        <v>18</v>
      </c>
      <c r="W41" s="670">
        <f t="shared" si="14"/>
        <v>100</v>
      </c>
      <c r="X41" s="671"/>
      <c r="Y41" s="3440"/>
      <c r="Z41" s="672" t="str">
        <f t="shared" si="18"/>
        <v>单套/主力户型建筑面积</v>
      </c>
      <c r="AA41" s="1264">
        <f t="shared" si="15"/>
        <v>1</v>
      </c>
      <c r="AB41" s="1264">
        <f t="shared" si="16"/>
        <v>1</v>
      </c>
      <c r="AC41" s="1264">
        <f t="shared" si="17"/>
        <v>1</v>
      </c>
    </row>
    <row r="42" spans="1:29" ht="15">
      <c r="A42" s="409"/>
      <c r="B42" s="364" t="s">
        <v>1706</v>
      </c>
      <c r="C42" s="1759" t="s">
        <v>3483</v>
      </c>
      <c r="D42" s="374">
        <v>100</v>
      </c>
      <c r="E42" s="1759" t="s">
        <v>3483</v>
      </c>
      <c r="F42" s="400">
        <f>SUMIF(122:122,E42,123:123)-SUMIF(122:122,C42,123:123)+100</f>
        <v>100</v>
      </c>
      <c r="G42" s="1759" t="s">
        <v>3483</v>
      </c>
      <c r="H42" s="374">
        <f>SUMIF(122:122,G42,123:123)-SUMIF(122:122,C42,123:123)+100</f>
        <v>100</v>
      </c>
      <c r="I42" s="1759" t="s">
        <v>3483</v>
      </c>
      <c r="J42" s="374">
        <f>SUMIF(122:122,I42,123:123)-SUMIF(122:122,C42,123:123)+100</f>
        <v>100</v>
      </c>
      <c r="K42" s="365">
        <v>2</v>
      </c>
      <c r="L42" s="2490"/>
      <c r="M42" s="2485"/>
      <c r="N42" s="2485"/>
      <c r="O42" s="2485"/>
      <c r="P42" s="3438"/>
      <c r="Q42" s="1263" t="str">
        <f t="shared" si="11"/>
        <v>内部装修</v>
      </c>
      <c r="R42" s="667" t="s">
        <v>18</v>
      </c>
      <c r="S42" s="668">
        <f t="shared" si="12"/>
        <v>100</v>
      </c>
      <c r="T42" s="667" t="s">
        <v>18</v>
      </c>
      <c r="U42" s="668">
        <f t="shared" si="13"/>
        <v>100</v>
      </c>
      <c r="V42" s="667" t="s">
        <v>18</v>
      </c>
      <c r="W42" s="668">
        <f t="shared" si="14"/>
        <v>100</v>
      </c>
      <c r="X42" s="1265"/>
      <c r="Y42" s="3440"/>
      <c r="Z42" s="1264" t="str">
        <f t="shared" si="18"/>
        <v>内部装修</v>
      </c>
      <c r="AA42" s="1264">
        <f t="shared" si="15"/>
        <v>1</v>
      </c>
      <c r="AB42" s="1264">
        <f t="shared" si="16"/>
        <v>1</v>
      </c>
      <c r="AC42" s="1264">
        <f t="shared" si="17"/>
        <v>1</v>
      </c>
    </row>
    <row r="43" spans="1:29" ht="28.8">
      <c r="A43" s="409"/>
      <c r="B43" s="364" t="s">
        <v>1707</v>
      </c>
      <c r="C43" s="1759" t="s">
        <v>3487</v>
      </c>
      <c r="D43" s="374">
        <v>100</v>
      </c>
      <c r="E43" s="1759" t="s">
        <v>3487</v>
      </c>
      <c r="F43" s="400">
        <f>SUMIF(124:124,E43,125:125)-SUMIF(124:124,C43,125:125)+100</f>
        <v>100</v>
      </c>
      <c r="G43" s="1759" t="s">
        <v>3487</v>
      </c>
      <c r="H43" s="374">
        <f>SUMIF(124:124,G43,125:125)-SUMIF(124:124,C43,125:125)+100</f>
        <v>100</v>
      </c>
      <c r="I43" s="1759" t="s">
        <v>3487</v>
      </c>
      <c r="J43" s="374">
        <f>SUMIF(124:124,I43,125:125)-SUMIF(124:124,C43,125:125)+100</f>
        <v>100</v>
      </c>
      <c r="K43" s="365">
        <v>1</v>
      </c>
      <c r="L43" s="2490"/>
      <c r="M43" s="2485"/>
      <c r="N43" s="2485"/>
      <c r="O43" s="2485"/>
      <c r="P43" s="3438"/>
      <c r="Q43" s="1263" t="str">
        <f t="shared" si="11"/>
        <v>内部装修维护情况</v>
      </c>
      <c r="R43" s="667" t="s">
        <v>18</v>
      </c>
      <c r="S43" s="668">
        <f t="shared" si="12"/>
        <v>100</v>
      </c>
      <c r="T43" s="667" t="s">
        <v>18</v>
      </c>
      <c r="U43" s="668">
        <f t="shared" si="13"/>
        <v>100</v>
      </c>
      <c r="V43" s="667" t="s">
        <v>18</v>
      </c>
      <c r="W43" s="668">
        <f t="shared" si="14"/>
        <v>100</v>
      </c>
      <c r="X43" s="1265"/>
      <c r="Y43" s="3440"/>
      <c r="Z43" s="1264" t="str">
        <f t="shared" si="18"/>
        <v>内部装修维护情况</v>
      </c>
      <c r="AA43" s="1264">
        <f t="shared" si="15"/>
        <v>1</v>
      </c>
      <c r="AB43" s="1264">
        <f t="shared" si="16"/>
        <v>1</v>
      </c>
      <c r="AC43" s="1264">
        <f t="shared" si="17"/>
        <v>1</v>
      </c>
    </row>
    <row r="44" spans="1:29" s="102" customFormat="1" ht="15">
      <c r="A44" s="410"/>
      <c r="B44" s="3165" t="s">
        <v>3552</v>
      </c>
      <c r="C44" s="3175" t="s">
        <v>3553</v>
      </c>
      <c r="D44" s="119">
        <v>100</v>
      </c>
      <c r="E44" s="3175" t="s">
        <v>3553</v>
      </c>
      <c r="F44" s="364">
        <f>SUMIF(126:126,E44,127:127)-SUMIF(126:126,C44,127:127)+100</f>
        <v>100</v>
      </c>
      <c r="G44" s="3175" t="s">
        <v>3554</v>
      </c>
      <c r="H44" s="119">
        <f>SUMIF(126:126,G44,127:127)-SUMIF(126:126,C44,127:127)+100</f>
        <v>102</v>
      </c>
      <c r="I44" s="3175" t="s">
        <v>3555</v>
      </c>
      <c r="J44" s="119">
        <f>SUMIF(126:126,I44,127:127)-SUMIF(126:126,C44,127:127)+100</f>
        <v>102</v>
      </c>
      <c r="K44" s="1747"/>
      <c r="L44" s="2486"/>
      <c r="M44" s="2437"/>
      <c r="N44" s="2437"/>
      <c r="O44" s="2437"/>
      <c r="P44" s="3438"/>
      <c r="Q44" s="530" t="str">
        <f t="shared" si="11"/>
        <v>采光</v>
      </c>
      <c r="R44" s="664" t="s">
        <v>18</v>
      </c>
      <c r="S44" s="665">
        <f t="shared" si="12"/>
        <v>100</v>
      </c>
      <c r="T44" s="664" t="s">
        <v>18</v>
      </c>
      <c r="U44" s="665">
        <f t="shared" si="13"/>
        <v>102</v>
      </c>
      <c r="V44" s="664" t="s">
        <v>18</v>
      </c>
      <c r="W44" s="665">
        <f t="shared" si="14"/>
        <v>102</v>
      </c>
      <c r="X44" s="666"/>
      <c r="Y44" s="3440"/>
      <c r="Z44" s="50" t="str">
        <f t="shared" si="18"/>
        <v>采光</v>
      </c>
      <c r="AA44" s="50">
        <f t="shared" si="15"/>
        <v>1</v>
      </c>
      <c r="AB44" s="50">
        <f t="shared" si="16"/>
        <v>0.98039215686274506</v>
      </c>
      <c r="AC44" s="50">
        <f t="shared" si="17"/>
        <v>0.98039215686274506</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0"/>
      <c r="M45" s="2485"/>
      <c r="N45" s="2485"/>
      <c r="O45" s="2485"/>
      <c r="P45" s="3438"/>
      <c r="Q45" s="1263">
        <f t="shared" si="11"/>
        <v>111</v>
      </c>
      <c r="R45" s="667" t="s">
        <v>18</v>
      </c>
      <c r="S45" s="668">
        <f t="shared" si="12"/>
        <v>100</v>
      </c>
      <c r="T45" s="667" t="s">
        <v>18</v>
      </c>
      <c r="U45" s="668">
        <f t="shared" si="13"/>
        <v>100</v>
      </c>
      <c r="V45" s="667" t="s">
        <v>18</v>
      </c>
      <c r="W45" s="668">
        <f t="shared" si="14"/>
        <v>100</v>
      </c>
      <c r="X45" s="1265"/>
      <c r="Y45" s="3440"/>
      <c r="Z45" s="1264">
        <f t="shared" si="18"/>
        <v>111</v>
      </c>
      <c r="AA45" s="1264">
        <f t="shared" si="15"/>
        <v>1</v>
      </c>
      <c r="AB45" s="1264">
        <f t="shared" si="16"/>
        <v>1</v>
      </c>
      <c r="AC45" s="1264">
        <f t="shared" si="17"/>
        <v>1</v>
      </c>
    </row>
    <row r="46" spans="1:29" ht="15.6"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0"/>
      <c r="M46" s="2485"/>
      <c r="N46" s="2485"/>
      <c r="O46" s="2485"/>
      <c r="P46" s="3439"/>
      <c r="Q46" s="1263">
        <f t="shared" si="11"/>
        <v>111</v>
      </c>
      <c r="R46" s="667" t="s">
        <v>17</v>
      </c>
      <c r="S46" s="668">
        <f t="shared" si="12"/>
        <v>100</v>
      </c>
      <c r="T46" s="667" t="s">
        <v>17</v>
      </c>
      <c r="U46" s="668">
        <f t="shared" si="13"/>
        <v>100</v>
      </c>
      <c r="V46" s="667" t="s">
        <v>17</v>
      </c>
      <c r="W46" s="668">
        <f t="shared" si="14"/>
        <v>100</v>
      </c>
      <c r="X46" s="1265"/>
      <c r="Y46" s="3441"/>
      <c r="Z46" s="1264">
        <f t="shared" si="18"/>
        <v>111</v>
      </c>
      <c r="AA46" s="1264">
        <f t="shared" si="15"/>
        <v>1</v>
      </c>
      <c r="AB46" s="1264">
        <f t="shared" si="16"/>
        <v>1</v>
      </c>
      <c r="AC46" s="1264">
        <f t="shared" si="17"/>
        <v>1</v>
      </c>
    </row>
    <row r="47" spans="1:29" ht="14.4">
      <c r="A47" s="416" t="s">
        <v>1708</v>
      </c>
      <c r="B47" s="417"/>
      <c r="C47" s="1081" t="s">
        <v>16</v>
      </c>
      <c r="D47" s="418"/>
      <c r="E47" s="419">
        <f>成交!K24</f>
        <v>52273</v>
      </c>
      <c r="F47" s="420"/>
      <c r="G47" s="421">
        <f>成交!K25</f>
        <v>50344</v>
      </c>
      <c r="H47" s="422"/>
      <c r="I47" s="419">
        <f>成交!L26</f>
        <v>56726</v>
      </c>
      <c r="J47" s="422"/>
      <c r="K47" s="1764"/>
      <c r="L47" s="2492"/>
      <c r="M47" s="2485"/>
      <c r="N47" s="2485"/>
      <c r="O47" s="2485"/>
      <c r="P47" s="3434" t="str">
        <f>A47</f>
        <v>成交单价（元/平方米）</v>
      </c>
      <c r="Q47" s="3434"/>
      <c r="R47" s="3429">
        <f>E47</f>
        <v>52273</v>
      </c>
      <c r="S47" s="3429"/>
      <c r="T47" s="3429">
        <f>G47</f>
        <v>50344</v>
      </c>
      <c r="U47" s="3429"/>
      <c r="V47" s="3429">
        <f>I47</f>
        <v>56726</v>
      </c>
      <c r="W47" s="3429"/>
      <c r="X47" s="385"/>
      <c r="Y47" s="673"/>
      <c r="Z47" s="385"/>
      <c r="AA47" s="385"/>
      <c r="AB47" s="385"/>
      <c r="AC47" s="385"/>
    </row>
    <row r="48" spans="1:29" ht="15" thickBot="1">
      <c r="A48" s="423" t="s">
        <v>1709</v>
      </c>
      <c r="B48" s="424"/>
      <c r="C48" s="1082">
        <f>R49</f>
        <v>55084</v>
      </c>
      <c r="D48" s="2138" t="s">
        <v>2138</v>
      </c>
      <c r="E48" s="1083">
        <f>R48</f>
        <v>53074</v>
      </c>
      <c r="F48" s="2139"/>
      <c r="G48" s="1082">
        <f>T48</f>
        <v>51158</v>
      </c>
      <c r="H48" s="2139"/>
      <c r="I48" s="1083">
        <f>V48</f>
        <v>61019</v>
      </c>
      <c r="J48" s="2139"/>
      <c r="K48" s="2140">
        <f>F48+H48+J48</f>
        <v>0</v>
      </c>
      <c r="L48" s="2492"/>
      <c r="M48" s="2485"/>
      <c r="N48" s="2485"/>
      <c r="O48" s="2485"/>
      <c r="P48" s="3434" t="str">
        <f>A48</f>
        <v>比较价值（元/平方米）</v>
      </c>
      <c r="Q48" s="3434"/>
      <c r="R48" s="3429">
        <f>IF(F1="售价",ROUND(PRODUCT(R47,AA7:AA46),0),ROUND(PRODUCT(R47,AA7:AA46),1))</f>
        <v>53074</v>
      </c>
      <c r="S48" s="3429"/>
      <c r="T48" s="3429">
        <f>IF(F1="售价",ROUND(PRODUCT(T47,AB7:AB46),0),ROUND(PRODUCT(T47,AB7:AB46),1))</f>
        <v>51158</v>
      </c>
      <c r="U48" s="3429"/>
      <c r="V48" s="3429">
        <f>IF(F1="售价",ROUND(PRODUCT(V47,AC7:AC46),0),ROUND(PRODUCT(V47,AC7:AC46),1))</f>
        <v>61019</v>
      </c>
      <c r="W48" s="3429"/>
      <c r="X48" s="385"/>
      <c r="Y48" s="385"/>
      <c r="Z48" s="385"/>
      <c r="AA48" s="385"/>
      <c r="AB48" s="385"/>
      <c r="AC48" s="385"/>
    </row>
    <row r="49" spans="1:29" ht="15" thickBot="1">
      <c r="A49" s="427" t="s">
        <v>1710</v>
      </c>
      <c r="B49" s="428"/>
      <c r="C49" s="1084">
        <f>R49</f>
        <v>55084</v>
      </c>
      <c r="D49" s="351"/>
      <c r="E49" s="351"/>
      <c r="F49" s="351"/>
      <c r="G49" s="351"/>
      <c r="H49" s="351"/>
      <c r="I49" s="351"/>
      <c r="J49" s="351"/>
      <c r="K49" s="1765"/>
      <c r="L49" s="2492"/>
      <c r="M49" s="2485"/>
      <c r="N49" s="2485"/>
      <c r="O49" s="2485"/>
      <c r="P49" s="3431" t="str">
        <f>A49</f>
        <v>估价对象XX用房的比较价值（楼面单价，元/平方米）</v>
      </c>
      <c r="Q49" s="3432"/>
      <c r="R49" s="3433">
        <f>IF(F1="售价",ROUND(IF(D48="简单平均",AVERAGE(R48:V48),R48*F48+T48*H48+V48*J48),0),ROUND(IF(D48="简单平均",AVERAGE(R48:V48),R48*F48+T48*H48+V48*J48),1))</f>
        <v>55084</v>
      </c>
      <c r="S49" s="3433"/>
      <c r="T49" s="3433"/>
      <c r="U49" s="3433"/>
      <c r="V49" s="3433"/>
      <c r="W49" s="3433"/>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f>IF(E47&lt;E48,E48/E47-1,E47/E48-1)</f>
        <v>1.532339831270435E-2</v>
      </c>
      <c r="F52" s="435" t="str">
        <f>IF(OR(E52&gt;=0.3,E52&lt;=-0.3),"超过30%","")</f>
        <v/>
      </c>
      <c r="G52" s="434">
        <f>IF(G47&lt;G48,G48/G47-1,G47/G48-1)</f>
        <v>1.6168758938503114E-2</v>
      </c>
      <c r="H52" s="435" t="str">
        <f>IF(OR(G52&gt;=0.3,G52&lt;=-0.3),"超过30%","")</f>
        <v/>
      </c>
      <c r="I52" s="434">
        <f>IF(I47&lt;I48,I48/I47-1,I47/I48-1)</f>
        <v>7.5679582554736724E-2</v>
      </c>
      <c r="J52" s="435" t="str">
        <f>IF(OR(I52&gt;=0.3,I52&lt;=-0.3),"超过30%","")</f>
        <v/>
      </c>
      <c r="K52" s="2497"/>
      <c r="L52" s="2493"/>
      <c r="M52" s="2485"/>
      <c r="N52" s="2485"/>
      <c r="O52" s="2485"/>
    </row>
    <row r="53" spans="1:29" ht="13.5" customHeight="1">
      <c r="A53" s="2485"/>
      <c r="B53" s="2485"/>
      <c r="C53" s="432" t="s">
        <v>1712</v>
      </c>
      <c r="D53" s="436"/>
      <c r="E53" s="434">
        <f>IF(E48&lt;G48,G48/E48-1,E48/G48-1)</f>
        <v>3.7452597834160883E-2</v>
      </c>
      <c r="F53" s="435" t="str">
        <f>IF(OR(E53&gt;=0.2,E53&lt;=-0.2),"超过20%","")</f>
        <v/>
      </c>
      <c r="G53" s="434">
        <f>IF(G48&lt;I48,I48/G48-1,G48/I48-1)</f>
        <v>0.19275577622268258</v>
      </c>
      <c r="H53" s="435" t="str">
        <f>IF(OR(G53&gt;=0.2,G53&lt;=-0.2),"超过20%","")</f>
        <v/>
      </c>
      <c r="I53" s="434">
        <f>IF(I48&lt;E48,E48/I48-1,I48/E48-1)</f>
        <v>0.14969664996043264</v>
      </c>
      <c r="J53" s="435" t="str">
        <f>IF(OR(I53&gt;=0.2,I53&lt;=-0.2),"超过20%","")</f>
        <v/>
      </c>
      <c r="K53" s="2497"/>
      <c r="L53" s="2493"/>
      <c r="M53" s="2485"/>
      <c r="N53" s="2485"/>
      <c r="O53" s="2485"/>
    </row>
    <row r="54" spans="1:29" s="437" customFormat="1" ht="13.5" customHeight="1">
      <c r="A54" s="2495"/>
      <c r="B54" s="2495"/>
      <c r="C54" s="432" t="s">
        <v>1713</v>
      </c>
      <c r="D54" s="436"/>
      <c r="E54" s="434">
        <f>IF(E47&lt;G47,G47/E47-1,E47/G47-1)</f>
        <v>3.83163832830129E-2</v>
      </c>
      <c r="F54" s="435" t="str">
        <f>IF(OR(E54&gt;=0.3,E54&lt;=-0.3),"超过30%","")</f>
        <v/>
      </c>
      <c r="G54" s="434">
        <f>IF(G47&lt;I47,I47/G47-1,G47/I47-1)</f>
        <v>0.1267678372795169</v>
      </c>
      <c r="H54" s="435" t="str">
        <f>IF(OR(G54&gt;=0.3,G54&lt;=-0.3),"超过30%","")</f>
        <v/>
      </c>
      <c r="I54" s="434">
        <f>IF(I47&lt;E47,E47/I47-1,I47/E47-1)</f>
        <v>8.5187381631052439E-2</v>
      </c>
      <c r="J54" s="435" t="str">
        <f>IF(OR(I54&gt;=0.3,I54&lt;=-0.3),"超过30%","")</f>
        <v/>
      </c>
      <c r="K54" s="2500"/>
      <c r="L54" s="2494"/>
      <c r="M54" s="2495"/>
      <c r="N54" s="2495"/>
      <c r="O54" s="2495"/>
      <c r="P54" s="1767"/>
    </row>
    <row r="55" spans="1:29" s="437" customFormat="1">
      <c r="A55" s="2495"/>
      <c r="B55" s="2498"/>
      <c r="C55" s="2499"/>
      <c r="D55" s="2495"/>
      <c r="E55" s="2495"/>
      <c r="F55" s="2495"/>
      <c r="G55" s="2495"/>
      <c r="H55" s="2495"/>
      <c r="I55" s="2495"/>
      <c r="J55" s="2495"/>
      <c r="K55" s="2500"/>
      <c r="L55" s="2494"/>
      <c r="M55" s="2495"/>
      <c r="N55" s="2495"/>
      <c r="O55" s="2495"/>
      <c r="P55" s="1767"/>
    </row>
    <row r="56" spans="1:29">
      <c r="A56" s="2485"/>
      <c r="B56" s="2498"/>
      <c r="C56" s="2499"/>
      <c r="D56" s="2485"/>
      <c r="E56" s="2485"/>
      <c r="F56" s="2485"/>
      <c r="G56" s="2485" t="s">
        <v>3505</v>
      </c>
      <c r="H56" s="2485"/>
      <c r="I56" s="2485"/>
      <c r="J56" s="2485"/>
      <c r="K56" s="2497"/>
      <c r="L56" s="2493"/>
      <c r="M56" s="2485"/>
      <c r="N56" s="2485"/>
      <c r="O56" s="2485"/>
    </row>
    <row r="57" spans="1:29" ht="22.2" thickBot="1">
      <c r="A57" s="658" t="s">
        <v>1714</v>
      </c>
      <c r="B57" s="385"/>
      <c r="C57" s="659"/>
      <c r="D57" s="659"/>
      <c r="E57" s="659"/>
      <c r="F57" s="660"/>
      <c r="G57" s="660"/>
      <c r="H57" s="659"/>
      <c r="I57" s="659"/>
      <c r="J57" s="659"/>
      <c r="K57" s="887"/>
      <c r="L57" s="888"/>
      <c r="M57" s="886"/>
      <c r="N57" s="886"/>
      <c r="O57" s="886"/>
      <c r="P57" s="1768"/>
      <c r="Q57" s="439"/>
    </row>
    <row r="58" spans="1:29" s="442" customFormat="1" ht="14.4">
      <c r="A58" s="440" t="s">
        <v>1715</v>
      </c>
      <c r="B58" s="441"/>
      <c r="C58" s="1105" t="str">
        <f>YEAR(C7)&amp;"-"&amp;MONTH(C7)</f>
        <v>2025-4</v>
      </c>
      <c r="D58" s="1104">
        <f>EDATE(C58,-1)</f>
        <v>45717</v>
      </c>
      <c r="E58" s="1104">
        <f>EDATE(D58,-1)</f>
        <v>45689</v>
      </c>
      <c r="F58" s="1104">
        <f t="shared" ref="F58:O58" si="19">EDATE(E58,-1)</f>
        <v>45658</v>
      </c>
      <c r="G58" s="1104">
        <f t="shared" si="19"/>
        <v>45627</v>
      </c>
      <c r="H58" s="1104">
        <f t="shared" si="19"/>
        <v>45597</v>
      </c>
      <c r="I58" s="1104">
        <f t="shared" si="19"/>
        <v>45566</v>
      </c>
      <c r="J58" s="1104">
        <f t="shared" si="19"/>
        <v>45536</v>
      </c>
      <c r="K58" s="1104">
        <f t="shared" si="19"/>
        <v>45505</v>
      </c>
      <c r="L58" s="1104">
        <f t="shared" si="19"/>
        <v>45474</v>
      </c>
      <c r="M58" s="1104">
        <f t="shared" si="19"/>
        <v>45444</v>
      </c>
      <c r="N58" s="1104">
        <f t="shared" si="19"/>
        <v>45413</v>
      </c>
      <c r="O58" s="1104">
        <f t="shared" si="19"/>
        <v>45383</v>
      </c>
      <c r="P58" s="1100"/>
    </row>
    <row r="59" spans="1:29" s="102" customFormat="1">
      <c r="A59" s="443"/>
      <c r="B59" s="1769"/>
      <c r="C59" s="1102">
        <v>100</v>
      </c>
      <c r="D59" s="445">
        <v>100</v>
      </c>
      <c r="E59" s="446">
        <v>100</v>
      </c>
      <c r="F59" s="446">
        <v>100</v>
      </c>
      <c r="G59" s="446">
        <v>100.5</v>
      </c>
      <c r="H59" s="446">
        <v>100.5</v>
      </c>
      <c r="I59" s="446">
        <v>100.5</v>
      </c>
      <c r="J59" s="446">
        <v>100.5</v>
      </c>
      <c r="K59" s="446">
        <v>100.5</v>
      </c>
      <c r="L59" s="446">
        <v>100.5</v>
      </c>
      <c r="M59" s="447">
        <v>101</v>
      </c>
      <c r="N59" s="446">
        <v>101</v>
      </c>
      <c r="O59" s="447">
        <v>101</v>
      </c>
      <c r="P59" s="1770"/>
    </row>
    <row r="60" spans="1:29" s="102" customFormat="1" ht="15" thickBot="1">
      <c r="A60" s="449" t="s">
        <v>1716</v>
      </c>
      <c r="B60" s="450"/>
      <c r="C60" s="451"/>
      <c r="D60" s="452"/>
      <c r="E60" s="452"/>
      <c r="F60" s="452"/>
      <c r="G60" s="452"/>
      <c r="H60" s="452"/>
      <c r="I60" s="452"/>
      <c r="J60" s="452"/>
      <c r="K60" s="452"/>
      <c r="L60" s="452"/>
      <c r="M60" s="453"/>
      <c r="N60" s="452"/>
      <c r="O60" s="453"/>
      <c r="P60" s="1770"/>
      <c r="Q60" s="439"/>
    </row>
    <row r="61" spans="1:29" s="102" customFormat="1" ht="14.4">
      <c r="A61" s="455" t="s">
        <v>1717</v>
      </c>
      <c r="B61" s="444"/>
      <c r="C61" s="456" t="s">
        <v>1718</v>
      </c>
      <c r="D61" s="31"/>
      <c r="E61" s="31"/>
      <c r="F61" s="31"/>
      <c r="G61" s="31"/>
      <c r="H61" s="31"/>
      <c r="I61" s="31"/>
      <c r="J61" s="31"/>
      <c r="K61" s="31"/>
      <c r="L61" s="457"/>
      <c r="M61" s="458"/>
      <c r="N61" s="878"/>
      <c r="O61" s="878"/>
      <c r="P61" s="1771"/>
      <c r="Q61" s="439"/>
    </row>
    <row r="62" spans="1:29" s="102" customFormat="1" ht="14.4" thickBot="1">
      <c r="A62" s="455"/>
      <c r="B62" s="444"/>
      <c r="C62" s="445">
        <v>100</v>
      </c>
      <c r="D62" s="446"/>
      <c r="E62" s="446"/>
      <c r="F62" s="446"/>
      <c r="G62" s="446"/>
      <c r="H62" s="446"/>
      <c r="I62" s="446"/>
      <c r="J62" s="446"/>
      <c r="K62" s="446"/>
      <c r="L62" s="446"/>
      <c r="M62" s="448"/>
      <c r="N62" s="878"/>
      <c r="O62" s="878"/>
      <c r="P62" s="1770"/>
      <c r="Q62" s="439"/>
    </row>
    <row r="63" spans="1:29" ht="14.4">
      <c r="A63" s="379" t="s">
        <v>1719</v>
      </c>
      <c r="B63" s="460" t="s">
        <v>1685</v>
      </c>
      <c r="C63" s="461" t="str">
        <f>C9</f>
        <v>住宅</v>
      </c>
      <c r="D63" s="3172" t="s">
        <v>3484</v>
      </c>
      <c r="E63" s="462"/>
      <c r="F63" s="462"/>
      <c r="G63" s="462"/>
      <c r="H63" s="462"/>
      <c r="I63" s="462"/>
      <c r="J63" s="462"/>
      <c r="K63" s="463"/>
      <c r="L63" s="464"/>
      <c r="M63" s="465"/>
      <c r="N63" s="879"/>
      <c r="O63" s="879"/>
      <c r="P63" s="1772"/>
      <c r="Q63" s="439"/>
    </row>
    <row r="64" spans="1:29" ht="14.4" thickBot="1">
      <c r="A64" s="367"/>
      <c r="B64" s="466"/>
      <c r="C64" s="467">
        <v>100</v>
      </c>
      <c r="D64" s="467">
        <v>100</v>
      </c>
      <c r="E64" s="467"/>
      <c r="F64" s="467"/>
      <c r="G64" s="467"/>
      <c r="H64" s="467"/>
      <c r="I64" s="467"/>
      <c r="J64" s="467"/>
      <c r="K64" s="467"/>
      <c r="L64" s="467"/>
      <c r="M64" s="468"/>
      <c r="N64" s="880"/>
      <c r="O64" s="880"/>
      <c r="P64" s="1772"/>
      <c r="Q64" s="439"/>
    </row>
    <row r="65" spans="1:17" ht="29.4" thickTop="1">
      <c r="A65" s="367"/>
      <c r="B65" s="469" t="s">
        <v>1688</v>
      </c>
      <c r="C65" s="513"/>
      <c r="D65" s="513"/>
      <c r="E65" s="513"/>
      <c r="F65" s="513"/>
      <c r="G65" s="513"/>
      <c r="H65" s="513"/>
      <c r="I65" s="513"/>
      <c r="J65" s="513"/>
      <c r="K65" s="513"/>
      <c r="L65" s="513"/>
      <c r="M65" s="513"/>
      <c r="N65" s="880"/>
      <c r="O65" s="880"/>
      <c r="P65" s="1772"/>
      <c r="Q65" s="439"/>
    </row>
    <row r="66" spans="1:17" ht="14.4" thickBot="1">
      <c r="A66" s="367"/>
      <c r="B66" s="474"/>
      <c r="C66" s="467"/>
      <c r="D66" s="467"/>
      <c r="E66" s="467"/>
      <c r="F66" s="467"/>
      <c r="G66" s="467"/>
      <c r="H66" s="467"/>
      <c r="I66" s="467"/>
      <c r="J66" s="467"/>
      <c r="K66" s="467"/>
      <c r="L66" s="467"/>
      <c r="M66" s="468"/>
      <c r="N66" s="880"/>
      <c r="O66" s="880"/>
      <c r="P66" s="1772"/>
      <c r="Q66" s="439"/>
    </row>
    <row r="67" spans="1:17" ht="15" thickTop="1">
      <c r="A67" s="367"/>
      <c r="B67" s="477" t="s">
        <v>1689</v>
      </c>
      <c r="C67" s="478" t="str">
        <f>C68&amp;"（含）"&amp;"-"&amp;D68</f>
        <v>0（含）-1</v>
      </c>
      <c r="D67" s="478" t="str">
        <f t="shared" ref="D67:L67" si="20">D68&amp;"（含）"&amp;"-"&amp;E68</f>
        <v>1（含）-2</v>
      </c>
      <c r="E67" s="478" t="str">
        <f t="shared" si="20"/>
        <v>2（含）-3</v>
      </c>
      <c r="F67" s="478" t="str">
        <f t="shared" si="20"/>
        <v>3（含）-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2"/>
      <c r="Q67" s="439"/>
    </row>
    <row r="68" spans="1:17">
      <c r="A68" s="367"/>
      <c r="B68" s="479"/>
      <c r="C68" s="480">
        <v>0</v>
      </c>
      <c r="D68" s="480">
        <v>1</v>
      </c>
      <c r="E68" s="480">
        <v>2</v>
      </c>
      <c r="F68" s="480">
        <v>3</v>
      </c>
      <c r="G68" s="480"/>
      <c r="H68" s="480"/>
      <c r="I68" s="480"/>
      <c r="J68" s="480"/>
      <c r="K68" s="481"/>
      <c r="L68" s="482"/>
      <c r="M68" s="483"/>
      <c r="N68" s="879"/>
      <c r="O68" s="879"/>
      <c r="P68" s="1772"/>
      <c r="Q68" s="439"/>
    </row>
    <row r="69" spans="1:17" ht="14.4" thickBot="1">
      <c r="A69" s="367"/>
      <c r="B69" s="466"/>
      <c r="C69" s="475">
        <v>100</v>
      </c>
      <c r="D69" s="475">
        <f t="shared" ref="D69:M69" si="21">C69-$K11</f>
        <v>99</v>
      </c>
      <c r="E69" s="475">
        <f t="shared" si="21"/>
        <v>98</v>
      </c>
      <c r="F69" s="475">
        <f t="shared" si="21"/>
        <v>97</v>
      </c>
      <c r="G69" s="475">
        <f t="shared" si="21"/>
        <v>96</v>
      </c>
      <c r="H69" s="475">
        <f t="shared" si="21"/>
        <v>95</v>
      </c>
      <c r="I69" s="475">
        <f t="shared" si="21"/>
        <v>94</v>
      </c>
      <c r="J69" s="475">
        <f t="shared" si="21"/>
        <v>93</v>
      </c>
      <c r="K69" s="475">
        <f t="shared" si="21"/>
        <v>92</v>
      </c>
      <c r="L69" s="475">
        <f t="shared" si="21"/>
        <v>91</v>
      </c>
      <c r="M69" s="476">
        <f t="shared" si="21"/>
        <v>90</v>
      </c>
      <c r="N69" s="880"/>
      <c r="O69" s="880"/>
      <c r="P69" s="1772"/>
      <c r="Q69" s="439"/>
    </row>
    <row r="70" spans="1:17" s="408" customFormat="1" ht="14.4" thickTop="1">
      <c r="A70" s="484"/>
      <c r="B70" s="469">
        <f>B12</f>
        <v>111</v>
      </c>
      <c r="C70" s="485"/>
      <c r="D70" s="485"/>
      <c r="E70" s="485"/>
      <c r="F70" s="485"/>
      <c r="G70" s="485"/>
      <c r="H70" s="486"/>
      <c r="I70" s="486"/>
      <c r="J70" s="486"/>
      <c r="K70" s="486"/>
      <c r="L70" s="487"/>
      <c r="M70" s="488"/>
      <c r="N70" s="881"/>
      <c r="O70" s="881"/>
      <c r="P70" s="1773"/>
      <c r="Q70" s="490"/>
    </row>
    <row r="71" spans="1:17" s="408" customFormat="1" ht="14.4" thickBot="1">
      <c r="A71" s="484"/>
      <c r="B71" s="474"/>
      <c r="C71" s="491"/>
      <c r="D71" s="467"/>
      <c r="E71" s="467"/>
      <c r="F71" s="467"/>
      <c r="G71" s="467"/>
      <c r="H71" s="467"/>
      <c r="I71" s="467"/>
      <c r="J71" s="467"/>
      <c r="K71" s="467"/>
      <c r="L71" s="467"/>
      <c r="M71" s="468"/>
      <c r="N71" s="880"/>
      <c r="O71" s="880"/>
      <c r="P71" s="1773"/>
      <c r="Q71" s="490"/>
    </row>
    <row r="72" spans="1:17" s="408" customFormat="1" ht="14.4" thickTop="1">
      <c r="A72" s="484"/>
      <c r="B72" s="469">
        <f>B13</f>
        <v>111</v>
      </c>
      <c r="C72" s="485"/>
      <c r="D72" s="485"/>
      <c r="E72" s="485"/>
      <c r="F72" s="485"/>
      <c r="G72" s="485"/>
      <c r="H72" s="486"/>
      <c r="I72" s="486"/>
      <c r="J72" s="486"/>
      <c r="K72" s="486"/>
      <c r="L72" s="487"/>
      <c r="M72" s="488"/>
      <c r="N72" s="881"/>
      <c r="O72" s="881"/>
      <c r="P72" s="1774"/>
      <c r="Q72" s="492"/>
    </row>
    <row r="73" spans="1:17" s="408" customFormat="1" ht="14.4" thickBot="1">
      <c r="A73" s="484"/>
      <c r="B73" s="474"/>
      <c r="C73" s="491"/>
      <c r="D73" s="491"/>
      <c r="E73" s="491"/>
      <c r="F73" s="491"/>
      <c r="G73" s="491"/>
      <c r="H73" s="493"/>
      <c r="I73" s="493"/>
      <c r="J73" s="493"/>
      <c r="K73" s="493"/>
      <c r="L73" s="493"/>
      <c r="M73" s="494"/>
      <c r="N73" s="881"/>
      <c r="O73" s="881"/>
      <c r="P73" s="1773"/>
      <c r="Q73" s="490"/>
    </row>
    <row r="74" spans="1:17" s="408" customFormat="1" ht="14.4" thickTop="1">
      <c r="A74" s="484"/>
      <c r="B74" s="477">
        <f>B14</f>
        <v>111</v>
      </c>
      <c r="C74" s="485"/>
      <c r="D74" s="485"/>
      <c r="E74" s="485"/>
      <c r="F74" s="485"/>
      <c r="G74" s="31"/>
      <c r="H74" s="495"/>
      <c r="I74" s="495"/>
      <c r="J74" s="495"/>
      <c r="K74" s="495"/>
      <c r="L74" s="496"/>
      <c r="M74" s="497"/>
      <c r="N74" s="881"/>
      <c r="O74" s="881"/>
      <c r="P74" s="1775"/>
      <c r="Q74" s="490"/>
    </row>
    <row r="75" spans="1:17" s="408" customFormat="1" ht="14.4" thickBot="1">
      <c r="A75" s="499"/>
      <c r="B75" s="500"/>
      <c r="C75" s="501"/>
      <c r="D75" s="501"/>
      <c r="E75" s="501"/>
      <c r="F75" s="501"/>
      <c r="G75" s="501"/>
      <c r="H75" s="502"/>
      <c r="I75" s="502"/>
      <c r="J75" s="502"/>
      <c r="K75" s="502"/>
      <c r="L75" s="502"/>
      <c r="M75" s="503"/>
      <c r="N75" s="881"/>
      <c r="O75" s="881"/>
      <c r="P75" s="1773"/>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6"/>
      <c r="Q76" s="439"/>
    </row>
    <row r="77" spans="1:17" ht="14.4" thickBot="1">
      <c r="A77" s="367"/>
      <c r="B77" s="474"/>
      <c r="C77" s="475">
        <v>100</v>
      </c>
      <c r="D77" s="475">
        <f>C77-$K15</f>
        <v>98</v>
      </c>
      <c r="E77" s="475">
        <f>D77-$K15</f>
        <v>96</v>
      </c>
      <c r="F77" s="475">
        <f>E77-$K15</f>
        <v>94</v>
      </c>
      <c r="G77" s="475">
        <f>F77-$K15</f>
        <v>92</v>
      </c>
      <c r="H77" s="475"/>
      <c r="I77" s="475"/>
      <c r="J77" s="475"/>
      <c r="K77" s="475"/>
      <c r="L77" s="475"/>
      <c r="M77" s="476"/>
      <c r="N77" s="880"/>
      <c r="O77" s="880"/>
      <c r="P77" s="1772"/>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2"/>
      <c r="Q78" s="439"/>
    </row>
    <row r="79" spans="1:17" ht="14.4" thickBot="1">
      <c r="A79" s="367"/>
      <c r="B79" s="474"/>
      <c r="C79" s="475">
        <v>100</v>
      </c>
      <c r="D79" s="475">
        <f>C79-$K17</f>
        <v>98</v>
      </c>
      <c r="E79" s="475">
        <f>D79-$K17</f>
        <v>96</v>
      </c>
      <c r="F79" s="475">
        <f>E79-$K17</f>
        <v>94</v>
      </c>
      <c r="G79" s="475">
        <f>F79-$K17</f>
        <v>92</v>
      </c>
      <c r="H79" s="475"/>
      <c r="I79" s="475"/>
      <c r="J79" s="475"/>
      <c r="K79" s="475"/>
      <c r="L79" s="475"/>
      <c r="M79" s="476"/>
      <c r="N79" s="880"/>
      <c r="O79" s="880"/>
      <c r="P79" s="1772"/>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2"/>
      <c r="Q80" s="439"/>
    </row>
    <row r="81" spans="1:17" ht="14.4" thickBot="1">
      <c r="A81" s="367"/>
      <c r="B81" s="474"/>
      <c r="C81" s="475">
        <v>100</v>
      </c>
      <c r="D81" s="475">
        <f>C81-$K19</f>
        <v>98</v>
      </c>
      <c r="E81" s="475">
        <f>D81-$K19</f>
        <v>96</v>
      </c>
      <c r="F81" s="475">
        <f>E81-$K19</f>
        <v>94</v>
      </c>
      <c r="G81" s="475">
        <f>F81-$K19</f>
        <v>92</v>
      </c>
      <c r="H81" s="475"/>
      <c r="I81" s="475"/>
      <c r="J81" s="475"/>
      <c r="K81" s="475"/>
      <c r="L81" s="475"/>
      <c r="M81" s="476"/>
      <c r="N81" s="880"/>
      <c r="O81" s="880"/>
      <c r="P81" s="1772"/>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2"/>
      <c r="Q82" s="439"/>
    </row>
    <row r="83" spans="1:17" ht="14.4" thickBot="1">
      <c r="A83" s="367"/>
      <c r="B83" s="477"/>
      <c r="C83" s="581">
        <v>100</v>
      </c>
      <c r="D83" s="581">
        <f>C83-$K21</f>
        <v>99</v>
      </c>
      <c r="E83" s="581">
        <f t="shared" ref="E83:G83" si="22">D83-$K21</f>
        <v>98</v>
      </c>
      <c r="F83" s="581">
        <f t="shared" si="22"/>
        <v>97</v>
      </c>
      <c r="G83" s="581">
        <f t="shared" si="22"/>
        <v>96</v>
      </c>
      <c r="H83" s="581"/>
      <c r="I83" s="581"/>
      <c r="J83" s="581"/>
      <c r="K83" s="581"/>
      <c r="L83" s="581"/>
      <c r="M83" s="389"/>
      <c r="N83" s="880"/>
      <c r="O83" s="880"/>
      <c r="P83" s="1772"/>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2"/>
      <c r="Q84" s="439"/>
    </row>
    <row r="85" spans="1:17" ht="14.4" thickBot="1">
      <c r="A85" s="367"/>
      <c r="B85" s="474"/>
      <c r="C85" s="475">
        <v>100</v>
      </c>
      <c r="D85" s="475">
        <f>C85-$K23</f>
        <v>98</v>
      </c>
      <c r="E85" s="475">
        <f>D85-$K23</f>
        <v>96</v>
      </c>
      <c r="F85" s="475">
        <f>E85-$K23</f>
        <v>94</v>
      </c>
      <c r="G85" s="475">
        <f>F85-$K23</f>
        <v>92</v>
      </c>
      <c r="H85" s="475"/>
      <c r="I85" s="475"/>
      <c r="J85" s="475"/>
      <c r="K85" s="475"/>
      <c r="L85" s="475"/>
      <c r="M85" s="476"/>
      <c r="N85" s="880"/>
      <c r="O85" s="880"/>
      <c r="P85" s="1772"/>
      <c r="Q85" s="439"/>
    </row>
    <row r="86" spans="1:17" s="102" customFormat="1" ht="15" thickTop="1">
      <c r="A86" s="370"/>
      <c r="B86" s="469" t="s">
        <v>1734</v>
      </c>
      <c r="C86" s="485"/>
      <c r="D86" s="485"/>
      <c r="E86" s="485"/>
      <c r="F86" s="485"/>
      <c r="G86" s="485"/>
      <c r="H86" s="485"/>
      <c r="I86" s="485"/>
      <c r="J86" s="485"/>
      <c r="K86" s="485"/>
      <c r="L86" s="510"/>
      <c r="M86" s="511"/>
      <c r="N86" s="878"/>
      <c r="O86" s="878"/>
      <c r="P86" s="1772"/>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2"/>
      <c r="Q87" s="439"/>
    </row>
    <row r="88" spans="1:17" s="102" customFormat="1" ht="15" thickTop="1">
      <c r="A88" s="370"/>
      <c r="B88" s="469" t="s">
        <v>1735</v>
      </c>
      <c r="C88" s="3161" t="s">
        <v>3438</v>
      </c>
      <c r="D88" s="3162" t="s">
        <v>3439</v>
      </c>
      <c r="E88" s="3162" t="s">
        <v>3440</v>
      </c>
      <c r="F88" s="3162" t="s">
        <v>3441</v>
      </c>
      <c r="G88" s="3162" t="s">
        <v>3442</v>
      </c>
      <c r="H88" s="3162" t="s">
        <v>3443</v>
      </c>
      <c r="I88" s="3163" t="s">
        <v>3444</v>
      </c>
      <c r="J88" s="3163" t="s">
        <v>3445</v>
      </c>
      <c r="K88" s="3162" t="s">
        <v>3446</v>
      </c>
      <c r="L88" s="3162" t="s">
        <v>3447</v>
      </c>
      <c r="M88" s="511"/>
      <c r="N88" s="878"/>
      <c r="O88" s="878"/>
      <c r="P88" s="1772"/>
      <c r="Q88" s="439"/>
    </row>
    <row r="89" spans="1:17" s="102" customFormat="1" ht="14.4" thickBot="1">
      <c r="A89" s="370"/>
      <c r="B89" s="474"/>
      <c r="C89" s="512">
        <v>100</v>
      </c>
      <c r="D89" s="475">
        <f t="shared" ref="D89:M89" si="24">C89-$K26</f>
        <v>99</v>
      </c>
      <c r="E89" s="475">
        <f t="shared" si="24"/>
        <v>98</v>
      </c>
      <c r="F89" s="475">
        <f t="shared" si="24"/>
        <v>97</v>
      </c>
      <c r="G89" s="475">
        <f t="shared" si="24"/>
        <v>96</v>
      </c>
      <c r="H89" s="475">
        <f t="shared" si="24"/>
        <v>95</v>
      </c>
      <c r="I89" s="475">
        <f t="shared" si="24"/>
        <v>94</v>
      </c>
      <c r="J89" s="475">
        <f t="shared" si="24"/>
        <v>93</v>
      </c>
      <c r="K89" s="475">
        <f t="shared" si="24"/>
        <v>92</v>
      </c>
      <c r="L89" s="475">
        <f t="shared" si="24"/>
        <v>91</v>
      </c>
      <c r="M89" s="475">
        <f t="shared" si="24"/>
        <v>90</v>
      </c>
      <c r="N89" s="880"/>
      <c r="O89" s="880"/>
      <c r="P89" s="1772"/>
      <c r="Q89" s="439"/>
    </row>
    <row r="90" spans="1:17" s="408" customFormat="1" ht="29.4" thickTop="1">
      <c r="A90" s="484"/>
      <c r="B90" s="469" t="str">
        <f>B27</f>
        <v>楼层</v>
      </c>
      <c r="C90" s="403" t="s">
        <v>3540</v>
      </c>
      <c r="D90" s="403" t="s">
        <v>3545</v>
      </c>
      <c r="E90" s="403" t="s">
        <v>3543</v>
      </c>
      <c r="F90" s="403" t="s">
        <v>3542</v>
      </c>
      <c r="G90" s="403"/>
      <c r="H90" s="486"/>
      <c r="I90" s="486"/>
      <c r="J90" s="486"/>
      <c r="K90" s="486"/>
      <c r="L90" s="487"/>
      <c r="M90" s="488"/>
      <c r="N90" s="881"/>
      <c r="O90" s="881"/>
      <c r="P90" s="1773"/>
      <c r="Q90" s="490"/>
    </row>
    <row r="91" spans="1:17" s="408" customFormat="1" ht="14.4" thickBot="1">
      <c r="A91" s="484"/>
      <c r="B91" s="474"/>
      <c r="C91" s="491">
        <v>100</v>
      </c>
      <c r="D91" s="491">
        <v>98</v>
      </c>
      <c r="E91" s="491">
        <v>100</v>
      </c>
      <c r="F91" s="491">
        <v>94</v>
      </c>
      <c r="G91" s="491"/>
      <c r="H91" s="493"/>
      <c r="I91" s="493"/>
      <c r="J91" s="493"/>
      <c r="K91" s="493"/>
      <c r="L91" s="493"/>
      <c r="M91" s="494"/>
      <c r="N91" s="881"/>
      <c r="O91" s="881"/>
      <c r="P91" s="1773"/>
      <c r="Q91" s="490"/>
    </row>
    <row r="92" spans="1:17" ht="29.4" thickTop="1">
      <c r="A92" s="367"/>
      <c r="B92" s="469" t="str">
        <f>B28</f>
        <v>道路</v>
      </c>
      <c r="C92" s="3164" t="s">
        <v>3448</v>
      </c>
      <c r="D92" s="3164" t="s">
        <v>3449</v>
      </c>
      <c r="E92" s="3164" t="s">
        <v>3482</v>
      </c>
      <c r="F92" s="3164" t="s">
        <v>3450</v>
      </c>
      <c r="G92" s="3164" t="s">
        <v>3451</v>
      </c>
      <c r="H92" s="485" t="s">
        <v>3506</v>
      </c>
      <c r="I92" s="513" t="s">
        <v>3507</v>
      </c>
      <c r="J92" s="513"/>
      <c r="K92" s="514"/>
      <c r="L92" s="515"/>
      <c r="M92" s="516"/>
      <c r="N92" s="879"/>
      <c r="O92" s="879"/>
      <c r="P92" s="1772"/>
      <c r="Q92" s="439"/>
    </row>
    <row r="93" spans="1:17" ht="14.4" thickBot="1">
      <c r="A93" s="367"/>
      <c r="B93" s="474"/>
      <c r="C93" s="491">
        <v>100</v>
      </c>
      <c r="D93" s="491">
        <v>98</v>
      </c>
      <c r="E93" s="491">
        <v>96</v>
      </c>
      <c r="F93" s="491">
        <v>94</v>
      </c>
      <c r="G93" s="491">
        <v>92</v>
      </c>
      <c r="H93" s="467">
        <v>100</v>
      </c>
      <c r="I93" s="467">
        <v>96</v>
      </c>
      <c r="J93" s="467"/>
      <c r="K93" s="467"/>
      <c r="L93" s="467"/>
      <c r="M93" s="468"/>
      <c r="N93" s="880"/>
      <c r="O93" s="880"/>
      <c r="P93" s="1772"/>
      <c r="Q93" s="439"/>
    </row>
    <row r="94" spans="1:17" ht="14.4" thickTop="1">
      <c r="A94" s="367"/>
      <c r="B94" s="469">
        <f>B29</f>
        <v>111</v>
      </c>
      <c r="C94" s="485"/>
      <c r="D94" s="485"/>
      <c r="E94" s="485"/>
      <c r="F94" s="485"/>
      <c r="G94" s="513"/>
      <c r="H94" s="513"/>
      <c r="I94" s="513"/>
      <c r="J94" s="513"/>
      <c r="K94" s="514"/>
      <c r="L94" s="515"/>
      <c r="M94" s="516"/>
      <c r="N94" s="879"/>
      <c r="O94" s="879"/>
      <c r="P94" s="1772"/>
      <c r="Q94" s="439"/>
    </row>
    <row r="95" spans="1:17" ht="14.4" thickBot="1">
      <c r="A95" s="367"/>
      <c r="B95" s="474"/>
      <c r="C95" s="491"/>
      <c r="D95" s="491"/>
      <c r="E95" s="491"/>
      <c r="F95" s="491"/>
      <c r="G95" s="467"/>
      <c r="H95" s="467"/>
      <c r="I95" s="467"/>
      <c r="J95" s="467"/>
      <c r="K95" s="467"/>
      <c r="L95" s="467"/>
      <c r="M95" s="468"/>
      <c r="N95" s="880"/>
      <c r="O95" s="880"/>
      <c r="P95" s="1772"/>
      <c r="Q95" s="439"/>
    </row>
    <row r="96" spans="1:17" ht="14.4" thickTop="1">
      <c r="A96" s="367"/>
      <c r="B96" s="469">
        <f>B30</f>
        <v>111</v>
      </c>
      <c r="C96" s="485"/>
      <c r="D96" s="485"/>
      <c r="E96" s="485"/>
      <c r="F96" s="485"/>
      <c r="G96" s="513"/>
      <c r="H96" s="513"/>
      <c r="I96" s="513"/>
      <c r="J96" s="513"/>
      <c r="K96" s="514"/>
      <c r="L96" s="515"/>
      <c r="M96" s="516"/>
      <c r="N96" s="879"/>
      <c r="O96" s="879"/>
      <c r="P96" s="1772"/>
      <c r="Q96" s="439"/>
    </row>
    <row r="97" spans="1:17" ht="14.4" thickBot="1">
      <c r="A97" s="367"/>
      <c r="B97" s="474"/>
      <c r="C97" s="501"/>
      <c r="D97" s="501"/>
      <c r="E97" s="501"/>
      <c r="F97" s="501"/>
      <c r="G97" s="467"/>
      <c r="H97" s="467"/>
      <c r="I97" s="467"/>
      <c r="J97" s="467"/>
      <c r="K97" s="467"/>
      <c r="L97" s="467"/>
      <c r="M97" s="468"/>
      <c r="N97" s="880"/>
      <c r="O97" s="880"/>
      <c r="P97" s="1772"/>
      <c r="Q97" s="439"/>
    </row>
    <row r="98" spans="1:17" ht="14.4" thickTop="1">
      <c r="A98" s="367"/>
      <c r="B98" s="477">
        <f>B31</f>
        <v>111</v>
      </c>
      <c r="C98" s="517"/>
      <c r="D98" s="517"/>
      <c r="E98" s="517"/>
      <c r="F98" s="517"/>
      <c r="G98" s="517"/>
      <c r="H98" s="517"/>
      <c r="I98" s="517"/>
      <c r="J98" s="517"/>
      <c r="K98" s="518"/>
      <c r="L98" s="519"/>
      <c r="M98" s="520"/>
      <c r="N98" s="879"/>
      <c r="O98" s="879"/>
      <c r="P98" s="1772"/>
      <c r="Q98" s="439"/>
    </row>
    <row r="99" spans="1:17" ht="14.4" thickBot="1">
      <c r="A99" s="375"/>
      <c r="B99" s="500"/>
      <c r="C99" s="521"/>
      <c r="D99" s="521"/>
      <c r="E99" s="521"/>
      <c r="F99" s="521"/>
      <c r="G99" s="521"/>
      <c r="H99" s="521"/>
      <c r="I99" s="521"/>
      <c r="J99" s="521"/>
      <c r="K99" s="521"/>
      <c r="L99" s="521"/>
      <c r="M99" s="522"/>
      <c r="N99" s="880"/>
      <c r="O99" s="880"/>
      <c r="P99" s="1772"/>
      <c r="Q99" s="439"/>
    </row>
    <row r="100" spans="1:17" ht="14.4">
      <c r="A100" s="379" t="s">
        <v>1694</v>
      </c>
      <c r="B100" s="460" t="s">
        <v>1736</v>
      </c>
      <c r="C100" s="3166" t="s">
        <v>3454</v>
      </c>
      <c r="D100" s="3167" t="s">
        <v>3455</v>
      </c>
      <c r="E100" s="3168" t="s">
        <v>3456</v>
      </c>
      <c r="F100" s="3168" t="s">
        <v>3457</v>
      </c>
      <c r="I100" s="462"/>
      <c r="J100" s="462"/>
      <c r="K100" s="463"/>
      <c r="L100" s="464"/>
      <c r="M100" s="465"/>
      <c r="N100" s="879"/>
      <c r="O100" s="879"/>
      <c r="P100" s="1772"/>
      <c r="Q100" s="439"/>
    </row>
    <row r="101" spans="1:17" ht="14.4" thickBot="1">
      <c r="A101" s="367"/>
      <c r="B101" s="474"/>
      <c r="C101" s="475">
        <v>100</v>
      </c>
      <c r="D101" s="475">
        <f t="shared" ref="D101:M101" si="25">C101-$K32</f>
        <v>99</v>
      </c>
      <c r="E101" s="475">
        <f t="shared" si="25"/>
        <v>98</v>
      </c>
      <c r="F101" s="475">
        <f t="shared" si="25"/>
        <v>97</v>
      </c>
      <c r="G101" s="475">
        <f t="shared" si="25"/>
        <v>96</v>
      </c>
      <c r="H101" s="475">
        <f t="shared" si="25"/>
        <v>95</v>
      </c>
      <c r="I101" s="475">
        <f t="shared" si="25"/>
        <v>94</v>
      </c>
      <c r="J101" s="475">
        <f t="shared" si="25"/>
        <v>93</v>
      </c>
      <c r="K101" s="475">
        <f t="shared" si="25"/>
        <v>92</v>
      </c>
      <c r="L101" s="475">
        <f t="shared" si="25"/>
        <v>91</v>
      </c>
      <c r="M101" s="475">
        <f t="shared" si="25"/>
        <v>90</v>
      </c>
      <c r="N101" s="880"/>
      <c r="O101" s="880"/>
      <c r="P101" s="1772"/>
      <c r="Q101" s="439"/>
    </row>
    <row r="102" spans="1:17" ht="15" thickTop="1">
      <c r="A102" s="367"/>
      <c r="B102" s="469" t="s">
        <v>1737</v>
      </c>
      <c r="C102" s="509" t="str">
        <f>C103&amp;"(含)"&amp;"-"&amp;D103</f>
        <v>0(含)-25</v>
      </c>
      <c r="D102" s="509" t="str">
        <f t="shared" ref="D102:L102" si="26">D103&amp;"(含)"&amp;"-"&amp;E103</f>
        <v>25(含)-50</v>
      </c>
      <c r="E102" s="509" t="str">
        <f t="shared" si="26"/>
        <v>50(含)-75</v>
      </c>
      <c r="F102" s="509" t="str">
        <f t="shared" si="26"/>
        <v>75(含)-100</v>
      </c>
      <c r="G102" s="509" t="str">
        <f t="shared" si="26"/>
        <v>100(含)-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2"/>
      <c r="Q102" s="439"/>
    </row>
    <row r="103" spans="1:17" s="408" customFormat="1">
      <c r="A103" s="406"/>
      <c r="B103" s="523"/>
      <c r="C103" s="6">
        <v>0</v>
      </c>
      <c r="D103" s="6">
        <v>25</v>
      </c>
      <c r="E103" s="6">
        <v>50</v>
      </c>
      <c r="F103" s="6">
        <v>75</v>
      </c>
      <c r="G103" s="6">
        <v>100</v>
      </c>
      <c r="H103" s="6"/>
      <c r="I103" s="6"/>
      <c r="J103" s="524"/>
      <c r="K103" s="524"/>
      <c r="L103" s="525"/>
      <c r="M103" s="526"/>
      <c r="N103" s="881"/>
      <c r="O103" s="881"/>
      <c r="P103" s="1773"/>
      <c r="Q103" s="490"/>
    </row>
    <row r="104" spans="1:17" s="408" customFormat="1" ht="14.4" thickBot="1">
      <c r="A104" s="484"/>
      <c r="B104" s="474"/>
      <c r="C104" s="491">
        <v>100</v>
      </c>
      <c r="D104" s="467">
        <v>96</v>
      </c>
      <c r="E104" s="467">
        <v>92</v>
      </c>
      <c r="F104" s="467">
        <v>88</v>
      </c>
      <c r="G104" s="467">
        <v>84</v>
      </c>
      <c r="H104" s="467"/>
      <c r="I104" s="467"/>
      <c r="J104" s="467"/>
      <c r="K104" s="467"/>
      <c r="L104" s="467"/>
      <c r="M104" s="467"/>
      <c r="N104" s="880"/>
      <c r="O104" s="880"/>
      <c r="P104" s="1773"/>
      <c r="Q104" s="490"/>
    </row>
    <row r="105" spans="1:17" ht="15" thickTop="1">
      <c r="A105" s="409"/>
      <c r="B105" s="469" t="s">
        <v>1738</v>
      </c>
      <c r="C105" s="3164" t="s">
        <v>3458</v>
      </c>
      <c r="D105" s="3164" t="s">
        <v>3432</v>
      </c>
      <c r="E105" s="3169" t="s">
        <v>3459</v>
      </c>
      <c r="F105" s="3169" t="s">
        <v>3460</v>
      </c>
      <c r="G105" s="3162" t="s">
        <v>3461</v>
      </c>
      <c r="H105" s="513"/>
      <c r="I105" s="513"/>
      <c r="J105" s="513"/>
      <c r="K105" s="514"/>
      <c r="L105" s="515"/>
      <c r="M105" s="516"/>
      <c r="N105" s="879"/>
      <c r="O105" s="879"/>
      <c r="P105" s="1772"/>
      <c r="Q105" s="439"/>
    </row>
    <row r="106" spans="1:17" ht="14.4" thickBot="1">
      <c r="A106" s="367"/>
      <c r="B106" s="474"/>
      <c r="C106" s="475">
        <v>100</v>
      </c>
      <c r="D106" s="475">
        <f t="shared" ref="D106:M106" si="27">C106-$K34</f>
        <v>97.5</v>
      </c>
      <c r="E106" s="475">
        <f t="shared" si="27"/>
        <v>95</v>
      </c>
      <c r="F106" s="475">
        <f t="shared" si="27"/>
        <v>92.5</v>
      </c>
      <c r="G106" s="475">
        <f t="shared" si="27"/>
        <v>90</v>
      </c>
      <c r="H106" s="475">
        <f t="shared" si="27"/>
        <v>87.5</v>
      </c>
      <c r="I106" s="475">
        <f t="shared" si="27"/>
        <v>85</v>
      </c>
      <c r="J106" s="475">
        <f t="shared" si="27"/>
        <v>82.5</v>
      </c>
      <c r="K106" s="475">
        <f t="shared" si="27"/>
        <v>80</v>
      </c>
      <c r="L106" s="475">
        <f t="shared" si="27"/>
        <v>77.5</v>
      </c>
      <c r="M106" s="475">
        <f t="shared" si="27"/>
        <v>75</v>
      </c>
      <c r="N106" s="880"/>
      <c r="O106" s="880"/>
      <c r="P106" s="1772"/>
      <c r="Q106" s="439"/>
    </row>
    <row r="107" spans="1:17" ht="15" thickTop="1">
      <c r="A107" s="409"/>
      <c r="B107" s="469" t="s">
        <v>1739</v>
      </c>
      <c r="C107" s="3162" t="s">
        <v>3462</v>
      </c>
      <c r="D107" s="513"/>
      <c r="E107" s="513"/>
      <c r="F107" s="513"/>
      <c r="G107" s="513"/>
      <c r="H107" s="513"/>
      <c r="I107" s="513"/>
      <c r="J107" s="513"/>
      <c r="K107" s="514"/>
      <c r="L107" s="515"/>
      <c r="M107" s="516"/>
      <c r="N107" s="879"/>
      <c r="O107" s="879"/>
      <c r="P107" s="1772"/>
      <c r="Q107" s="439"/>
    </row>
    <row r="108" spans="1:17" ht="14.4" thickBot="1">
      <c r="A108" s="367"/>
      <c r="B108" s="474"/>
      <c r="C108" s="475">
        <v>100</v>
      </c>
      <c r="D108" s="475">
        <f t="shared" ref="D108:M108" si="28">C108-$K35</f>
        <v>98</v>
      </c>
      <c r="E108" s="475">
        <f t="shared" si="28"/>
        <v>96</v>
      </c>
      <c r="F108" s="475">
        <f t="shared" si="28"/>
        <v>94</v>
      </c>
      <c r="G108" s="475">
        <f t="shared" si="28"/>
        <v>92</v>
      </c>
      <c r="H108" s="475">
        <f t="shared" si="28"/>
        <v>90</v>
      </c>
      <c r="I108" s="475">
        <f t="shared" si="28"/>
        <v>88</v>
      </c>
      <c r="J108" s="475">
        <f t="shared" si="28"/>
        <v>86</v>
      </c>
      <c r="K108" s="475">
        <f t="shared" si="28"/>
        <v>84</v>
      </c>
      <c r="L108" s="475">
        <f t="shared" si="28"/>
        <v>82</v>
      </c>
      <c r="M108" s="475">
        <f t="shared" si="28"/>
        <v>80</v>
      </c>
      <c r="N108" s="880"/>
      <c r="O108" s="880"/>
      <c r="P108" s="1772"/>
      <c r="Q108" s="439"/>
    </row>
    <row r="109" spans="1:17" ht="15" thickTop="1">
      <c r="A109" s="409"/>
      <c r="B109" s="469" t="s">
        <v>1740</v>
      </c>
      <c r="C109" s="3170" t="s">
        <v>3463</v>
      </c>
      <c r="D109" s="3170" t="s">
        <v>3464</v>
      </c>
      <c r="E109" s="3170" t="s">
        <v>3465</v>
      </c>
      <c r="F109" s="3162" t="s">
        <v>3466</v>
      </c>
      <c r="G109" s="513"/>
      <c r="H109" s="513"/>
      <c r="I109" s="513"/>
      <c r="J109" s="513"/>
      <c r="K109" s="514"/>
      <c r="L109" s="515"/>
      <c r="M109" s="516"/>
      <c r="N109" s="879"/>
      <c r="O109" s="879"/>
      <c r="P109" s="1772"/>
      <c r="Q109" s="439"/>
    </row>
    <row r="110" spans="1:17" ht="14.4" thickBot="1">
      <c r="A110" s="367"/>
      <c r="B110" s="474"/>
      <c r="C110" s="475">
        <v>100</v>
      </c>
      <c r="D110" s="475">
        <f t="shared" ref="D110:M110" si="29">C110-$K36</f>
        <v>98</v>
      </c>
      <c r="E110" s="475">
        <f t="shared" si="29"/>
        <v>96</v>
      </c>
      <c r="F110" s="475">
        <f t="shared" si="29"/>
        <v>94</v>
      </c>
      <c r="G110" s="475">
        <f t="shared" si="29"/>
        <v>92</v>
      </c>
      <c r="H110" s="475">
        <f t="shared" si="29"/>
        <v>90</v>
      </c>
      <c r="I110" s="475">
        <f t="shared" si="29"/>
        <v>88</v>
      </c>
      <c r="J110" s="475">
        <f t="shared" si="29"/>
        <v>86</v>
      </c>
      <c r="K110" s="475">
        <f t="shared" si="29"/>
        <v>84</v>
      </c>
      <c r="L110" s="475">
        <f t="shared" si="29"/>
        <v>82</v>
      </c>
      <c r="M110" s="475">
        <f t="shared" si="29"/>
        <v>80</v>
      </c>
      <c r="N110" s="880"/>
      <c r="O110" s="880"/>
      <c r="P110" s="1772"/>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3"/>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3"/>
      <c r="Q112" s="490"/>
    </row>
    <row r="113" spans="1:17" s="408" customFormat="1" ht="14.4" thickBot="1">
      <c r="A113" s="484"/>
      <c r="B113" s="474"/>
      <c r="C113" s="512">
        <v>100</v>
      </c>
      <c r="D113" s="475">
        <f>C113+$K37</f>
        <v>103</v>
      </c>
      <c r="E113" s="475">
        <f>D113+$K37</f>
        <v>106</v>
      </c>
      <c r="F113" s="475">
        <f>E113+$K37</f>
        <v>109</v>
      </c>
      <c r="G113" s="475">
        <f>F113+$K37</f>
        <v>112</v>
      </c>
      <c r="H113" s="475">
        <f>G113+$K37</f>
        <v>115</v>
      </c>
      <c r="I113" s="512"/>
      <c r="J113" s="534"/>
      <c r="K113" s="534"/>
      <c r="L113" s="534"/>
      <c r="M113" s="535"/>
      <c r="N113" s="881"/>
      <c r="O113" s="881"/>
      <c r="P113" s="1773"/>
      <c r="Q113" s="490"/>
    </row>
    <row r="114" spans="1:17" ht="15" thickTop="1">
      <c r="A114" s="409"/>
      <c r="B114" s="469" t="s">
        <v>1741</v>
      </c>
      <c r="C114" s="3164" t="s">
        <v>3467</v>
      </c>
      <c r="D114" s="3164" t="s">
        <v>3468</v>
      </c>
      <c r="E114" s="3162" t="s">
        <v>3469</v>
      </c>
      <c r="F114" s="3162" t="s">
        <v>3470</v>
      </c>
      <c r="G114" s="513"/>
      <c r="H114" s="513"/>
      <c r="I114" s="513"/>
      <c r="J114" s="513"/>
      <c r="K114" s="514"/>
      <c r="L114" s="515"/>
      <c r="M114" s="516"/>
      <c r="N114" s="879"/>
      <c r="O114" s="879"/>
      <c r="P114" s="1772"/>
      <c r="Q114" s="439"/>
    </row>
    <row r="115" spans="1:17" ht="14.4" thickBot="1">
      <c r="A115" s="367"/>
      <c r="B115" s="474"/>
      <c r="C115" s="475">
        <v>100</v>
      </c>
      <c r="D115" s="475">
        <f t="shared" ref="D115:M115" si="30">C115-$K38</f>
        <v>99</v>
      </c>
      <c r="E115" s="475">
        <f t="shared" si="30"/>
        <v>98</v>
      </c>
      <c r="F115" s="475">
        <f t="shared" si="30"/>
        <v>97</v>
      </c>
      <c r="G115" s="475">
        <f t="shared" si="30"/>
        <v>96</v>
      </c>
      <c r="H115" s="475">
        <f t="shared" si="30"/>
        <v>95</v>
      </c>
      <c r="I115" s="475">
        <f t="shared" si="30"/>
        <v>94</v>
      </c>
      <c r="J115" s="475">
        <f t="shared" si="30"/>
        <v>93</v>
      </c>
      <c r="K115" s="475">
        <f t="shared" si="30"/>
        <v>92</v>
      </c>
      <c r="L115" s="475">
        <f t="shared" si="30"/>
        <v>91</v>
      </c>
      <c r="M115" s="475">
        <f t="shared" si="30"/>
        <v>90</v>
      </c>
      <c r="N115" s="880"/>
      <c r="O115" s="880"/>
      <c r="P115" s="1772"/>
      <c r="Q115" s="439"/>
    </row>
    <row r="116" spans="1:17" ht="15" thickTop="1">
      <c r="A116" s="409"/>
      <c r="B116" s="469" t="s">
        <v>1742</v>
      </c>
      <c r="C116" s="3164" t="s">
        <v>3471</v>
      </c>
      <c r="D116" s="3164" t="s">
        <v>3472</v>
      </c>
      <c r="E116" s="3164" t="s">
        <v>3473</v>
      </c>
      <c r="F116" s="3164" t="s">
        <v>3474</v>
      </c>
      <c r="G116" s="3164" t="s">
        <v>3475</v>
      </c>
      <c r="H116" s="513"/>
      <c r="I116" s="513"/>
      <c r="J116" s="513"/>
      <c r="K116" s="514"/>
      <c r="L116" s="515"/>
      <c r="M116" s="516"/>
      <c r="N116" s="879"/>
      <c r="O116" s="879"/>
      <c r="P116" s="1772"/>
      <c r="Q116" s="439"/>
    </row>
    <row r="117" spans="1:17" ht="14.4" thickBot="1">
      <c r="A117" s="367"/>
      <c r="B117" s="474"/>
      <c r="C117" s="475">
        <v>100</v>
      </c>
      <c r="D117" s="475">
        <f>C117-$K39</f>
        <v>99</v>
      </c>
      <c r="E117" s="475">
        <f>D117-$K39</f>
        <v>98</v>
      </c>
      <c r="F117" s="475">
        <f>E117-$K39</f>
        <v>97</v>
      </c>
      <c r="G117" s="475">
        <f>F117-$K39</f>
        <v>96</v>
      </c>
      <c r="H117" s="475"/>
      <c r="I117" s="475"/>
      <c r="J117" s="475"/>
      <c r="K117" s="475"/>
      <c r="L117" s="475"/>
      <c r="M117" s="476"/>
      <c r="N117" s="880"/>
      <c r="O117" s="880"/>
      <c r="P117" s="1772"/>
      <c r="Q117" s="439"/>
    </row>
    <row r="118" spans="1:17" ht="15" thickTop="1">
      <c r="A118" s="409"/>
      <c r="B118" s="469" t="s">
        <v>1743</v>
      </c>
      <c r="C118" s="3162" t="s">
        <v>3476</v>
      </c>
      <c r="D118" s="3162" t="s">
        <v>3477</v>
      </c>
      <c r="E118" s="513"/>
      <c r="F118" s="513"/>
      <c r="G118" s="513"/>
      <c r="H118" s="513"/>
      <c r="I118" s="513"/>
      <c r="J118" s="513"/>
      <c r="K118" s="514"/>
      <c r="L118" s="515"/>
      <c r="M118" s="516"/>
      <c r="N118" s="879"/>
      <c r="O118" s="879"/>
      <c r="P118" s="1772"/>
      <c r="Q118" s="439"/>
    </row>
    <row r="119" spans="1:17" ht="14.4" thickBot="1">
      <c r="A119" s="367"/>
      <c r="B119" s="474"/>
      <c r="C119" s="475">
        <v>100</v>
      </c>
      <c r="D119" s="475">
        <f t="shared" ref="D119:M119" si="31">C119-$K40</f>
        <v>99</v>
      </c>
      <c r="E119" s="475">
        <f t="shared" si="31"/>
        <v>98</v>
      </c>
      <c r="F119" s="475">
        <f t="shared" si="31"/>
        <v>97</v>
      </c>
      <c r="G119" s="475">
        <f t="shared" si="31"/>
        <v>96</v>
      </c>
      <c r="H119" s="475">
        <f t="shared" si="31"/>
        <v>95</v>
      </c>
      <c r="I119" s="475">
        <f t="shared" si="31"/>
        <v>94</v>
      </c>
      <c r="J119" s="475">
        <f t="shared" si="31"/>
        <v>93</v>
      </c>
      <c r="K119" s="475">
        <f t="shared" si="31"/>
        <v>92</v>
      </c>
      <c r="L119" s="475">
        <f t="shared" si="31"/>
        <v>91</v>
      </c>
      <c r="M119" s="475">
        <f t="shared" si="31"/>
        <v>90</v>
      </c>
      <c r="N119" s="880"/>
      <c r="O119" s="880"/>
      <c r="P119" s="1772"/>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3"/>
      <c r="Q120" s="490"/>
    </row>
    <row r="121" spans="1:17" s="408" customFormat="1" ht="14.4" thickBot="1">
      <c r="A121" s="484"/>
      <c r="B121" s="466"/>
      <c r="C121" s="491"/>
      <c r="D121" s="467"/>
      <c r="E121" s="467"/>
      <c r="F121" s="467"/>
      <c r="G121" s="467"/>
      <c r="H121" s="467"/>
      <c r="I121" s="467"/>
      <c r="J121" s="467"/>
      <c r="K121" s="467"/>
      <c r="L121" s="467"/>
      <c r="M121" s="467"/>
      <c r="N121" s="881"/>
      <c r="O121" s="881"/>
      <c r="P121" s="1773"/>
      <c r="Q121" s="490"/>
    </row>
    <row r="122" spans="1:17" ht="15" thickTop="1">
      <c r="A122" s="409"/>
      <c r="B122" s="469" t="s">
        <v>1744</v>
      </c>
      <c r="C122" s="3170" t="s">
        <v>3478</v>
      </c>
      <c r="D122" s="3170" t="s">
        <v>3479</v>
      </c>
      <c r="E122" s="3170" t="s">
        <v>3480</v>
      </c>
      <c r="F122" s="3162" t="s">
        <v>3481</v>
      </c>
      <c r="G122" s="513"/>
      <c r="H122" s="513"/>
      <c r="I122" s="513"/>
      <c r="J122" s="513"/>
      <c r="K122" s="514"/>
      <c r="L122" s="515"/>
      <c r="M122" s="516"/>
      <c r="N122" s="879"/>
      <c r="O122" s="879"/>
      <c r="P122" s="1772"/>
      <c r="Q122" s="439"/>
    </row>
    <row r="123" spans="1:17" ht="14.4"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5">
        <f t="shared" si="32"/>
        <v>80</v>
      </c>
      <c r="N123" s="880"/>
      <c r="O123" s="880"/>
      <c r="P123" s="1772"/>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3"/>
      <c r="Q124" s="439"/>
    </row>
    <row r="125" spans="1:17" ht="14.4" thickBot="1">
      <c r="A125" s="367"/>
      <c r="B125" s="474"/>
      <c r="C125" s="475">
        <v>100</v>
      </c>
      <c r="D125" s="475">
        <f>C125-$K43</f>
        <v>99</v>
      </c>
      <c r="E125" s="475">
        <f>D125-$K43</f>
        <v>98</v>
      </c>
      <c r="F125" s="475">
        <f>E125-$K43</f>
        <v>97</v>
      </c>
      <c r="G125" s="475">
        <f>F125-$K43</f>
        <v>96</v>
      </c>
      <c r="H125" s="475"/>
      <c r="I125" s="475"/>
      <c r="J125" s="475"/>
      <c r="K125" s="475"/>
      <c r="L125" s="475"/>
      <c r="M125" s="476"/>
      <c r="N125" s="880"/>
      <c r="O125" s="880"/>
      <c r="P125" s="1772"/>
      <c r="Q125" s="439"/>
    </row>
    <row r="126" spans="1:17" s="408" customFormat="1" ht="15" thickTop="1">
      <c r="A126" s="406"/>
      <c r="B126" s="469" t="str">
        <f>B44</f>
        <v>采光</v>
      </c>
      <c r="C126" s="3170" t="s">
        <v>3556</v>
      </c>
      <c r="D126" s="3170" t="s">
        <v>3557</v>
      </c>
      <c r="E126" s="3170"/>
      <c r="F126" s="485"/>
      <c r="G126" s="485"/>
      <c r="H126" s="486"/>
      <c r="I126" s="486"/>
      <c r="J126" s="486"/>
      <c r="K126" s="486"/>
      <c r="L126" s="487"/>
      <c r="M126" s="488"/>
      <c r="N126" s="881"/>
      <c r="O126" s="881"/>
      <c r="P126" s="1773"/>
      <c r="Q126" s="490"/>
    </row>
    <row r="127" spans="1:17" s="408" customFormat="1" ht="14.4" thickBot="1">
      <c r="A127" s="484"/>
      <c r="B127" s="474"/>
      <c r="C127" s="491">
        <v>100</v>
      </c>
      <c r="D127" s="467">
        <v>102</v>
      </c>
      <c r="E127" s="467"/>
      <c r="F127" s="467"/>
      <c r="G127" s="491"/>
      <c r="H127" s="493"/>
      <c r="I127" s="493"/>
      <c r="J127" s="493"/>
      <c r="K127" s="493"/>
      <c r="L127" s="493"/>
      <c r="M127" s="494"/>
      <c r="N127" s="881"/>
      <c r="O127" s="881"/>
      <c r="P127" s="1773"/>
      <c r="Q127" s="490"/>
    </row>
    <row r="128" spans="1:17" ht="14.4" thickTop="1">
      <c r="A128" s="409"/>
      <c r="B128" s="469">
        <f>B45</f>
        <v>111</v>
      </c>
      <c r="C128" s="485"/>
      <c r="D128" s="485"/>
      <c r="E128" s="485"/>
      <c r="F128" s="485"/>
      <c r="G128" s="513"/>
      <c r="H128" s="513"/>
      <c r="I128" s="513"/>
      <c r="J128" s="513"/>
      <c r="K128" s="514"/>
      <c r="L128" s="515"/>
      <c r="M128" s="516"/>
      <c r="N128" s="879"/>
      <c r="O128" s="879"/>
      <c r="P128" s="1772"/>
      <c r="Q128" s="439"/>
    </row>
    <row r="129" spans="1:17" ht="14.4" thickBot="1">
      <c r="A129" s="367"/>
      <c r="B129" s="474"/>
      <c r="C129" s="491"/>
      <c r="D129" s="491"/>
      <c r="E129" s="491"/>
      <c r="F129" s="491"/>
      <c r="G129" s="467"/>
      <c r="H129" s="467"/>
      <c r="I129" s="467"/>
      <c r="J129" s="467"/>
      <c r="K129" s="467"/>
      <c r="L129" s="467"/>
      <c r="M129" s="468"/>
      <c r="N129" s="880"/>
      <c r="O129" s="880"/>
      <c r="P129" s="1772"/>
      <c r="Q129" s="439"/>
    </row>
    <row r="130" spans="1:17" ht="14.4" thickTop="1">
      <c r="A130" s="409"/>
      <c r="B130" s="477">
        <f>B46</f>
        <v>111</v>
      </c>
      <c r="C130" s="485"/>
      <c r="D130" s="485"/>
      <c r="E130" s="485"/>
      <c r="F130" s="485"/>
      <c r="G130" s="517"/>
      <c r="H130" s="517"/>
      <c r="I130" s="517"/>
      <c r="J130" s="517"/>
      <c r="K130" s="31"/>
      <c r="L130" s="457"/>
      <c r="M130" s="520"/>
      <c r="N130" s="879"/>
      <c r="O130" s="879"/>
      <c r="P130" s="1772"/>
      <c r="Q130" s="439"/>
    </row>
    <row r="131" spans="1:17" ht="14.4" thickBot="1">
      <c r="A131" s="375"/>
      <c r="B131" s="500"/>
      <c r="C131" s="501"/>
      <c r="D131" s="501"/>
      <c r="E131" s="501"/>
      <c r="F131" s="501"/>
      <c r="G131" s="521"/>
      <c r="H131" s="521"/>
      <c r="I131" s="521"/>
      <c r="J131" s="521"/>
      <c r="K131" s="521"/>
      <c r="L131" s="521"/>
      <c r="M131" s="522"/>
      <c r="N131" s="880"/>
      <c r="O131" s="880"/>
      <c r="P131" s="1772"/>
      <c r="Q131" s="439"/>
    </row>
    <row r="136" spans="1:17" ht="15" thickBot="1">
      <c r="B136" s="1778" t="s">
        <v>1746</v>
      </c>
    </row>
    <row r="137" spans="1:17" ht="15">
      <c r="B137" s="1779" t="s">
        <v>1747</v>
      </c>
      <c r="C137" s="1780"/>
      <c r="D137" s="1780"/>
      <c r="E137" s="1780"/>
      <c r="F137" s="1780"/>
      <c r="G137" s="1781"/>
      <c r="H137" s="1782"/>
      <c r="I137" s="1783" t="s">
        <v>1748</v>
      </c>
      <c r="J137" s="1780"/>
      <c r="K137" s="1784"/>
    </row>
    <row r="138" spans="1:17" ht="15">
      <c r="B138" s="1785"/>
      <c r="C138" s="129" t="s">
        <v>1749</v>
      </c>
      <c r="D138" s="129" t="s">
        <v>1750</v>
      </c>
      <c r="E138" s="1786" t="s">
        <v>1751</v>
      </c>
      <c r="F138" s="1787" t="s">
        <v>1752</v>
      </c>
      <c r="G138" s="129" t="s">
        <v>1750</v>
      </c>
      <c r="H138" s="130" t="s">
        <v>1751</v>
      </c>
      <c r="I138" s="1788"/>
      <c r="J138" s="129" t="s">
        <v>1753</v>
      </c>
      <c r="K138" s="130" t="s">
        <v>1754</v>
      </c>
    </row>
    <row r="139" spans="1:17" ht="15">
      <c r="B139" s="814">
        <v>6</v>
      </c>
      <c r="C139" s="815">
        <v>96</v>
      </c>
      <c r="D139" s="1789" t="s">
        <v>1755</v>
      </c>
      <c r="E139" s="816">
        <v>100</v>
      </c>
      <c r="F139" s="817">
        <v>102.5</v>
      </c>
      <c r="G139" s="1789" t="s">
        <v>1755</v>
      </c>
      <c r="H139" s="818">
        <v>105</v>
      </c>
      <c r="I139" s="1790" t="s">
        <v>1756</v>
      </c>
      <c r="J139" s="815">
        <v>20</v>
      </c>
      <c r="K139" s="819">
        <f>C145/(J139-2)</f>
        <v>4.0555555555555553E-3</v>
      </c>
    </row>
    <row r="140" spans="1:17" ht="15">
      <c r="B140" s="820">
        <v>5</v>
      </c>
      <c r="C140" s="821">
        <v>100</v>
      </c>
      <c r="D140" s="821"/>
      <c r="E140" s="822"/>
      <c r="F140" s="823">
        <v>102</v>
      </c>
      <c r="G140" s="821"/>
      <c r="H140" s="824"/>
      <c r="I140" s="1791" t="s">
        <v>1757</v>
      </c>
      <c r="J140" s="263">
        <f>ROUNDUP((J139-1)/2,0)</f>
        <v>10</v>
      </c>
      <c r="K140" s="825">
        <v>100</v>
      </c>
    </row>
    <row r="141" spans="1:17" ht="15">
      <c r="B141" s="820">
        <v>4</v>
      </c>
      <c r="C141" s="821">
        <v>102</v>
      </c>
      <c r="D141" s="821"/>
      <c r="E141" s="822"/>
      <c r="F141" s="823">
        <v>101.5</v>
      </c>
      <c r="G141" s="821"/>
      <c r="H141" s="824"/>
      <c r="I141" s="1791" t="s">
        <v>1758</v>
      </c>
      <c r="J141" s="263">
        <v>1</v>
      </c>
      <c r="K141" s="826">
        <f>ROUND(100+(J141-J140)*K139*100,1)</f>
        <v>96.4</v>
      </c>
    </row>
    <row r="142" spans="1:17" ht="15">
      <c r="B142" s="820">
        <v>3</v>
      </c>
      <c r="C142" s="821">
        <v>103</v>
      </c>
      <c r="D142" s="821"/>
      <c r="E142" s="822"/>
      <c r="F142" s="823">
        <v>101</v>
      </c>
      <c r="G142" s="821"/>
      <c r="H142" s="824"/>
      <c r="I142" s="1791" t="s">
        <v>1759</v>
      </c>
      <c r="J142" s="263">
        <f>J139</f>
        <v>20</v>
      </c>
      <c r="K142" s="827">
        <v>95</v>
      </c>
    </row>
    <row r="143" spans="1:17" ht="15">
      <c r="B143" s="820">
        <v>2</v>
      </c>
      <c r="C143" s="821">
        <v>100</v>
      </c>
      <c r="D143" s="821"/>
      <c r="E143" s="822"/>
      <c r="F143" s="823">
        <v>100.5</v>
      </c>
      <c r="G143" s="821"/>
      <c r="H143" s="824"/>
      <c r="I143" s="1791" t="s">
        <v>1760</v>
      </c>
      <c r="J143" s="821">
        <v>15</v>
      </c>
      <c r="K143" s="826">
        <f>ROUND(100+(J143-J140)*K139*100,1)</f>
        <v>102</v>
      </c>
    </row>
    <row r="144" spans="1:17" ht="15">
      <c r="B144" s="820">
        <v>1</v>
      </c>
      <c r="C144" s="821">
        <v>98</v>
      </c>
      <c r="D144" s="1792" t="s">
        <v>1761</v>
      </c>
      <c r="E144" s="822">
        <v>102</v>
      </c>
      <c r="F144" s="828">
        <v>100</v>
      </c>
      <c r="G144" s="1792" t="s">
        <v>1761</v>
      </c>
      <c r="H144" s="824">
        <v>105</v>
      </c>
      <c r="I144" s="1791" t="s">
        <v>1760</v>
      </c>
      <c r="J144" s="821">
        <v>18</v>
      </c>
      <c r="K144" s="826">
        <f>ROUND(100+(J144-J140)*K139*100,1)</f>
        <v>103.2</v>
      </c>
    </row>
    <row r="145" spans="2:11" ht="16.2" thickBot="1">
      <c r="B145" s="1793" t="s">
        <v>1762</v>
      </c>
      <c r="C145" s="829">
        <f>ROUND(MAX(C139:C144)/MIN(C139:C144)-1,3)</f>
        <v>7.2999999999999995E-2</v>
      </c>
      <c r="D145" s="830"/>
      <c r="E145" s="830"/>
      <c r="F145" s="1794" t="s">
        <v>1763</v>
      </c>
      <c r="G145" s="1795"/>
      <c r="H145" s="1796"/>
      <c r="I145" s="1797" t="s">
        <v>1760</v>
      </c>
      <c r="J145" s="831">
        <v>8</v>
      </c>
      <c r="K145" s="832">
        <f>ROUND(100+(J145-J140)*K139*100,1)</f>
        <v>99.2</v>
      </c>
    </row>
    <row r="147" spans="2:11" ht="14.4">
      <c r="B147" s="1778" t="s">
        <v>1764</v>
      </c>
    </row>
    <row r="148" spans="2:11" ht="14.4">
      <c r="B148" s="1778"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7" sqref="O27"/>
    </sheetView>
  </sheetViews>
  <sheetFormatPr defaultRowHeight="14.4"/>
  <sheetData/>
  <phoneticPr fontId="13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17.399999999999999">
      <c r="A4" s="1382" t="str">
        <f>"受贵公司委托，我公司对"&amp;项目基本情况!S1&amp;"进行了预评估。"</f>
        <v>受贵公司委托，我公司对北京市房地产市场价值进行了预评估。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估价对象为北京市房地产，为所有。根据《国有土地使用证》[]，估价对象（分摊）出让国有建设用地使用权面积为0平方米，建筑面积为57.2平方米。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估价对象为北京市房地产,属开发建设的，该项目尚在开发建设中。根据《国有土地使用证》[]，估价对象（分摊）出让国有建设用地使用权面积为0平方米，规划建筑面积为57.2平方米。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7.399999999999999">
      <c r="A14" s="1381" t="s">
        <v>905</v>
      </c>
    </row>
    <row r="15" spans="1:1" ht="17.399999999999999">
      <c r="A15" s="1386" t="str">
        <f>TEXT(项目基本情况!D3,"yyyy年m月d日;;")&amp;IF(项目基本情况!D3=项目基本情况!B3,"（评估专业人员实地查勘之日）","")</f>
        <v>2025年4月8日（评估专业人员实地查勘之日）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1382" t="str">
        <f>IF(项目基本情况!B9="房地产市场价值","——",IF(项目基本情况!E8="房地产抵押价值",定义!C54,IF(项目基本情况!E8="已注销",定义!C55,定义!C56)))</f>
        <v>——</v>
      </c>
    </row>
    <row r="21" spans="1:1" ht="17.399999999999999">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1382" t="str">
        <f>IF(项目基本情况!B9="房地产市场价值","——",IF(项目基本情况!E9="——","",定义!C57))</f>
        <v>——</v>
      </c>
    </row>
    <row r="23" spans="1:1" ht="17.399999999999999">
      <c r="A23" s="1381" t="s">
        <v>896</v>
      </c>
    </row>
    <row r="24" spans="1:1" ht="17.399999999999999">
      <c r="A24" s="1387" t="str">
        <f>"本次评估采用的主估价方法为"&amp;结果表!K4&amp;"和"&amp;结果表!L4&amp;"。"</f>
        <v>本次评估采用的主估价方法为收益法和比较法。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31" workbookViewId="0">
      <selection activeCell="D43" sqref="D43"/>
    </sheetView>
  </sheetViews>
  <sheetFormatPr defaultRowHeight="14.4"/>
  <cols>
    <col min="2" max="2" width="26.21875" customWidth="1"/>
    <col min="3" max="3" width="15.77734375" customWidth="1"/>
    <col min="4" max="4" width="13.21875" customWidth="1"/>
    <col min="5" max="5" width="7.44140625" customWidth="1"/>
    <col min="6" max="6" width="7.77734375" customWidth="1"/>
    <col min="7" max="7" width="7.88671875" customWidth="1"/>
    <col min="11" max="11" width="12.44140625" customWidth="1"/>
    <col min="14" max="14" width="16.77734375" customWidth="1"/>
    <col min="15" max="15" width="11.88671875" customWidth="1"/>
  </cols>
  <sheetData>
    <row r="1" spans="1:14" ht="15.6" customHeight="1" thickBot="1">
      <c r="A1" s="3177" t="s">
        <v>3408</v>
      </c>
      <c r="B1" s="3177" t="s">
        <v>3409</v>
      </c>
      <c r="C1" s="3177" t="s">
        <v>3410</v>
      </c>
      <c r="D1" s="3177" t="s">
        <v>3411</v>
      </c>
      <c r="E1" s="3177" t="s">
        <v>3412</v>
      </c>
      <c r="F1" s="3177" t="s">
        <v>3413</v>
      </c>
      <c r="G1" s="3177" t="s">
        <v>3414</v>
      </c>
      <c r="H1" s="3177" t="s">
        <v>3415</v>
      </c>
      <c r="I1" s="3177" t="s">
        <v>3416</v>
      </c>
      <c r="J1" s="3177" t="s">
        <v>3417</v>
      </c>
      <c r="K1" s="3177" t="s">
        <v>3418</v>
      </c>
      <c r="L1" s="3177" t="s">
        <v>3419</v>
      </c>
      <c r="M1" s="3177" t="s">
        <v>3420</v>
      </c>
      <c r="N1" s="3177" t="s">
        <v>3421</v>
      </c>
    </row>
    <row r="2" spans="1:14" s="3159" customFormat="1" ht="15.6" customHeight="1" thickBot="1">
      <c r="A2" s="3151" t="s">
        <v>3508</v>
      </c>
      <c r="B2" s="3151" t="s">
        <v>3509</v>
      </c>
      <c r="C2" s="3151" t="s">
        <v>3510</v>
      </c>
      <c r="D2" s="3151" t="s">
        <v>3423</v>
      </c>
      <c r="E2" s="3151">
        <v>66.599999999999994</v>
      </c>
      <c r="F2" s="3151" t="s">
        <v>3422</v>
      </c>
      <c r="G2" s="3151">
        <v>25</v>
      </c>
      <c r="H2" s="3151">
        <v>23</v>
      </c>
      <c r="I2" s="3151" t="s">
        <v>633</v>
      </c>
      <c r="J2" s="3151">
        <v>2000</v>
      </c>
      <c r="K2" s="3151">
        <v>62883</v>
      </c>
      <c r="L2" s="3151">
        <v>62920</v>
      </c>
      <c r="M2" s="3151">
        <v>4190472</v>
      </c>
      <c r="N2" s="3152">
        <v>45755</v>
      </c>
    </row>
    <row r="3" spans="1:14" s="3159" customFormat="1" ht="15.6" customHeight="1" thickBot="1">
      <c r="A3" s="3151" t="s">
        <v>3508</v>
      </c>
      <c r="B3" s="3151" t="s">
        <v>3511</v>
      </c>
      <c r="C3" s="3151" t="s">
        <v>3510</v>
      </c>
      <c r="D3" s="3151" t="s">
        <v>3512</v>
      </c>
      <c r="E3" s="3151">
        <v>169.31</v>
      </c>
      <c r="F3" s="3151" t="s">
        <v>3422</v>
      </c>
      <c r="G3" s="3151" t="s">
        <v>3513</v>
      </c>
      <c r="H3" s="3180">
        <v>45910</v>
      </c>
      <c r="I3" s="3151" t="s">
        <v>633</v>
      </c>
      <c r="J3" s="3151">
        <v>1997</v>
      </c>
      <c r="K3" s="3151">
        <v>39956</v>
      </c>
      <c r="L3" s="3151">
        <v>45204</v>
      </c>
      <c r="M3" s="3151">
        <v>7653489</v>
      </c>
      <c r="N3" s="3152">
        <v>45738</v>
      </c>
    </row>
    <row r="4" spans="1:14" s="3159" customFormat="1" ht="15.6" customHeight="1" thickBot="1">
      <c r="A4" s="3181" t="s">
        <v>3508</v>
      </c>
      <c r="B4" s="3181" t="s">
        <v>3514</v>
      </c>
      <c r="C4" s="3181" t="s">
        <v>3510</v>
      </c>
      <c r="D4" s="3181" t="s">
        <v>3515</v>
      </c>
      <c r="E4" s="3181">
        <v>95.38</v>
      </c>
      <c r="F4" s="3181" t="s">
        <v>3422</v>
      </c>
      <c r="G4" s="3181" t="s">
        <v>3516</v>
      </c>
      <c r="H4" s="3181">
        <v>14</v>
      </c>
      <c r="I4" s="3181">
        <v>2000</v>
      </c>
      <c r="J4" s="3181" t="s">
        <v>633</v>
      </c>
      <c r="K4" s="3181">
        <v>58503</v>
      </c>
      <c r="L4" s="3181">
        <v>58879</v>
      </c>
      <c r="M4" s="3181">
        <v>5615879</v>
      </c>
      <c r="N4" s="3182">
        <v>45728</v>
      </c>
    </row>
    <row r="5" spans="1:14" s="3159" customFormat="1" ht="15.6" customHeight="1" thickBot="1">
      <c r="A5" s="3181" t="s">
        <v>3508</v>
      </c>
      <c r="B5" s="3181" t="s">
        <v>3517</v>
      </c>
      <c r="C5" s="3181" t="s">
        <v>3510</v>
      </c>
      <c r="D5" s="3181" t="s">
        <v>3515</v>
      </c>
      <c r="E5" s="3181">
        <v>95.38</v>
      </c>
      <c r="F5" s="3181" t="s">
        <v>3422</v>
      </c>
      <c r="G5" s="3181">
        <v>16</v>
      </c>
      <c r="H5" s="3181">
        <v>1</v>
      </c>
      <c r="I5" s="3181" t="s">
        <v>633</v>
      </c>
      <c r="J5" s="3181">
        <v>2000</v>
      </c>
      <c r="K5" s="3181">
        <v>54309</v>
      </c>
      <c r="L5" s="3181">
        <v>54395</v>
      </c>
      <c r="M5" s="3181">
        <v>5188195</v>
      </c>
      <c r="N5" s="3182">
        <v>45719</v>
      </c>
    </row>
    <row r="6" spans="1:14" ht="15.6" customHeight="1" thickBot="1">
      <c r="A6" s="3181" t="s">
        <v>3508</v>
      </c>
      <c r="B6" s="3181" t="s">
        <v>3518</v>
      </c>
      <c r="C6" s="3181" t="s">
        <v>3510</v>
      </c>
      <c r="D6" s="3181" t="s">
        <v>3512</v>
      </c>
      <c r="E6" s="3181">
        <v>56.85</v>
      </c>
      <c r="F6" s="3181" t="s">
        <v>3422</v>
      </c>
      <c r="G6" s="3181">
        <v>16</v>
      </c>
      <c r="H6" s="3181">
        <v>2</v>
      </c>
      <c r="I6" s="3181">
        <v>1996</v>
      </c>
      <c r="J6" s="3181" t="s">
        <v>633</v>
      </c>
      <c r="K6" s="3181">
        <v>59807</v>
      </c>
      <c r="L6" s="3181">
        <v>59953</v>
      </c>
      <c r="M6" s="3181">
        <v>3408328</v>
      </c>
      <c r="N6" s="3182">
        <v>45678</v>
      </c>
    </row>
    <row r="7" spans="1:14" ht="15.6" customHeight="1" thickBot="1">
      <c r="A7" s="3181" t="s">
        <v>3508</v>
      </c>
      <c r="B7" s="3181" t="s">
        <v>3519</v>
      </c>
      <c r="C7" s="3181" t="s">
        <v>3510</v>
      </c>
      <c r="D7" s="3181" t="s">
        <v>3423</v>
      </c>
      <c r="E7" s="3181">
        <v>76.36</v>
      </c>
      <c r="F7" s="3181" t="s">
        <v>3422</v>
      </c>
      <c r="G7" s="3181">
        <v>7</v>
      </c>
      <c r="H7" s="3181">
        <v>2</v>
      </c>
      <c r="I7" s="3181">
        <v>1997</v>
      </c>
      <c r="J7" s="3181" t="s">
        <v>633</v>
      </c>
      <c r="K7" s="3181">
        <v>68858</v>
      </c>
      <c r="L7" s="3181">
        <v>66680</v>
      </c>
      <c r="M7" s="3181">
        <v>5091685</v>
      </c>
      <c r="N7" s="3182">
        <v>45664</v>
      </c>
    </row>
    <row r="8" spans="1:14" ht="15.6" customHeight="1" thickBot="1">
      <c r="A8" s="3181" t="s">
        <v>3508</v>
      </c>
      <c r="B8" s="3181" t="s">
        <v>3520</v>
      </c>
      <c r="C8" s="3181" t="s">
        <v>3510</v>
      </c>
      <c r="D8" s="3181" t="s">
        <v>3423</v>
      </c>
      <c r="E8" s="3181">
        <v>66.02</v>
      </c>
      <c r="F8" s="3181" t="s">
        <v>3422</v>
      </c>
      <c r="G8" s="3181">
        <v>16</v>
      </c>
      <c r="H8" s="3181">
        <v>8</v>
      </c>
      <c r="I8" s="3181">
        <v>1996</v>
      </c>
      <c r="J8" s="3181" t="s">
        <v>633</v>
      </c>
      <c r="K8" s="3181">
        <v>54529</v>
      </c>
      <c r="L8" s="3181">
        <v>54530</v>
      </c>
      <c r="M8" s="3181">
        <v>3600071</v>
      </c>
      <c r="N8" s="3182">
        <v>45659</v>
      </c>
    </row>
    <row r="9" spans="1:14" ht="15.6" customHeight="1" thickBot="1">
      <c r="A9" s="3181" t="s">
        <v>3508</v>
      </c>
      <c r="B9" s="3181" t="s">
        <v>3521</v>
      </c>
      <c r="C9" s="3181" t="s">
        <v>3510</v>
      </c>
      <c r="D9" s="3181" t="s">
        <v>3423</v>
      </c>
      <c r="E9" s="3181">
        <v>180.19</v>
      </c>
      <c r="F9" s="3181" t="s">
        <v>3422</v>
      </c>
      <c r="G9" s="3181">
        <v>7</v>
      </c>
      <c r="H9" s="3183">
        <v>45815</v>
      </c>
      <c r="I9" s="3181">
        <v>1997</v>
      </c>
      <c r="J9" s="3181" t="s">
        <v>633</v>
      </c>
      <c r="K9" s="3181">
        <v>43010</v>
      </c>
      <c r="L9" s="3181">
        <v>43025</v>
      </c>
      <c r="M9" s="3181">
        <v>7752675</v>
      </c>
      <c r="N9" s="3182">
        <v>45642</v>
      </c>
    </row>
    <row r="10" spans="1:14" ht="15.6" customHeight="1" thickBot="1">
      <c r="A10" s="3181" t="s">
        <v>3508</v>
      </c>
      <c r="B10" s="3181" t="s">
        <v>3522</v>
      </c>
      <c r="C10" s="3181" t="s">
        <v>3510</v>
      </c>
      <c r="D10" s="3181" t="s">
        <v>3423</v>
      </c>
      <c r="E10" s="3181">
        <v>171.43</v>
      </c>
      <c r="F10" s="3181" t="s">
        <v>3422</v>
      </c>
      <c r="G10" s="3181">
        <v>7</v>
      </c>
      <c r="H10" s="3181">
        <v>3</v>
      </c>
      <c r="I10" s="3181">
        <v>1997</v>
      </c>
      <c r="J10" s="3181" t="s">
        <v>633</v>
      </c>
      <c r="K10" s="3181">
        <v>62533</v>
      </c>
      <c r="L10" s="3181">
        <v>62533</v>
      </c>
      <c r="M10" s="3181">
        <v>10720032</v>
      </c>
      <c r="N10" s="3182">
        <v>45638</v>
      </c>
    </row>
    <row r="11" spans="1:14" ht="15.6" customHeight="1" thickBot="1">
      <c r="A11" s="3181" t="s">
        <v>3508</v>
      </c>
      <c r="B11" s="3181" t="s">
        <v>3523</v>
      </c>
      <c r="C11" s="3181" t="s">
        <v>3510</v>
      </c>
      <c r="D11" s="3181" t="s">
        <v>3423</v>
      </c>
      <c r="E11" s="3181">
        <v>98.59</v>
      </c>
      <c r="F11" s="3181" t="s">
        <v>3422</v>
      </c>
      <c r="G11" s="3181" t="s">
        <v>3516</v>
      </c>
      <c r="H11" s="3181">
        <v>1</v>
      </c>
      <c r="I11" s="3181" t="s">
        <v>633</v>
      </c>
      <c r="J11" s="3181">
        <v>2000</v>
      </c>
      <c r="K11" s="3181">
        <v>63495</v>
      </c>
      <c r="L11" s="3181">
        <v>60565</v>
      </c>
      <c r="M11" s="3181">
        <v>5971103</v>
      </c>
      <c r="N11" s="3182">
        <v>45629</v>
      </c>
    </row>
    <row r="12" spans="1:14" ht="15.6" customHeight="1" thickBot="1">
      <c r="A12" s="3181" t="s">
        <v>3508</v>
      </c>
      <c r="B12" s="3181" t="s">
        <v>3524</v>
      </c>
      <c r="C12" s="3181" t="s">
        <v>3510</v>
      </c>
      <c r="D12" s="3181" t="s">
        <v>3512</v>
      </c>
      <c r="E12" s="3181">
        <v>74.75</v>
      </c>
      <c r="F12" s="3181" t="s">
        <v>3422</v>
      </c>
      <c r="G12" s="3181">
        <v>16</v>
      </c>
      <c r="H12" s="3181">
        <v>4</v>
      </c>
      <c r="I12" s="3181">
        <v>1996</v>
      </c>
      <c r="J12" s="3181" t="s">
        <v>633</v>
      </c>
      <c r="K12" s="3181">
        <v>66823</v>
      </c>
      <c r="L12" s="3181">
        <v>66825</v>
      </c>
      <c r="M12" s="3181">
        <v>4995169</v>
      </c>
      <c r="N12" s="3182">
        <v>45624</v>
      </c>
    </row>
    <row r="13" spans="1:14" ht="15.6" customHeight="1" thickBot="1">
      <c r="A13" s="3181" t="s">
        <v>3508</v>
      </c>
      <c r="B13" s="3181" t="s">
        <v>3525</v>
      </c>
      <c r="C13" s="3181" t="s">
        <v>3510</v>
      </c>
      <c r="D13" s="3181" t="s">
        <v>3423</v>
      </c>
      <c r="E13" s="3181">
        <v>103.91</v>
      </c>
      <c r="F13" s="3181" t="s">
        <v>3422</v>
      </c>
      <c r="G13" s="3181">
        <v>16</v>
      </c>
      <c r="H13" s="3181">
        <v>12</v>
      </c>
      <c r="I13" s="3181">
        <v>1996</v>
      </c>
      <c r="J13" s="3181" t="s">
        <v>633</v>
      </c>
      <c r="K13" s="3181">
        <v>55721</v>
      </c>
      <c r="L13" s="3181">
        <v>55722</v>
      </c>
      <c r="M13" s="3181">
        <v>5790073</v>
      </c>
      <c r="N13" s="3182">
        <v>45601</v>
      </c>
    </row>
    <row r="14" spans="1:14" ht="15" thickBot="1">
      <c r="A14" s="3181" t="s">
        <v>3508</v>
      </c>
      <c r="B14" s="3181" t="s">
        <v>3526</v>
      </c>
      <c r="C14" s="3181" t="s">
        <v>3510</v>
      </c>
      <c r="D14" s="3181" t="s">
        <v>3423</v>
      </c>
      <c r="E14" s="3181">
        <v>70.959999999999994</v>
      </c>
      <c r="F14" s="3181" t="s">
        <v>3422</v>
      </c>
      <c r="G14" s="3181">
        <v>16</v>
      </c>
      <c r="H14" s="3181">
        <v>8</v>
      </c>
      <c r="I14" s="3181" t="s">
        <v>633</v>
      </c>
      <c r="J14" s="3181">
        <v>1996</v>
      </c>
      <c r="K14" s="3181">
        <v>58906</v>
      </c>
      <c r="L14" s="3181">
        <v>58907</v>
      </c>
      <c r="M14" s="3181">
        <v>4180041</v>
      </c>
      <c r="N14" s="3181" t="s">
        <v>3527</v>
      </c>
    </row>
    <row r="15" spans="1:14" s="3159" customFormat="1" ht="15" thickBot="1">
      <c r="A15" s="3181" t="s">
        <v>3508</v>
      </c>
      <c r="B15" s="3181" t="s">
        <v>3528</v>
      </c>
      <c r="C15" s="3181" t="s">
        <v>3510</v>
      </c>
      <c r="D15" s="3181" t="s">
        <v>3423</v>
      </c>
      <c r="E15" s="3181">
        <v>57.2</v>
      </c>
      <c r="F15" s="3181" t="s">
        <v>3422</v>
      </c>
      <c r="G15" s="3181">
        <v>16</v>
      </c>
      <c r="H15" s="3181">
        <v>9</v>
      </c>
      <c r="I15" s="3181" t="s">
        <v>633</v>
      </c>
      <c r="J15" s="3181">
        <v>2000</v>
      </c>
      <c r="K15" s="3181">
        <v>52273</v>
      </c>
      <c r="L15" s="3181">
        <v>52275</v>
      </c>
      <c r="M15" s="3181">
        <v>2990130</v>
      </c>
      <c r="N15" s="3182">
        <v>45564</v>
      </c>
    </row>
    <row r="16" spans="1:14" ht="15" thickBot="1">
      <c r="A16" s="3181" t="s">
        <v>3508</v>
      </c>
      <c r="B16" s="3181" t="s">
        <v>3529</v>
      </c>
      <c r="C16" s="3181" t="s">
        <v>3510</v>
      </c>
      <c r="D16" s="3181" t="s">
        <v>3423</v>
      </c>
      <c r="E16" s="3181">
        <v>56.61</v>
      </c>
      <c r="F16" s="3181" t="s">
        <v>3422</v>
      </c>
      <c r="G16" s="3181">
        <v>16</v>
      </c>
      <c r="H16" s="3181">
        <v>12</v>
      </c>
      <c r="I16" s="3181" t="s">
        <v>633</v>
      </c>
      <c r="J16" s="3181">
        <v>2000</v>
      </c>
      <c r="K16" s="3181">
        <v>50344</v>
      </c>
      <c r="L16" s="3181">
        <v>50792</v>
      </c>
      <c r="M16" s="3181">
        <v>2875335</v>
      </c>
      <c r="N16" s="3182">
        <v>45526</v>
      </c>
    </row>
    <row r="17" spans="1:17" ht="15" thickBot="1">
      <c r="A17" s="3181" t="s">
        <v>3508</v>
      </c>
      <c r="B17" s="3181" t="s">
        <v>3530</v>
      </c>
      <c r="C17" s="3181" t="s">
        <v>3510</v>
      </c>
      <c r="D17" s="3181" t="s">
        <v>3423</v>
      </c>
      <c r="E17" s="3181">
        <v>56.61</v>
      </c>
      <c r="F17" s="3181" t="s">
        <v>3422</v>
      </c>
      <c r="G17" s="3181" t="s">
        <v>3531</v>
      </c>
      <c r="H17" s="3181">
        <v>16</v>
      </c>
      <c r="I17" s="3181" t="s">
        <v>633</v>
      </c>
      <c r="J17" s="3181">
        <v>2000</v>
      </c>
      <c r="K17" s="3181">
        <v>56527</v>
      </c>
      <c r="L17" s="3151">
        <v>56726</v>
      </c>
      <c r="M17" s="3151">
        <v>3211259</v>
      </c>
      <c r="N17" s="3152">
        <v>45398</v>
      </c>
    </row>
    <row r="18" spans="1:17" ht="15" thickBot="1">
      <c r="A18" s="3151" t="s">
        <v>3508</v>
      </c>
      <c r="B18" s="3151" t="s">
        <v>3532</v>
      </c>
      <c r="C18" s="3151" t="s">
        <v>3510</v>
      </c>
      <c r="D18" s="3151" t="s">
        <v>3515</v>
      </c>
      <c r="E18" s="3151">
        <v>78.92</v>
      </c>
      <c r="F18" s="3151" t="s">
        <v>3422</v>
      </c>
      <c r="G18" s="3151" t="s">
        <v>3531</v>
      </c>
      <c r="H18" s="3151">
        <v>10</v>
      </c>
      <c r="I18" s="3151" t="s">
        <v>633</v>
      </c>
      <c r="J18" s="3151">
        <v>2000</v>
      </c>
      <c r="K18" s="3151">
        <v>66903</v>
      </c>
      <c r="L18" s="3151">
        <v>64292</v>
      </c>
      <c r="M18" s="3151">
        <v>5073925</v>
      </c>
      <c r="N18" s="3152">
        <v>45171</v>
      </c>
    </row>
    <row r="19" spans="1:17" ht="15" thickBot="1"/>
    <row r="20" spans="1:17" ht="15" thickBot="1">
      <c r="A20" s="3177" t="s">
        <v>3408</v>
      </c>
      <c r="B20" s="3177" t="s">
        <v>3409</v>
      </c>
      <c r="C20" s="3177" t="s">
        <v>3410</v>
      </c>
      <c r="D20" s="3177" t="s">
        <v>3411</v>
      </c>
      <c r="E20" s="3177" t="s">
        <v>3412</v>
      </c>
      <c r="F20" s="3177" t="s">
        <v>3413</v>
      </c>
      <c r="G20" s="3177" t="s">
        <v>3414</v>
      </c>
      <c r="H20" s="3177" t="s">
        <v>3415</v>
      </c>
      <c r="I20" s="3177" t="s">
        <v>3416</v>
      </c>
      <c r="J20" s="3177" t="s">
        <v>3417</v>
      </c>
      <c r="K20" s="3177" t="s">
        <v>3418</v>
      </c>
      <c r="L20" s="3177" t="s">
        <v>3419</v>
      </c>
      <c r="M20" s="3177" t="s">
        <v>3420</v>
      </c>
      <c r="N20" s="3177" t="s">
        <v>3421</v>
      </c>
    </row>
    <row r="21" spans="1:17" ht="15" thickBot="1">
      <c r="A21" s="3151" t="s">
        <v>3508</v>
      </c>
      <c r="B21" s="3151" t="s">
        <v>3514</v>
      </c>
      <c r="C21" s="3151" t="s">
        <v>3510</v>
      </c>
      <c r="D21" s="3151" t="s">
        <v>3515</v>
      </c>
      <c r="E21" s="3151">
        <v>95.38</v>
      </c>
      <c r="F21" s="3151" t="s">
        <v>3422</v>
      </c>
      <c r="G21" s="3151" t="s">
        <v>3516</v>
      </c>
      <c r="H21" s="3151">
        <v>14</v>
      </c>
      <c r="I21" s="3151">
        <v>2000</v>
      </c>
      <c r="J21" s="3151" t="s">
        <v>633</v>
      </c>
      <c r="K21" s="3151">
        <v>58503</v>
      </c>
      <c r="L21" s="3151">
        <v>58879</v>
      </c>
      <c r="M21" s="3151">
        <v>5615879</v>
      </c>
      <c r="N21" s="3152">
        <v>45728</v>
      </c>
    </row>
    <row r="22" spans="1:17" ht="15" thickBot="1">
      <c r="A22" s="3151" t="s">
        <v>3508</v>
      </c>
      <c r="B22" s="3151" t="s">
        <v>3517</v>
      </c>
      <c r="C22" s="3151" t="s">
        <v>3510</v>
      </c>
      <c r="D22" s="3151" t="s">
        <v>3515</v>
      </c>
      <c r="E22" s="3151">
        <v>95.38</v>
      </c>
      <c r="F22" s="3151" t="s">
        <v>3422</v>
      </c>
      <c r="G22" s="3151">
        <v>16</v>
      </c>
      <c r="H22" s="3151">
        <v>1</v>
      </c>
      <c r="I22" s="3151" t="s">
        <v>633</v>
      </c>
      <c r="J22" s="3151">
        <v>2000</v>
      </c>
      <c r="K22" s="3151">
        <v>54309</v>
      </c>
      <c r="L22" s="3151">
        <v>54395</v>
      </c>
      <c r="M22" s="3151">
        <v>5188195</v>
      </c>
      <c r="N22" s="3152">
        <v>45719</v>
      </c>
    </row>
    <row r="23" spans="1:17" ht="15" thickBot="1">
      <c r="A23" s="3151" t="s">
        <v>3508</v>
      </c>
      <c r="B23" s="3151" t="s">
        <v>3523</v>
      </c>
      <c r="C23" s="3151" t="s">
        <v>3510</v>
      </c>
      <c r="D23" s="3151" t="s">
        <v>3423</v>
      </c>
      <c r="E23" s="3151">
        <v>98.59</v>
      </c>
      <c r="F23" s="3151" t="s">
        <v>3422</v>
      </c>
      <c r="G23" s="3151" t="s">
        <v>3516</v>
      </c>
      <c r="H23" s="3151">
        <v>1</v>
      </c>
      <c r="I23" s="3151" t="s">
        <v>633</v>
      </c>
      <c r="J23" s="3151">
        <v>2000</v>
      </c>
      <c r="K23" s="3151">
        <v>63495</v>
      </c>
      <c r="L23" s="3151">
        <v>60565</v>
      </c>
      <c r="M23" s="3151">
        <v>5971103</v>
      </c>
      <c r="N23" s="3152">
        <v>45629</v>
      </c>
    </row>
    <row r="24" spans="1:17" s="3159" customFormat="1" ht="15" thickBot="1">
      <c r="A24" s="3157" t="s">
        <v>3508</v>
      </c>
      <c r="B24" s="3157" t="s">
        <v>3561</v>
      </c>
      <c r="C24" s="3157" t="s">
        <v>3559</v>
      </c>
      <c r="D24" s="3157" t="s">
        <v>3423</v>
      </c>
      <c r="E24" s="3157">
        <v>57.2</v>
      </c>
      <c r="F24" s="3157" t="s">
        <v>3422</v>
      </c>
      <c r="G24" s="3157">
        <v>16</v>
      </c>
      <c r="H24" s="3157">
        <v>9</v>
      </c>
      <c r="I24" s="3157" t="s">
        <v>633</v>
      </c>
      <c r="J24" s="3157">
        <v>2000</v>
      </c>
      <c r="K24" s="3157">
        <v>52273</v>
      </c>
      <c r="L24" s="3157">
        <v>52275</v>
      </c>
      <c r="M24" s="3157">
        <v>2990130</v>
      </c>
      <c r="N24" s="3158">
        <v>45564</v>
      </c>
      <c r="O24" s="3184" t="s">
        <v>3535</v>
      </c>
      <c r="P24" s="3159" t="s">
        <v>3536</v>
      </c>
      <c r="Q24" s="3159" t="s">
        <v>3537</v>
      </c>
    </row>
    <row r="25" spans="1:17" ht="15" thickBot="1">
      <c r="A25" s="3157" t="s">
        <v>3508</v>
      </c>
      <c r="B25" s="3157" t="s">
        <v>3558</v>
      </c>
      <c r="C25" s="3157" t="s">
        <v>3510</v>
      </c>
      <c r="D25" s="3157" t="s">
        <v>3423</v>
      </c>
      <c r="E25" s="3157">
        <v>56.61</v>
      </c>
      <c r="F25" s="3157" t="s">
        <v>3422</v>
      </c>
      <c r="G25" s="3157">
        <v>16</v>
      </c>
      <c r="H25" s="3157">
        <v>12</v>
      </c>
      <c r="I25" s="3157" t="s">
        <v>633</v>
      </c>
      <c r="J25" s="3157">
        <v>2000</v>
      </c>
      <c r="K25" s="3157">
        <v>50344</v>
      </c>
      <c r="L25" s="3157">
        <v>50792</v>
      </c>
      <c r="M25" s="3157">
        <v>2875335</v>
      </c>
      <c r="N25" s="3158">
        <v>45526</v>
      </c>
      <c r="P25" s="1405" t="s">
        <v>3539</v>
      </c>
      <c r="Q25" s="3159" t="s">
        <v>3537</v>
      </c>
    </row>
    <row r="26" spans="1:17" ht="15" thickBot="1">
      <c r="A26" s="3157" t="s">
        <v>3508</v>
      </c>
      <c r="B26" s="3157" t="s">
        <v>3562</v>
      </c>
      <c r="C26" s="3157" t="s">
        <v>3510</v>
      </c>
      <c r="D26" s="3157" t="s">
        <v>3423</v>
      </c>
      <c r="E26" s="3157">
        <v>56.61</v>
      </c>
      <c r="F26" s="3157" t="s">
        <v>3422</v>
      </c>
      <c r="G26" s="3157" t="s">
        <v>3531</v>
      </c>
      <c r="H26" s="3157">
        <v>16</v>
      </c>
      <c r="I26" s="3157" t="s">
        <v>633</v>
      </c>
      <c r="J26" s="3157">
        <v>2000</v>
      </c>
      <c r="K26" s="3157">
        <v>56527</v>
      </c>
      <c r="L26" s="3157">
        <v>56726</v>
      </c>
      <c r="M26" s="3157">
        <v>3211259</v>
      </c>
      <c r="N26" s="3158">
        <v>45398</v>
      </c>
      <c r="P26" s="1405" t="s">
        <v>3539</v>
      </c>
      <c r="Q26" s="3159" t="s">
        <v>3537</v>
      </c>
    </row>
    <row r="27" spans="1:17" ht="15" thickBot="1">
      <c r="A27" s="3151" t="s">
        <v>3508</v>
      </c>
      <c r="B27" s="3151" t="s">
        <v>3518</v>
      </c>
      <c r="C27" s="3151" t="s">
        <v>3510</v>
      </c>
      <c r="D27" s="3151" t="s">
        <v>3512</v>
      </c>
      <c r="E27" s="3151">
        <v>56.85</v>
      </c>
      <c r="F27" s="3151" t="s">
        <v>3422</v>
      </c>
      <c r="G27" s="3151">
        <v>16</v>
      </c>
      <c r="H27" s="3151">
        <v>2</v>
      </c>
      <c r="I27" s="3151">
        <v>1996</v>
      </c>
      <c r="J27" s="3151" t="s">
        <v>633</v>
      </c>
      <c r="K27" s="3151">
        <v>59807</v>
      </c>
      <c r="L27" s="3151">
        <v>59953</v>
      </c>
      <c r="M27" s="3151">
        <v>3408328</v>
      </c>
      <c r="N27" s="3152">
        <v>45678</v>
      </c>
    </row>
    <row r="28" spans="1:17" ht="15" thickBot="1">
      <c r="A28" s="3151" t="s">
        <v>3508</v>
      </c>
      <c r="B28" s="3151" t="s">
        <v>3520</v>
      </c>
      <c r="C28" s="3151" t="s">
        <v>3510</v>
      </c>
      <c r="D28" s="3151" t="s">
        <v>3423</v>
      </c>
      <c r="E28" s="3151">
        <v>66.02</v>
      </c>
      <c r="F28" s="3151" t="s">
        <v>3422</v>
      </c>
      <c r="G28" s="3151">
        <v>16</v>
      </c>
      <c r="H28" s="3151">
        <v>8</v>
      </c>
      <c r="I28" s="3151">
        <v>1996</v>
      </c>
      <c r="J28" s="3151" t="s">
        <v>633</v>
      </c>
      <c r="K28" s="3151">
        <v>54529</v>
      </c>
      <c r="L28" s="3151">
        <v>54530</v>
      </c>
      <c r="M28" s="3151">
        <v>3600071</v>
      </c>
      <c r="N28" s="3152">
        <v>45659</v>
      </c>
    </row>
    <row r="29" spans="1:17" ht="15" thickBot="1">
      <c r="A29" s="3151" t="s">
        <v>3508</v>
      </c>
      <c r="B29" s="3151" t="s">
        <v>3524</v>
      </c>
      <c r="C29" s="3151" t="s">
        <v>3510</v>
      </c>
      <c r="D29" s="3151" t="s">
        <v>3512</v>
      </c>
      <c r="E29" s="3151">
        <v>74.75</v>
      </c>
      <c r="F29" s="3151" t="s">
        <v>3422</v>
      </c>
      <c r="G29" s="3151">
        <v>16</v>
      </c>
      <c r="H29" s="3151">
        <v>4</v>
      </c>
      <c r="I29" s="3151">
        <v>1996</v>
      </c>
      <c r="J29" s="3151" t="s">
        <v>633</v>
      </c>
      <c r="K29" s="3151">
        <v>66823</v>
      </c>
      <c r="L29" s="3151">
        <v>66825</v>
      </c>
      <c r="M29" s="3151">
        <v>4995169</v>
      </c>
      <c r="N29" s="3152">
        <v>45624</v>
      </c>
    </row>
    <row r="30" spans="1:17" ht="15" thickBot="1">
      <c r="A30" s="3151" t="s">
        <v>3508</v>
      </c>
      <c r="B30" s="3151" t="s">
        <v>3525</v>
      </c>
      <c r="C30" s="3151" t="s">
        <v>3510</v>
      </c>
      <c r="D30" s="3151" t="s">
        <v>3423</v>
      </c>
      <c r="E30" s="3151">
        <v>103.91</v>
      </c>
      <c r="F30" s="3151" t="s">
        <v>3422</v>
      </c>
      <c r="G30" s="3151">
        <v>16</v>
      </c>
      <c r="H30" s="3151">
        <v>12</v>
      </c>
      <c r="I30" s="3151">
        <v>1996</v>
      </c>
      <c r="J30" s="3151" t="s">
        <v>633</v>
      </c>
      <c r="K30" s="3151">
        <v>55721</v>
      </c>
      <c r="L30" s="3151">
        <v>55722</v>
      </c>
      <c r="M30" s="3151">
        <v>5790073</v>
      </c>
      <c r="N30" s="3152">
        <v>45601</v>
      </c>
    </row>
    <row r="31" spans="1:17" ht="15" thickBot="1">
      <c r="A31" s="3151" t="s">
        <v>3508</v>
      </c>
      <c r="B31" s="3151" t="s">
        <v>3526</v>
      </c>
      <c r="C31" s="3151" t="s">
        <v>3510</v>
      </c>
      <c r="D31" s="3151" t="s">
        <v>3423</v>
      </c>
      <c r="E31" s="3151">
        <v>70.959999999999994</v>
      </c>
      <c r="F31" s="3151" t="s">
        <v>3422</v>
      </c>
      <c r="G31" s="3151">
        <v>16</v>
      </c>
      <c r="H31" s="3151">
        <v>8</v>
      </c>
      <c r="I31" s="3151" t="s">
        <v>633</v>
      </c>
      <c r="J31" s="3151">
        <v>1996</v>
      </c>
      <c r="K31" s="3151">
        <v>58906</v>
      </c>
      <c r="L31" s="3151">
        <v>58907</v>
      </c>
      <c r="M31" s="3151">
        <v>4180041</v>
      </c>
      <c r="N31" s="3151" t="s">
        <v>3527</v>
      </c>
    </row>
    <row r="32" spans="1:17" ht="15" thickBot="1">
      <c r="A32" s="3151" t="s">
        <v>3508</v>
      </c>
      <c r="B32" s="3151" t="s">
        <v>3533</v>
      </c>
      <c r="C32" s="3151" t="s">
        <v>3510</v>
      </c>
      <c r="D32" s="3151" t="s">
        <v>3423</v>
      </c>
      <c r="E32" s="3151">
        <v>75.02</v>
      </c>
      <c r="F32" s="3151" t="s">
        <v>3422</v>
      </c>
      <c r="G32" s="3151">
        <v>16</v>
      </c>
      <c r="H32" s="3151">
        <v>4</v>
      </c>
      <c r="I32" s="3151">
        <v>1996</v>
      </c>
      <c r="J32" s="3151" t="s">
        <v>633</v>
      </c>
      <c r="K32" s="3151">
        <v>56652</v>
      </c>
      <c r="L32" s="3151">
        <v>56725</v>
      </c>
      <c r="M32" s="3151">
        <v>4255510</v>
      </c>
      <c r="N32" s="3152">
        <v>45449</v>
      </c>
    </row>
  </sheetData>
  <phoneticPr fontId="134"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workbookViewId="0">
      <selection activeCell="A4" sqref="A4"/>
    </sheetView>
  </sheetViews>
  <sheetFormatPr defaultRowHeight="14.4"/>
  <cols>
    <col min="1" max="1" width="16.77734375" customWidth="1"/>
    <col min="3" max="3" width="9.44140625" bestFit="1" customWidth="1"/>
    <col min="5" max="5" width="9.44140625" bestFit="1" customWidth="1"/>
    <col min="7" max="7" width="11.6640625" bestFit="1" customWidth="1"/>
  </cols>
  <sheetData>
    <row r="1" spans="1:7">
      <c r="A1" s="1405"/>
      <c r="B1" s="1405"/>
    </row>
    <row r="2" spans="1:7">
      <c r="A2" s="1405"/>
      <c r="B2" s="1405" t="s">
        <v>3491</v>
      </c>
      <c r="C2" s="1405" t="s">
        <v>3492</v>
      </c>
      <c r="D2" s="1405" t="s">
        <v>3493</v>
      </c>
      <c r="E2" s="1405" t="s">
        <v>3494</v>
      </c>
      <c r="F2" s="1405" t="s">
        <v>3495</v>
      </c>
      <c r="G2" s="1405" t="s">
        <v>3496</v>
      </c>
    </row>
    <row r="3" spans="1:7">
      <c r="B3">
        <v>57.2</v>
      </c>
      <c r="C3">
        <v>4312480</v>
      </c>
      <c r="D3">
        <f>ROUND(C3/B3,0)</f>
        <v>75393</v>
      </c>
      <c r="E3">
        <v>3018736</v>
      </c>
      <c r="F3">
        <f>E3/B3</f>
        <v>52775.104895104894</v>
      </c>
      <c r="G3" s="3173">
        <v>45510</v>
      </c>
    </row>
    <row r="4" spans="1:7">
      <c r="A4" s="3174" t="s">
        <v>3560</v>
      </c>
    </row>
    <row r="26" spans="1:7">
      <c r="A26" s="1405"/>
      <c r="B26" s="1405"/>
    </row>
    <row r="27" spans="1:7">
      <c r="A27" s="1405"/>
      <c r="B27" s="1405" t="s">
        <v>3491</v>
      </c>
      <c r="C27" s="1405" t="s">
        <v>3492</v>
      </c>
      <c r="D27" s="1405" t="s">
        <v>3493</v>
      </c>
      <c r="E27" s="1405" t="s">
        <v>3494</v>
      </c>
      <c r="F27" s="1405" t="s">
        <v>3495</v>
      </c>
      <c r="G27" s="1405" t="s">
        <v>3496</v>
      </c>
    </row>
    <row r="28" spans="1:7">
      <c r="B28">
        <v>90.49</v>
      </c>
      <c r="C28">
        <v>3092880</v>
      </c>
      <c r="D28">
        <f>ROUND(C28/B28,0)</f>
        <v>34179</v>
      </c>
      <c r="G28" s="3173">
        <v>44652</v>
      </c>
    </row>
    <row r="29" spans="1:7">
      <c r="A29" s="3174" t="s">
        <v>3500</v>
      </c>
    </row>
    <row r="49" spans="1:8">
      <c r="A49" s="1405"/>
      <c r="B49" s="1405"/>
    </row>
    <row r="50" spans="1:8">
      <c r="A50" s="1405"/>
      <c r="B50" s="3178" t="s">
        <v>3491</v>
      </c>
      <c r="C50" s="3178" t="s">
        <v>3492</v>
      </c>
      <c r="D50" s="3178" t="s">
        <v>3493</v>
      </c>
      <c r="E50" s="3178" t="s">
        <v>3494</v>
      </c>
      <c r="F50" s="3178" t="s">
        <v>3495</v>
      </c>
      <c r="G50" s="3178" t="s">
        <v>3496</v>
      </c>
      <c r="H50" s="3176"/>
    </row>
    <row r="51" spans="1:8">
      <c r="B51" s="3176">
        <v>120.69</v>
      </c>
      <c r="C51" s="3176">
        <v>5016200</v>
      </c>
      <c r="D51" s="3176">
        <f>ROUND(C51/B51,0)</f>
        <v>41563</v>
      </c>
      <c r="E51" s="3176">
        <v>4150180</v>
      </c>
      <c r="F51" s="3176">
        <f>ROUND(E51/B51,0)</f>
        <v>34387</v>
      </c>
      <c r="G51" s="3179">
        <v>45292</v>
      </c>
      <c r="H51" s="3176"/>
    </row>
    <row r="52" spans="1:8">
      <c r="A52" s="3174" t="s">
        <v>3501</v>
      </c>
      <c r="B52" s="3174"/>
    </row>
    <row r="72" spans="1:7">
      <c r="A72" s="3174" t="s">
        <v>3502</v>
      </c>
    </row>
    <row r="73" spans="1:7">
      <c r="B73" s="3178" t="s">
        <v>3491</v>
      </c>
      <c r="C73" s="3178" t="s">
        <v>3492</v>
      </c>
      <c r="D73" s="3178" t="s">
        <v>3493</v>
      </c>
      <c r="E73" s="3178" t="s">
        <v>3494</v>
      </c>
      <c r="F73" s="3178" t="s">
        <v>3495</v>
      </c>
      <c r="G73" s="3178" t="s">
        <v>3496</v>
      </c>
    </row>
    <row r="74" spans="1:7">
      <c r="B74" s="3176">
        <v>90.49</v>
      </c>
      <c r="C74" s="3176">
        <v>3638211</v>
      </c>
      <c r="D74" s="3176">
        <f>ROUND(C74/B74,0)</f>
        <v>40206</v>
      </c>
      <c r="E74" s="3176">
        <v>2648612</v>
      </c>
      <c r="F74" s="3176">
        <f>ROUND(E74/B74,0)</f>
        <v>29270</v>
      </c>
      <c r="G74" s="3179">
        <v>45713</v>
      </c>
    </row>
    <row r="96" spans="1:1">
      <c r="A96" s="3174" t="s">
        <v>3503</v>
      </c>
    </row>
    <row r="97" spans="2:7">
      <c r="B97" s="1405" t="s">
        <v>3491</v>
      </c>
      <c r="C97" s="1405" t="s">
        <v>3492</v>
      </c>
      <c r="D97" s="1405" t="s">
        <v>3493</v>
      </c>
      <c r="E97" s="1405" t="s">
        <v>3494</v>
      </c>
      <c r="F97" s="1405" t="s">
        <v>3495</v>
      </c>
      <c r="G97" s="1405" t="s">
        <v>3496</v>
      </c>
    </row>
    <row r="98" spans="2:7">
      <c r="B98">
        <v>90.49</v>
      </c>
      <c r="C98">
        <v>3866100</v>
      </c>
      <c r="D98">
        <f>ROUND(C98/B98,0)</f>
        <v>42724</v>
      </c>
      <c r="G98" s="3173">
        <v>45713</v>
      </c>
    </row>
    <row r="118" spans="1:7">
      <c r="A118" s="3174" t="s">
        <v>3504</v>
      </c>
    </row>
    <row r="120" spans="1:7">
      <c r="B120" s="3178" t="s">
        <v>3491</v>
      </c>
      <c r="C120" s="3178" t="s">
        <v>3492</v>
      </c>
      <c r="D120" s="3178" t="s">
        <v>3493</v>
      </c>
      <c r="E120" s="3178" t="s">
        <v>3494</v>
      </c>
      <c r="F120" s="3178" t="s">
        <v>3495</v>
      </c>
      <c r="G120" s="3178" t="s">
        <v>3496</v>
      </c>
    </row>
    <row r="121" spans="1:7">
      <c r="B121" s="3176">
        <v>87.97</v>
      </c>
      <c r="C121" s="3176">
        <v>3863687</v>
      </c>
      <c r="D121" s="3176">
        <f>ROUND(C121/B121,0)</f>
        <v>43921</v>
      </c>
      <c r="E121" s="3176">
        <v>2630000</v>
      </c>
      <c r="F121" s="3176">
        <f>ROUND(E121/B121,0)</f>
        <v>29897</v>
      </c>
      <c r="G121" s="3179">
        <v>45601</v>
      </c>
    </row>
  </sheetData>
  <phoneticPr fontId="134" type="noConversion"/>
  <hyperlinks>
    <hyperlink ref="A29" r:id="rId1"/>
    <hyperlink ref="A52" r:id="rId2"/>
    <hyperlink ref="A72" r:id="rId3"/>
    <hyperlink ref="A96" r:id="rId4"/>
    <hyperlink ref="A118" r:id="rId5"/>
    <hyperlink ref="A4" r:id="rId6"/>
  </hyperlinks>
  <pageMargins left="0.7" right="0.7" top="0.75" bottom="0.75" header="0.3" footer="0.3"/>
  <drawing r:id="rId7"/>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6"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c r="E1" s="3122"/>
      <c r="F1" s="1735"/>
      <c r="G1" s="1152" t="s">
        <v>1767</v>
      </c>
      <c r="H1" s="1151"/>
      <c r="I1" s="1151"/>
      <c r="J1" s="1151"/>
      <c r="K1" s="1153"/>
      <c r="L1" s="1154"/>
      <c r="M1" s="1155"/>
      <c r="N1" s="1155"/>
      <c r="O1" s="1155"/>
      <c r="P1" s="1798"/>
      <c r="Q1" s="1799"/>
      <c r="R1" s="1799"/>
      <c r="S1" s="1799"/>
      <c r="T1" s="1799"/>
      <c r="U1" s="1799"/>
      <c r="V1" s="1799"/>
      <c r="W1" s="1799"/>
      <c r="X1" s="1799"/>
      <c r="Y1" s="1799"/>
      <c r="Z1" s="1799"/>
      <c r="AA1" s="1799"/>
      <c r="AB1" s="1799"/>
      <c r="AC1" s="1800"/>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1801"/>
      <c r="Q2" s="859"/>
      <c r="R2" s="859"/>
      <c r="S2" s="859"/>
      <c r="T2" s="859"/>
      <c r="U2" s="859"/>
      <c r="V2" s="859"/>
      <c r="W2" s="859"/>
      <c r="X2" s="859"/>
      <c r="Y2" s="859"/>
      <c r="Z2" s="859"/>
      <c r="AA2" s="859"/>
      <c r="AB2" s="859"/>
      <c r="AC2" s="1802"/>
    </row>
    <row r="3" spans="1:29" s="342" customFormat="1" ht="28.5" customHeight="1" thickBot="1">
      <c r="A3" s="195" t="s">
        <v>1464</v>
      </c>
      <c r="B3" s="536">
        <f>IF(C2="——",C49,ROUND(B2*10000/D3,0))</f>
        <v>0</v>
      </c>
      <c r="C3" s="344" t="s">
        <v>1768</v>
      </c>
      <c r="D3" s="343">
        <f>IF(D1="",'数据-汇总表'!E3,SUMIF('数据-汇总表'!$C19:$C33,D1,'数据-汇总表'!$E19:$E33))</f>
        <v>57.2</v>
      </c>
      <c r="E3" s="1802"/>
      <c r="F3" s="856"/>
      <c r="G3" s="855"/>
      <c r="H3" s="855"/>
      <c r="I3" s="855"/>
      <c r="J3" s="855"/>
      <c r="K3" s="857"/>
      <c r="L3" s="2501"/>
      <c r="M3" s="2502"/>
      <c r="N3" s="2502"/>
      <c r="O3" s="2502"/>
      <c r="P3" s="1801"/>
      <c r="Q3" s="859"/>
      <c r="R3" s="859"/>
      <c r="S3" s="859"/>
      <c r="T3" s="859"/>
      <c r="U3" s="859"/>
      <c r="V3" s="859"/>
      <c r="W3" s="859"/>
      <c r="X3" s="859"/>
      <c r="Y3" s="859"/>
      <c r="Z3" s="859"/>
      <c r="AA3" s="859"/>
      <c r="AB3" s="859"/>
      <c r="AC3" s="1802"/>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04" t="s">
        <v>1771</v>
      </c>
      <c r="S4" s="3405"/>
      <c r="T4" s="3404" t="s">
        <v>1772</v>
      </c>
      <c r="U4" s="3405"/>
      <c r="V4" s="3429" t="s">
        <v>1773</v>
      </c>
      <c r="W4" s="3429"/>
      <c r="X4" s="1265"/>
      <c r="Y4" s="3404" t="s">
        <v>1775</v>
      </c>
      <c r="Z4" s="3405"/>
      <c r="AA4" s="3399" t="s">
        <v>1771</v>
      </c>
      <c r="AB4" s="3429" t="s">
        <v>1772</v>
      </c>
      <c r="AC4" s="3399" t="s">
        <v>1773</v>
      </c>
    </row>
    <row r="5" spans="1:29">
      <c r="A5" s="348"/>
      <c r="B5" s="349"/>
      <c r="C5" s="3410" t="s">
        <v>1673</v>
      </c>
      <c r="D5" s="3411"/>
      <c r="E5" s="3408" t="s">
        <v>1674</v>
      </c>
      <c r="F5" s="3409"/>
      <c r="G5" s="3410" t="s">
        <v>1675</v>
      </c>
      <c r="H5" s="3411"/>
      <c r="I5" s="3410" t="s">
        <v>1676</v>
      </c>
      <c r="J5" s="3411"/>
      <c r="K5" s="537"/>
      <c r="L5" s="2484"/>
      <c r="M5" s="2485"/>
      <c r="N5" s="2485"/>
      <c r="O5" s="2485"/>
      <c r="P5" s="3423"/>
      <c r="Q5" s="3424"/>
      <c r="R5" s="3406"/>
      <c r="S5" s="3407"/>
      <c r="T5" s="3406"/>
      <c r="U5" s="3407"/>
      <c r="V5" s="3429"/>
      <c r="W5" s="3429"/>
      <c r="X5" s="1265"/>
      <c r="Y5" s="3406"/>
      <c r="Z5" s="3407"/>
      <c r="AA5" s="3400"/>
      <c r="AB5" s="3429"/>
      <c r="AC5" s="3400"/>
    </row>
    <row r="6" spans="1:29" ht="15" thickBot="1">
      <c r="A6" s="350"/>
      <c r="B6" s="351"/>
      <c r="C6" s="3412" t="s">
        <v>1677</v>
      </c>
      <c r="D6" s="3413"/>
      <c r="E6" s="3414" t="s">
        <v>1677</v>
      </c>
      <c r="F6" s="3415"/>
      <c r="G6" s="3412" t="s">
        <v>1677</v>
      </c>
      <c r="H6" s="3413"/>
      <c r="I6" s="3412" t="s">
        <v>1677</v>
      </c>
      <c r="J6" s="3413"/>
      <c r="K6" s="537" t="s">
        <v>1678</v>
      </c>
      <c r="L6" s="2484"/>
      <c r="M6" s="2485"/>
      <c r="N6" s="2485"/>
      <c r="O6" s="2485"/>
      <c r="P6" s="3425"/>
      <c r="Q6" s="3426"/>
      <c r="R6" s="3406"/>
      <c r="S6" s="3407"/>
      <c r="T6" s="3427"/>
      <c r="U6" s="3428"/>
      <c r="V6" s="3429"/>
      <c r="W6" s="3429"/>
      <c r="X6" s="1265"/>
      <c r="Y6" s="3427"/>
      <c r="Z6" s="3428"/>
      <c r="AA6" s="3401"/>
      <c r="AB6" s="3429"/>
      <c r="AC6" s="3401"/>
    </row>
    <row r="7" spans="1:29" s="102" customFormat="1" ht="15" thickBot="1">
      <c r="A7" s="352" t="s">
        <v>1679</v>
      </c>
      <c r="B7" s="353"/>
      <c r="C7" s="354">
        <f>'数据-取费表'!B2</f>
        <v>45755</v>
      </c>
      <c r="D7" s="355">
        <v>100</v>
      </c>
      <c r="E7" s="356"/>
      <c r="F7" s="357">
        <f>SUMIF(58:58,YEAR(E7)&amp;"-"&amp;MONTH(E7),59:59)</f>
        <v>0</v>
      </c>
      <c r="G7" s="356"/>
      <c r="H7" s="355">
        <f>SUMIF(58:58,YEAR(G7)&amp;"-"&amp;MONTH(G7),59:59)</f>
        <v>0</v>
      </c>
      <c r="I7" s="356"/>
      <c r="J7" s="355">
        <f>SUMIF(58:58,YEAR(I7)&amp;"-"&amp;MONTH(I7),59:59)</f>
        <v>0</v>
      </c>
      <c r="K7" s="38"/>
      <c r="L7" s="2486"/>
      <c r="M7" s="2437"/>
      <c r="N7" s="2437"/>
      <c r="O7" s="2437"/>
      <c r="P7" s="3402" t="s">
        <v>1680</v>
      </c>
      <c r="Q7" s="3430"/>
      <c r="R7" s="664" t="s">
        <v>14</v>
      </c>
      <c r="S7" s="665">
        <f t="shared" ref="S7:S15" si="0">F7</f>
        <v>0</v>
      </c>
      <c r="T7" s="664" t="s">
        <v>14</v>
      </c>
      <c r="U7" s="665">
        <f t="shared" ref="U7:U15" si="1">H7</f>
        <v>0</v>
      </c>
      <c r="V7" s="664" t="s">
        <v>14</v>
      </c>
      <c r="W7" s="665">
        <f t="shared" ref="W7:W15" si="2">J7</f>
        <v>0</v>
      </c>
      <c r="X7" s="666"/>
      <c r="Y7" s="3402" t="s">
        <v>1680</v>
      </c>
      <c r="Z7" s="3403"/>
      <c r="AA7" s="50" t="e">
        <f>D7/F7</f>
        <v>#DIV/0!</v>
      </c>
      <c r="AB7" s="50" t="e">
        <f>D7/H7</f>
        <v>#DIV/0!</v>
      </c>
      <c r="AC7" s="50" t="e">
        <f>D7/J7</f>
        <v>#DIV/0!</v>
      </c>
    </row>
    <row r="8" spans="1:29" s="102" customFormat="1" ht="1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6"/>
      <c r="M8" s="2437"/>
      <c r="N8" s="2437"/>
      <c r="O8" s="2437"/>
      <c r="P8" s="3402" t="s">
        <v>1683</v>
      </c>
      <c r="Q8" s="3403"/>
      <c r="R8" s="664" t="s">
        <v>14</v>
      </c>
      <c r="S8" s="665">
        <f t="shared" si="0"/>
        <v>100</v>
      </c>
      <c r="T8" s="664" t="s">
        <v>14</v>
      </c>
      <c r="U8" s="665">
        <f t="shared" si="1"/>
        <v>100</v>
      </c>
      <c r="V8" s="664" t="s">
        <v>14</v>
      </c>
      <c r="W8" s="665">
        <f t="shared" si="2"/>
        <v>100</v>
      </c>
      <c r="X8" s="666"/>
      <c r="Y8" s="3402" t="s">
        <v>1683</v>
      </c>
      <c r="Z8" s="3403"/>
      <c r="AA8" s="50">
        <f t="shared" ref="AA8:AA46" si="3">D8/F8</f>
        <v>1</v>
      </c>
      <c r="AB8" s="50">
        <f t="shared" ref="AB8:AB46" si="4">D8/H8</f>
        <v>1</v>
      </c>
      <c r="AC8" s="50">
        <f t="shared" ref="AC8:AC46" si="5">D8/J8</f>
        <v>1</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6"/>
      <c r="M9" s="2437"/>
      <c r="N9" s="2437"/>
      <c r="O9" s="2437"/>
      <c r="P9" s="3416"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38"/>
      <c r="L10" s="2487"/>
      <c r="M10" s="2488"/>
      <c r="N10" s="2488"/>
      <c r="O10" s="2488"/>
      <c r="P10" s="3416"/>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89"/>
      <c r="M11" s="2485"/>
      <c r="N11" s="2485"/>
      <c r="O11" s="2485"/>
      <c r="P11" s="3416"/>
      <c r="Q11" s="530" t="str">
        <f t="shared" si="6"/>
        <v>容积率</v>
      </c>
      <c r="R11" s="664" t="s">
        <v>14</v>
      </c>
      <c r="S11" s="665" t="e">
        <f t="shared" si="0"/>
        <v>#N/A</v>
      </c>
      <c r="T11" s="664" t="s">
        <v>14</v>
      </c>
      <c r="U11" s="665" t="e">
        <f t="shared" si="1"/>
        <v>#N/A</v>
      </c>
      <c r="V11" s="664" t="s">
        <v>14</v>
      </c>
      <c r="W11" s="665" t="e">
        <f t="shared" si="2"/>
        <v>#N/A</v>
      </c>
      <c r="X11" s="666"/>
      <c r="Y11" s="3345"/>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7"/>
      <c r="N12" s="2437"/>
      <c r="O12" s="2437"/>
      <c r="P12" s="3416"/>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416"/>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50">
        <f t="shared" si="5"/>
        <v>1</v>
      </c>
    </row>
    <row r="14" spans="1:29" ht="15.6"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416"/>
      <c r="Q14" s="530">
        <f t="shared" si="6"/>
        <v>111</v>
      </c>
      <c r="R14" s="664" t="s">
        <v>14</v>
      </c>
      <c r="S14" s="665">
        <f t="shared" si="0"/>
        <v>100</v>
      </c>
      <c r="T14" s="664" t="s">
        <v>14</v>
      </c>
      <c r="U14" s="665">
        <f t="shared" si="1"/>
        <v>100</v>
      </c>
      <c r="V14" s="664" t="s">
        <v>14</v>
      </c>
      <c r="W14" s="665">
        <f t="shared" si="2"/>
        <v>100</v>
      </c>
      <c r="X14" s="666"/>
      <c r="Y14" s="3345"/>
      <c r="Z14" s="50">
        <f t="shared" si="7"/>
        <v>111</v>
      </c>
      <c r="AA14" s="50">
        <f t="shared" si="3"/>
        <v>1</v>
      </c>
      <c r="AB14" s="50">
        <f t="shared" si="4"/>
        <v>1</v>
      </c>
      <c r="AC14" s="50">
        <f t="shared" si="5"/>
        <v>1</v>
      </c>
    </row>
    <row r="15" spans="1:29" ht="69">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0"/>
      <c r="M15" s="2485"/>
      <c r="N15" s="2485"/>
      <c r="O15" s="2485"/>
      <c r="P15" s="3442" t="s">
        <v>1691</v>
      </c>
      <c r="Q15" s="1263" t="str">
        <f t="shared" si="6"/>
        <v>商业繁华度</v>
      </c>
      <c r="R15" s="667" t="s">
        <v>14</v>
      </c>
      <c r="S15" s="668">
        <f t="shared" si="0"/>
        <v>100</v>
      </c>
      <c r="T15" s="667" t="s">
        <v>14</v>
      </c>
      <c r="U15" s="668">
        <f t="shared" si="1"/>
        <v>100</v>
      </c>
      <c r="V15" s="667" t="s">
        <v>14</v>
      </c>
      <c r="W15" s="668">
        <f t="shared" si="2"/>
        <v>100</v>
      </c>
      <c r="X15" s="1265"/>
      <c r="Y15" s="3435"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0"/>
      <c r="M16" s="2485"/>
      <c r="N16" s="2485"/>
      <c r="O16" s="2485"/>
      <c r="P16" s="3443"/>
      <c r="Q16" s="1263"/>
      <c r="R16" s="667"/>
      <c r="S16" s="668"/>
      <c r="T16" s="667"/>
      <c r="U16" s="668"/>
      <c r="V16" s="667"/>
      <c r="W16" s="668"/>
      <c r="X16" s="1265"/>
      <c r="Y16" s="3436"/>
      <c r="Z16" s="1264"/>
      <c r="AA16" s="1264">
        <v>1</v>
      </c>
      <c r="AB16" s="1264">
        <v>1</v>
      </c>
      <c r="AC16" s="1264">
        <v>1</v>
      </c>
    </row>
    <row r="17" spans="1:29" ht="82.8">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0"/>
      <c r="M17" s="2485"/>
      <c r="N17" s="2485"/>
      <c r="O17" s="2485"/>
      <c r="P17" s="3443"/>
      <c r="Q17" s="1263" t="str">
        <f>B17</f>
        <v>交通便捷度</v>
      </c>
      <c r="R17" s="667" t="s">
        <v>14</v>
      </c>
      <c r="S17" s="668">
        <f>F17</f>
        <v>100</v>
      </c>
      <c r="T17" s="667" t="s">
        <v>14</v>
      </c>
      <c r="U17" s="668">
        <f>H17</f>
        <v>100</v>
      </c>
      <c r="V17" s="667" t="s">
        <v>14</v>
      </c>
      <c r="W17" s="668">
        <f>J17</f>
        <v>100</v>
      </c>
      <c r="X17" s="1265"/>
      <c r="Y17" s="3436"/>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2490"/>
      <c r="M18" s="2485"/>
      <c r="N18" s="2485"/>
      <c r="O18" s="2485"/>
      <c r="P18" s="3443"/>
      <c r="Q18" s="1263"/>
      <c r="R18" s="667"/>
      <c r="S18" s="668"/>
      <c r="T18" s="667"/>
      <c r="U18" s="668"/>
      <c r="V18" s="667"/>
      <c r="W18" s="668"/>
      <c r="X18" s="1265"/>
      <c r="Y18" s="3436"/>
      <c r="Z18" s="1264"/>
      <c r="AA18" s="1264">
        <v>1</v>
      </c>
      <c r="AB18" s="1264">
        <v>1</v>
      </c>
      <c r="AC18" s="1264">
        <v>1</v>
      </c>
    </row>
    <row r="19" spans="1:29" ht="41.4">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43"/>
      <c r="Q19" s="1263" t="str">
        <f>B19</f>
        <v>公共配套设施</v>
      </c>
      <c r="R19" s="667" t="s">
        <v>14</v>
      </c>
      <c r="S19" s="668">
        <f>F19</f>
        <v>100</v>
      </c>
      <c r="T19" s="667" t="s">
        <v>14</v>
      </c>
      <c r="U19" s="668">
        <f>H19</f>
        <v>100</v>
      </c>
      <c r="V19" s="667" t="s">
        <v>14</v>
      </c>
      <c r="W19" s="668">
        <f>J19</f>
        <v>100</v>
      </c>
      <c r="X19" s="1265"/>
      <c r="Y19" s="3436"/>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2490"/>
      <c r="M20" s="2485"/>
      <c r="N20" s="2485"/>
      <c r="O20" s="2485"/>
      <c r="P20" s="3443"/>
      <c r="Q20" s="1263"/>
      <c r="R20" s="667"/>
      <c r="S20" s="668"/>
      <c r="T20" s="667"/>
      <c r="U20" s="668"/>
      <c r="V20" s="667"/>
      <c r="W20" s="668"/>
      <c r="X20" s="1265"/>
      <c r="Y20" s="3436"/>
      <c r="Z20" s="1264"/>
      <c r="AA20" s="1264">
        <v>1</v>
      </c>
      <c r="AB20" s="1264">
        <v>1</v>
      </c>
      <c r="AC20" s="1264">
        <v>1</v>
      </c>
    </row>
    <row r="21" spans="1:29" ht="27.6">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43"/>
      <c r="Q21" s="1263" t="str">
        <f>B21</f>
        <v>基础设施水平</v>
      </c>
      <c r="R21" s="667" t="s">
        <v>14</v>
      </c>
      <c r="S21" s="668">
        <f>F21</f>
        <v>100</v>
      </c>
      <c r="T21" s="667" t="s">
        <v>14</v>
      </c>
      <c r="U21" s="668">
        <f>H21</f>
        <v>100</v>
      </c>
      <c r="V21" s="667" t="s">
        <v>14</v>
      </c>
      <c r="W21" s="668">
        <f>J21</f>
        <v>100</v>
      </c>
      <c r="X21" s="1265"/>
      <c r="Y21" s="3436"/>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2490"/>
      <c r="M22" s="2485"/>
      <c r="N22" s="2485"/>
      <c r="O22" s="2485"/>
      <c r="P22" s="3443"/>
      <c r="Q22" s="1263"/>
      <c r="R22" s="667"/>
      <c r="S22" s="668"/>
      <c r="T22" s="667"/>
      <c r="U22" s="668"/>
      <c r="V22" s="667"/>
      <c r="W22" s="668"/>
      <c r="X22" s="1265"/>
      <c r="Y22" s="3436"/>
      <c r="Z22" s="1264"/>
      <c r="AA22" s="1264">
        <v>1</v>
      </c>
      <c r="AB22" s="1264">
        <v>1</v>
      </c>
      <c r="AC22" s="1264">
        <v>1</v>
      </c>
    </row>
    <row r="23" spans="1:29" ht="55.2">
      <c r="A23" s="367"/>
      <c r="B23" s="390" t="s">
        <v>1261</v>
      </c>
      <c r="C23" s="1803"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43"/>
      <c r="Q23" s="1263" t="str">
        <f>B23</f>
        <v>自然及人文环境</v>
      </c>
      <c r="R23" s="667" t="s">
        <v>14</v>
      </c>
      <c r="S23" s="668">
        <f>F23</f>
        <v>100</v>
      </c>
      <c r="T23" s="667" t="s">
        <v>14</v>
      </c>
      <c r="U23" s="668">
        <f>H23</f>
        <v>100</v>
      </c>
      <c r="V23" s="667" t="s">
        <v>14</v>
      </c>
      <c r="W23" s="668">
        <f>J23</f>
        <v>100</v>
      </c>
      <c r="X23" s="1265"/>
      <c r="Y23" s="3436"/>
      <c r="Z23" s="1264" t="str">
        <f>Q23</f>
        <v>自然及人文环境</v>
      </c>
      <c r="AA23" s="1264">
        <f t="shared" si="3"/>
        <v>1</v>
      </c>
      <c r="AB23" s="1264">
        <f t="shared" si="4"/>
        <v>1</v>
      </c>
      <c r="AC23" s="1264">
        <f t="shared" si="5"/>
        <v>1</v>
      </c>
    </row>
    <row r="24" spans="1:29" ht="15">
      <c r="A24" s="367"/>
      <c r="B24" s="395"/>
      <c r="C24" s="386"/>
      <c r="D24" s="387"/>
      <c r="E24" s="1751"/>
      <c r="F24" s="388"/>
      <c r="G24" s="1750"/>
      <c r="H24" s="387"/>
      <c r="I24" s="1751"/>
      <c r="J24" s="387"/>
      <c r="K24" s="541"/>
      <c r="L24" s="2490"/>
      <c r="M24" s="2485"/>
      <c r="N24" s="2485"/>
      <c r="O24" s="2485"/>
      <c r="P24" s="3443"/>
      <c r="Q24" s="1263"/>
      <c r="R24" s="667"/>
      <c r="S24" s="668"/>
      <c r="T24" s="667"/>
      <c r="U24" s="668"/>
      <c r="V24" s="667"/>
      <c r="W24" s="668"/>
      <c r="X24" s="1265"/>
      <c r="Y24" s="3436"/>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0"/>
      <c r="M25" s="2485"/>
      <c r="N25" s="2485"/>
      <c r="O25" s="2485"/>
      <c r="P25" s="3443"/>
      <c r="Q25" s="1263" t="str">
        <f t="shared" ref="Q25:Q46" si="11">B25</f>
        <v>临街状况</v>
      </c>
      <c r="R25" s="667" t="s">
        <v>14</v>
      </c>
      <c r="S25" s="668">
        <f>F25</f>
        <v>100</v>
      </c>
      <c r="T25" s="667" t="s">
        <v>14</v>
      </c>
      <c r="U25" s="668">
        <f>H25</f>
        <v>100</v>
      </c>
      <c r="V25" s="667" t="s">
        <v>14</v>
      </c>
      <c r="W25" s="668">
        <f>J25</f>
        <v>100</v>
      </c>
      <c r="X25" s="1265"/>
      <c r="Y25" s="3436"/>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43"/>
      <c r="Q26" s="1263" t="str">
        <f t="shared" si="11"/>
        <v>平面位置/可视性</v>
      </c>
      <c r="R26" s="667" t="s">
        <v>14</v>
      </c>
      <c r="S26" s="668">
        <f>F26</f>
        <v>100</v>
      </c>
      <c r="T26" s="667" t="s">
        <v>14</v>
      </c>
      <c r="U26" s="668">
        <f>H26</f>
        <v>100</v>
      </c>
      <c r="V26" s="667" t="s">
        <v>14</v>
      </c>
      <c r="W26" s="668">
        <f>J26</f>
        <v>100</v>
      </c>
      <c r="X26" s="1265"/>
      <c r="Y26" s="3436"/>
      <c r="Z26" s="1264" t="str">
        <f>Q26</f>
        <v>平面位置/可视性</v>
      </c>
      <c r="AA26" s="1264">
        <f t="shared" si="3"/>
        <v>1</v>
      </c>
      <c r="AB26" s="1264">
        <f t="shared" si="4"/>
        <v>1</v>
      </c>
      <c r="AC26" s="1264">
        <f t="shared" si="5"/>
        <v>1</v>
      </c>
    </row>
    <row r="27" spans="1:29" s="102" customFormat="1" ht="15">
      <c r="A27" s="370"/>
      <c r="B27" s="390" t="s">
        <v>1782</v>
      </c>
      <c r="C27" s="1804"/>
      <c r="D27" s="401">
        <v>100</v>
      </c>
      <c r="E27" s="1804"/>
      <c r="F27" s="395">
        <f>SUMIF(90:90,E27,91:91)-SUMIF(90:90,C27,91:91)+100</f>
        <v>100</v>
      </c>
      <c r="G27" s="1804"/>
      <c r="H27" s="401">
        <f>SUMIF(90:90,G27,91:91)-SUMIF(90:90,C27,91:91)+100</f>
        <v>100</v>
      </c>
      <c r="I27" s="1804"/>
      <c r="J27" s="401">
        <f>SUMIF(90:90,I27,91:91)-SUMIF(90:90,C27,91:91)+100</f>
        <v>100</v>
      </c>
      <c r="K27" s="538"/>
      <c r="L27" s="2486"/>
      <c r="M27" s="2437"/>
      <c r="N27" s="2437"/>
      <c r="O27" s="2437"/>
      <c r="P27" s="3443"/>
      <c r="Q27" s="530" t="str">
        <f t="shared" si="11"/>
        <v>人流量</v>
      </c>
      <c r="R27" s="664" t="s">
        <v>14</v>
      </c>
      <c r="S27" s="665">
        <f>F27</f>
        <v>100</v>
      </c>
      <c r="T27" s="664" t="s">
        <v>14</v>
      </c>
      <c r="U27" s="665">
        <f>H27</f>
        <v>100</v>
      </c>
      <c r="V27" s="664" t="s">
        <v>14</v>
      </c>
      <c r="W27" s="665">
        <f>J27</f>
        <v>100</v>
      </c>
      <c r="X27" s="666"/>
      <c r="Y27" s="3436"/>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0"/>
      <c r="M28" s="2485"/>
      <c r="N28" s="2485"/>
      <c r="O28" s="2485"/>
      <c r="P28" s="3443"/>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36"/>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0"/>
      <c r="M29" s="2485"/>
      <c r="N29" s="2485"/>
      <c r="O29" s="2485"/>
      <c r="P29" s="3443"/>
      <c r="Q29" s="1263">
        <f t="shared" si="11"/>
        <v>111</v>
      </c>
      <c r="R29" s="667" t="s">
        <v>14</v>
      </c>
      <c r="S29" s="668">
        <f t="shared" si="12"/>
        <v>100</v>
      </c>
      <c r="T29" s="667" t="s">
        <v>14</v>
      </c>
      <c r="U29" s="668">
        <f t="shared" si="13"/>
        <v>100</v>
      </c>
      <c r="V29" s="667" t="s">
        <v>14</v>
      </c>
      <c r="W29" s="668">
        <f t="shared" si="14"/>
        <v>100</v>
      </c>
      <c r="X29" s="1265"/>
      <c r="Y29" s="3436"/>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43"/>
      <c r="Q30" s="1263">
        <f t="shared" si="11"/>
        <v>111</v>
      </c>
      <c r="R30" s="667" t="s">
        <v>14</v>
      </c>
      <c r="S30" s="668">
        <f t="shared" si="12"/>
        <v>100</v>
      </c>
      <c r="T30" s="667" t="s">
        <v>14</v>
      </c>
      <c r="U30" s="668">
        <f t="shared" si="13"/>
        <v>100</v>
      </c>
      <c r="V30" s="667" t="s">
        <v>14</v>
      </c>
      <c r="W30" s="668">
        <f t="shared" si="14"/>
        <v>100</v>
      </c>
      <c r="X30" s="1265"/>
      <c r="Y30" s="3436"/>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43"/>
      <c r="Q31" s="1263">
        <f t="shared" si="11"/>
        <v>111</v>
      </c>
      <c r="R31" s="667" t="s">
        <v>14</v>
      </c>
      <c r="S31" s="668">
        <f t="shared" si="12"/>
        <v>100</v>
      </c>
      <c r="T31" s="667" t="s">
        <v>14</v>
      </c>
      <c r="U31" s="668">
        <f t="shared" si="13"/>
        <v>100</v>
      </c>
      <c r="V31" s="667" t="s">
        <v>14</v>
      </c>
      <c r="W31" s="668">
        <f t="shared" si="14"/>
        <v>100</v>
      </c>
      <c r="X31" s="1265"/>
      <c r="Y31" s="3436"/>
      <c r="Z31" s="1264">
        <f t="shared" si="15"/>
        <v>111</v>
      </c>
      <c r="AA31" s="1264">
        <f t="shared" si="3"/>
        <v>1</v>
      </c>
      <c r="AB31" s="1264">
        <f t="shared" si="4"/>
        <v>1</v>
      </c>
      <c r="AC31" s="1264">
        <f t="shared" si="5"/>
        <v>1</v>
      </c>
    </row>
    <row r="32" spans="1:29" ht="15">
      <c r="A32" s="379" t="s">
        <v>1694</v>
      </c>
      <c r="B32" s="60" t="s">
        <v>1784</v>
      </c>
      <c r="C32" s="1763"/>
      <c r="D32" s="405">
        <v>100</v>
      </c>
      <c r="E32" s="1763"/>
      <c r="F32" s="400">
        <f>SUMIF(100:100,E32,101:101)-SUMIF(100:100,C32,101:101)+100</f>
        <v>100</v>
      </c>
      <c r="G32" s="1763"/>
      <c r="H32" s="374">
        <f>SUMIF(100:100,G32,101:101)-SUMIF(100:100,C32,101:101)+100</f>
        <v>100</v>
      </c>
      <c r="I32" s="1763"/>
      <c r="J32" s="405">
        <f>SUMIF(100:100,I32,101:101)-SUMIF(100:100,C32,101:101)+100</f>
        <v>100</v>
      </c>
      <c r="K32" s="538"/>
      <c r="L32" s="2490"/>
      <c r="M32" s="2485"/>
      <c r="N32" s="2485"/>
      <c r="O32" s="2485"/>
      <c r="P32" s="3437" t="s">
        <v>1696</v>
      </c>
      <c r="Q32" s="1263" t="str">
        <f t="shared" si="11"/>
        <v>商业类型</v>
      </c>
      <c r="R32" s="667" t="s">
        <v>14</v>
      </c>
      <c r="S32" s="668">
        <f t="shared" si="12"/>
        <v>100</v>
      </c>
      <c r="T32" s="667" t="s">
        <v>14</v>
      </c>
      <c r="U32" s="668">
        <f t="shared" si="13"/>
        <v>100</v>
      </c>
      <c r="V32" s="667" t="s">
        <v>14</v>
      </c>
      <c r="W32" s="668">
        <f t="shared" si="14"/>
        <v>100</v>
      </c>
      <c r="X32" s="1265"/>
      <c r="Y32" s="3440"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89"/>
      <c r="M33" s="2491"/>
      <c r="N33" s="2491"/>
      <c r="O33" s="2491"/>
      <c r="P33" s="3438"/>
      <c r="Q33" s="531" t="str">
        <f t="shared" si="11"/>
        <v>项目建筑规模</v>
      </c>
      <c r="R33" s="669" t="s">
        <v>14</v>
      </c>
      <c r="S33" s="670" t="e">
        <f t="shared" si="12"/>
        <v>#N/A</v>
      </c>
      <c r="T33" s="669" t="s">
        <v>14</v>
      </c>
      <c r="U33" s="670" t="e">
        <f t="shared" si="13"/>
        <v>#N/A</v>
      </c>
      <c r="V33" s="669" t="s">
        <v>14</v>
      </c>
      <c r="W33" s="670" t="e">
        <f t="shared" si="14"/>
        <v>#N/A</v>
      </c>
      <c r="X33" s="671"/>
      <c r="Y33" s="3440"/>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0"/>
      <c r="M34" s="2485"/>
      <c r="N34" s="2485"/>
      <c r="O34" s="2485"/>
      <c r="P34" s="3438"/>
      <c r="Q34" s="1263" t="str">
        <f t="shared" si="11"/>
        <v>建筑结构</v>
      </c>
      <c r="R34" s="667" t="s">
        <v>14</v>
      </c>
      <c r="S34" s="668">
        <f t="shared" si="12"/>
        <v>100</v>
      </c>
      <c r="T34" s="667" t="s">
        <v>14</v>
      </c>
      <c r="U34" s="668">
        <f t="shared" si="13"/>
        <v>100</v>
      </c>
      <c r="V34" s="667" t="s">
        <v>14</v>
      </c>
      <c r="W34" s="668">
        <f t="shared" si="14"/>
        <v>100</v>
      </c>
      <c r="X34" s="1265"/>
      <c r="Y34" s="3440"/>
      <c r="Z34" s="1264" t="str">
        <f t="shared" si="15"/>
        <v>建筑结构</v>
      </c>
      <c r="AA34" s="1264">
        <f t="shared" si="3"/>
        <v>1</v>
      </c>
      <c r="AB34" s="1264">
        <f t="shared" si="4"/>
        <v>1</v>
      </c>
      <c r="AC34" s="1264">
        <f t="shared" si="5"/>
        <v>1</v>
      </c>
    </row>
    <row r="35" spans="1:29" ht="15">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0"/>
      <c r="M35" s="2485"/>
      <c r="N35" s="2485"/>
      <c r="O35" s="2485"/>
      <c r="P35" s="3438"/>
      <c r="Q35" s="1263" t="str">
        <f t="shared" si="11"/>
        <v>公共部分装修</v>
      </c>
      <c r="R35" s="667" t="s">
        <v>14</v>
      </c>
      <c r="S35" s="668">
        <f t="shared" si="12"/>
        <v>100</v>
      </c>
      <c r="T35" s="667" t="s">
        <v>14</v>
      </c>
      <c r="U35" s="668">
        <f t="shared" si="13"/>
        <v>100</v>
      </c>
      <c r="V35" s="667" t="s">
        <v>14</v>
      </c>
      <c r="W35" s="668">
        <f t="shared" si="14"/>
        <v>100</v>
      </c>
      <c r="X35" s="1265"/>
      <c r="Y35" s="3440"/>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0"/>
      <c r="M36" s="2485"/>
      <c r="N36" s="2485"/>
      <c r="O36" s="2485"/>
      <c r="P36" s="3438"/>
      <c r="Q36" s="1263" t="str">
        <f t="shared" si="11"/>
        <v>成新度</v>
      </c>
      <c r="R36" s="667" t="s">
        <v>14</v>
      </c>
      <c r="S36" s="668" t="e">
        <f t="shared" si="12"/>
        <v>#N/A</v>
      </c>
      <c r="T36" s="667" t="s">
        <v>14</v>
      </c>
      <c r="U36" s="668" t="e">
        <f t="shared" si="13"/>
        <v>#N/A</v>
      </c>
      <c r="V36" s="667" t="s">
        <v>14</v>
      </c>
      <c r="W36" s="668" t="e">
        <f t="shared" si="14"/>
        <v>#N/A</v>
      </c>
      <c r="X36" s="1265"/>
      <c r="Y36" s="3440"/>
      <c r="Z36" s="1264" t="str">
        <f t="shared" si="15"/>
        <v>成新度</v>
      </c>
      <c r="AA36" s="1264" t="e">
        <f t="shared" si="3"/>
        <v>#N/A</v>
      </c>
      <c r="AB36" s="1264" t="e">
        <f t="shared" si="4"/>
        <v>#N/A</v>
      </c>
      <c r="AC36" s="1264" t="e">
        <f t="shared" si="5"/>
        <v>#N/A</v>
      </c>
    </row>
    <row r="37" spans="1:29" s="102" customFormat="1" ht="15">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6"/>
      <c r="M37" s="2437"/>
      <c r="N37" s="2437"/>
      <c r="O37" s="2437"/>
      <c r="P37" s="3438"/>
      <c r="Q37" s="530" t="str">
        <f t="shared" si="11"/>
        <v>市政基础设施</v>
      </c>
      <c r="R37" s="664" t="s">
        <v>14</v>
      </c>
      <c r="S37" s="665">
        <f t="shared" si="12"/>
        <v>100</v>
      </c>
      <c r="T37" s="664" t="s">
        <v>14</v>
      </c>
      <c r="U37" s="665">
        <f t="shared" si="13"/>
        <v>100</v>
      </c>
      <c r="V37" s="664" t="s">
        <v>14</v>
      </c>
      <c r="W37" s="665">
        <f t="shared" si="14"/>
        <v>100</v>
      </c>
      <c r="X37" s="666"/>
      <c r="Y37" s="3440"/>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0"/>
      <c r="M38" s="2485"/>
      <c r="N38" s="2485"/>
      <c r="O38" s="2485"/>
      <c r="P38" s="3438" t="s">
        <v>1696</v>
      </c>
      <c r="Q38" s="1263" t="str">
        <f t="shared" si="11"/>
        <v>业态</v>
      </c>
      <c r="R38" s="667" t="s">
        <v>14</v>
      </c>
      <c r="S38" s="668">
        <f t="shared" si="12"/>
        <v>100</v>
      </c>
      <c r="T38" s="667" t="s">
        <v>14</v>
      </c>
      <c r="U38" s="668">
        <f t="shared" si="13"/>
        <v>100</v>
      </c>
      <c r="V38" s="667" t="s">
        <v>14</v>
      </c>
      <c r="W38" s="668">
        <f t="shared" si="14"/>
        <v>100</v>
      </c>
      <c r="X38" s="1265"/>
      <c r="Y38" s="3440" t="s">
        <v>1696</v>
      </c>
      <c r="Z38" s="1264" t="str">
        <f t="shared" si="15"/>
        <v>业态</v>
      </c>
      <c r="AA38" s="1264">
        <f t="shared" si="3"/>
        <v>1</v>
      </c>
      <c r="AB38" s="1264">
        <f t="shared" si="4"/>
        <v>1</v>
      </c>
      <c r="AC38" s="1264">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0"/>
      <c r="M39" s="2485"/>
      <c r="N39" s="2485"/>
      <c r="O39" s="2485"/>
      <c r="P39" s="3438"/>
      <c r="Q39" s="1263" t="str">
        <f t="shared" si="11"/>
        <v>层高</v>
      </c>
      <c r="R39" s="667" t="s">
        <v>14</v>
      </c>
      <c r="S39" s="668">
        <f t="shared" si="12"/>
        <v>100</v>
      </c>
      <c r="T39" s="667" t="s">
        <v>14</v>
      </c>
      <c r="U39" s="668">
        <f t="shared" si="13"/>
        <v>100</v>
      </c>
      <c r="V39" s="667" t="s">
        <v>14</v>
      </c>
      <c r="W39" s="668">
        <f t="shared" si="14"/>
        <v>100</v>
      </c>
      <c r="X39" s="1265"/>
      <c r="Y39" s="3440"/>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38"/>
      <c r="Q40" s="1263" t="str">
        <f t="shared" si="11"/>
        <v>单套建筑面积</v>
      </c>
      <c r="R40" s="667" t="s">
        <v>14</v>
      </c>
      <c r="S40" s="668">
        <f t="shared" si="12"/>
        <v>100</v>
      </c>
      <c r="T40" s="667" t="s">
        <v>14</v>
      </c>
      <c r="U40" s="668">
        <f t="shared" si="13"/>
        <v>100</v>
      </c>
      <c r="V40" s="667" t="s">
        <v>14</v>
      </c>
      <c r="W40" s="668">
        <f t="shared" si="14"/>
        <v>100</v>
      </c>
      <c r="X40" s="1265"/>
      <c r="Y40" s="3440"/>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38"/>
      <c r="Q41" s="531" t="str">
        <f t="shared" si="11"/>
        <v>进深比</v>
      </c>
      <c r="R41" s="669" t="s">
        <v>14</v>
      </c>
      <c r="S41" s="670">
        <f t="shared" si="12"/>
        <v>100</v>
      </c>
      <c r="T41" s="669" t="s">
        <v>14</v>
      </c>
      <c r="U41" s="670">
        <f t="shared" si="13"/>
        <v>100</v>
      </c>
      <c r="V41" s="669" t="s">
        <v>14</v>
      </c>
      <c r="W41" s="670">
        <f t="shared" si="14"/>
        <v>100</v>
      </c>
      <c r="X41" s="671"/>
      <c r="Y41" s="3440"/>
      <c r="Z41" s="672" t="str">
        <f t="shared" si="15"/>
        <v>进深比</v>
      </c>
      <c r="AA41" s="1264">
        <f t="shared" si="3"/>
        <v>1</v>
      </c>
      <c r="AB41" s="1264">
        <f t="shared" si="4"/>
        <v>1</v>
      </c>
      <c r="AC41" s="1264">
        <f t="shared" si="5"/>
        <v>1</v>
      </c>
    </row>
    <row r="42" spans="1:29" ht="15">
      <c r="A42" s="409"/>
      <c r="B42" s="364" t="s">
        <v>1792</v>
      </c>
      <c r="C42" s="1759"/>
      <c r="D42" s="374">
        <v>100</v>
      </c>
      <c r="E42" s="1759"/>
      <c r="F42" s="400">
        <f>SUMIF(122:122,E42,123:123)-SUMIF(122:122,C42,123:123)+100</f>
        <v>100</v>
      </c>
      <c r="G42" s="1759"/>
      <c r="H42" s="374">
        <f>SUMIF(122:122,G42,123:123)-SUMIF(122:122,C42,123:123)+100</f>
        <v>100</v>
      </c>
      <c r="I42" s="1759"/>
      <c r="J42" s="374">
        <f>SUMIF(122:122,I42,123:123)-SUMIF(122:122,C42,123:123)+100</f>
        <v>100</v>
      </c>
      <c r="K42" s="538"/>
      <c r="L42" s="2490"/>
      <c r="M42" s="2485"/>
      <c r="N42" s="2485"/>
      <c r="O42" s="2485"/>
      <c r="P42" s="3438"/>
      <c r="Q42" s="1263" t="str">
        <f t="shared" si="11"/>
        <v>内部装修</v>
      </c>
      <c r="R42" s="667" t="s">
        <v>14</v>
      </c>
      <c r="S42" s="668">
        <f t="shared" si="12"/>
        <v>100</v>
      </c>
      <c r="T42" s="667" t="s">
        <v>14</v>
      </c>
      <c r="U42" s="668">
        <f t="shared" si="13"/>
        <v>100</v>
      </c>
      <c r="V42" s="667" t="s">
        <v>14</v>
      </c>
      <c r="W42" s="668">
        <f t="shared" si="14"/>
        <v>100</v>
      </c>
      <c r="X42" s="1265"/>
      <c r="Y42" s="3440"/>
      <c r="Z42" s="1264" t="str">
        <f t="shared" si="15"/>
        <v>内部装修</v>
      </c>
      <c r="AA42" s="1264">
        <f t="shared" si="3"/>
        <v>1</v>
      </c>
      <c r="AB42" s="1264">
        <f t="shared" si="4"/>
        <v>1</v>
      </c>
      <c r="AC42" s="1264">
        <f t="shared" si="5"/>
        <v>1</v>
      </c>
    </row>
    <row r="43" spans="1:29" ht="28.8">
      <c r="A43" s="409"/>
      <c r="B43" s="364" t="s">
        <v>1707</v>
      </c>
      <c r="C43" s="1759"/>
      <c r="D43" s="374">
        <v>100</v>
      </c>
      <c r="E43" s="1759"/>
      <c r="F43" s="400">
        <f>SUMIF(124:124,E43,125:125)-SUMIF(124:124,C43,125:125)+100</f>
        <v>100</v>
      </c>
      <c r="G43" s="1759"/>
      <c r="H43" s="374">
        <f>SUMIF(124:124,G43,125:125)-SUMIF(124:124,C43,125:125)+100</f>
        <v>100</v>
      </c>
      <c r="I43" s="1759"/>
      <c r="J43" s="374">
        <f>SUMIF(124:124,I43,125:125)-SUMIF(124:124,C43,125:125)+100</f>
        <v>100</v>
      </c>
      <c r="K43" s="538"/>
      <c r="L43" s="2490"/>
      <c r="M43" s="2485"/>
      <c r="N43" s="2485"/>
      <c r="O43" s="2485"/>
      <c r="P43" s="3438"/>
      <c r="Q43" s="1263" t="str">
        <f t="shared" si="11"/>
        <v>内部装修维护情况</v>
      </c>
      <c r="R43" s="667" t="s">
        <v>14</v>
      </c>
      <c r="S43" s="668">
        <f t="shared" si="12"/>
        <v>100</v>
      </c>
      <c r="T43" s="667" t="s">
        <v>14</v>
      </c>
      <c r="U43" s="668">
        <f t="shared" si="13"/>
        <v>100</v>
      </c>
      <c r="V43" s="667" t="s">
        <v>14</v>
      </c>
      <c r="W43" s="668">
        <f t="shared" si="14"/>
        <v>100</v>
      </c>
      <c r="X43" s="1265"/>
      <c r="Y43" s="3440"/>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7"/>
      <c r="N44" s="2437"/>
      <c r="O44" s="2437"/>
      <c r="P44" s="3438"/>
      <c r="Q44" s="530">
        <f t="shared" si="11"/>
        <v>111</v>
      </c>
      <c r="R44" s="664" t="s">
        <v>14</v>
      </c>
      <c r="S44" s="665">
        <f t="shared" si="12"/>
        <v>100</v>
      </c>
      <c r="T44" s="664" t="s">
        <v>14</v>
      </c>
      <c r="U44" s="665">
        <f t="shared" si="13"/>
        <v>100</v>
      </c>
      <c r="V44" s="664" t="s">
        <v>14</v>
      </c>
      <c r="W44" s="665">
        <f t="shared" si="14"/>
        <v>100</v>
      </c>
      <c r="X44" s="666"/>
      <c r="Y44" s="3440"/>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38"/>
      <c r="Q45" s="1263">
        <f t="shared" si="11"/>
        <v>111</v>
      </c>
      <c r="R45" s="667" t="s">
        <v>14</v>
      </c>
      <c r="S45" s="668">
        <f t="shared" si="12"/>
        <v>100</v>
      </c>
      <c r="T45" s="667" t="s">
        <v>14</v>
      </c>
      <c r="U45" s="668">
        <f t="shared" si="13"/>
        <v>100</v>
      </c>
      <c r="V45" s="667" t="s">
        <v>14</v>
      </c>
      <c r="W45" s="668">
        <f t="shared" si="14"/>
        <v>100</v>
      </c>
      <c r="X45" s="1265"/>
      <c r="Y45" s="3440"/>
      <c r="Z45" s="1264">
        <f t="shared" si="15"/>
        <v>111</v>
      </c>
      <c r="AA45" s="1264">
        <f t="shared" si="3"/>
        <v>1</v>
      </c>
      <c r="AB45" s="1264">
        <f t="shared" si="4"/>
        <v>1</v>
      </c>
      <c r="AC45" s="1264">
        <f t="shared" si="5"/>
        <v>1</v>
      </c>
    </row>
    <row r="46" spans="1:29" ht="15.6"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39"/>
      <c r="Q46" s="1263">
        <f t="shared" si="11"/>
        <v>111</v>
      </c>
      <c r="R46" s="667" t="s">
        <v>14</v>
      </c>
      <c r="S46" s="668">
        <f t="shared" si="12"/>
        <v>100</v>
      </c>
      <c r="T46" s="667" t="s">
        <v>14</v>
      </c>
      <c r="U46" s="668">
        <f t="shared" si="13"/>
        <v>100</v>
      </c>
      <c r="V46" s="667" t="s">
        <v>14</v>
      </c>
      <c r="W46" s="668">
        <f t="shared" si="14"/>
        <v>100</v>
      </c>
      <c r="X46" s="1265"/>
      <c r="Y46" s="3441"/>
      <c r="Z46" s="1264">
        <f t="shared" si="15"/>
        <v>111</v>
      </c>
      <c r="AA46" s="1264">
        <f t="shared" si="3"/>
        <v>1</v>
      </c>
      <c r="AB46" s="1264">
        <f t="shared" si="4"/>
        <v>1</v>
      </c>
      <c r="AC46" s="1264">
        <f t="shared" si="5"/>
        <v>1</v>
      </c>
    </row>
    <row r="47" spans="1:29" ht="14.4">
      <c r="A47" s="416" t="s">
        <v>1708</v>
      </c>
      <c r="B47" s="417"/>
      <c r="C47" s="1081" t="s">
        <v>0</v>
      </c>
      <c r="D47" s="418"/>
      <c r="E47" s="419"/>
      <c r="F47" s="420"/>
      <c r="G47" s="421"/>
      <c r="H47" s="422"/>
      <c r="I47" s="419"/>
      <c r="J47" s="422"/>
      <c r="K47" s="674"/>
      <c r="L47" s="2492"/>
      <c r="M47" s="2485"/>
      <c r="N47" s="2485"/>
      <c r="O47" s="2485"/>
      <c r="P47" s="3434" t="str">
        <f>A47</f>
        <v>成交单价（元/平方米）</v>
      </c>
      <c r="Q47" s="3434"/>
      <c r="R47" s="3429">
        <f>E47</f>
        <v>0</v>
      </c>
      <c r="S47" s="3429"/>
      <c r="T47" s="3429">
        <f>G47</f>
        <v>0</v>
      </c>
      <c r="U47" s="3429"/>
      <c r="V47" s="3429">
        <f>I47</f>
        <v>0</v>
      </c>
      <c r="W47" s="3429"/>
      <c r="X47" s="385"/>
      <c r="Y47" s="673"/>
      <c r="Z47" s="385"/>
      <c r="AA47" s="385"/>
      <c r="AB47" s="385"/>
      <c r="AC47" s="385"/>
    </row>
    <row r="48" spans="1:29" ht="15" thickBot="1">
      <c r="A48" s="423" t="s">
        <v>1793</v>
      </c>
      <c r="B48" s="424"/>
      <c r="C48" s="1082" t="e">
        <f>R49</f>
        <v>#DIV/0!</v>
      </c>
      <c r="D48" s="2138" t="s">
        <v>2138</v>
      </c>
      <c r="E48" s="1083" t="e">
        <f>R48</f>
        <v>#DIV/0!</v>
      </c>
      <c r="F48" s="2139"/>
      <c r="G48" s="1082" t="e">
        <f>T48</f>
        <v>#DIV/0!</v>
      </c>
      <c r="H48" s="2139"/>
      <c r="I48" s="1083" t="e">
        <f>V48</f>
        <v>#DIV/0!</v>
      </c>
      <c r="J48" s="2139"/>
      <c r="K48" s="2141">
        <f>F48+H48+J48</f>
        <v>0</v>
      </c>
      <c r="L48" s="2492"/>
      <c r="M48" s="2485"/>
      <c r="N48" s="2485"/>
      <c r="O48" s="2485"/>
      <c r="P48" s="3434" t="str">
        <f>A48</f>
        <v>比较价值（元/平方米）</v>
      </c>
      <c r="Q48" s="3434"/>
      <c r="R48" s="3429" t="e">
        <f>IF(F1="售价",ROUND(PRODUCT(R47,AA7:AA46),0),ROUND(PRODUCT(R47,AA7:AA46),1))</f>
        <v>#DIV/0!</v>
      </c>
      <c r="S48" s="3429"/>
      <c r="T48" s="3429" t="e">
        <f>IF(F1="售价",ROUND(PRODUCT(T47,AB7:AB46),0),ROUND(PRODUCT(T47,AB7:AB46),1))</f>
        <v>#DIV/0!</v>
      </c>
      <c r="U48" s="3429"/>
      <c r="V48" s="3429" t="e">
        <f>IF(F1="售价",ROUND(PRODUCT(V47,AC7:AC46),0),ROUND(PRODUCT(V47,AC7:AC46),1))</f>
        <v>#DIV/0!</v>
      </c>
      <c r="W48" s="3429"/>
      <c r="X48" s="385"/>
      <c r="Y48" s="385"/>
      <c r="Z48" s="385"/>
      <c r="AA48" s="385"/>
      <c r="AB48" s="385"/>
      <c r="AC48" s="385"/>
    </row>
    <row r="49" spans="1:29" ht="15" thickBot="1">
      <c r="A49" s="427" t="s">
        <v>1794</v>
      </c>
      <c r="B49" s="428"/>
      <c r="C49" s="351" t="e">
        <f>R49</f>
        <v>#DIV/0!</v>
      </c>
      <c r="D49" s="351"/>
      <c r="E49" s="351"/>
      <c r="F49" s="351"/>
      <c r="G49" s="351"/>
      <c r="H49" s="351"/>
      <c r="I49" s="351"/>
      <c r="J49" s="351"/>
      <c r="K49" s="675"/>
      <c r="L49" s="2492"/>
      <c r="M49" s="2485"/>
      <c r="N49" s="2485"/>
      <c r="O49" s="2485"/>
      <c r="P49" s="3431" t="str">
        <f>A49</f>
        <v>估价对象XX用房的比较价值（楼面单价，元/平方米）</v>
      </c>
      <c r="Q49" s="3432"/>
      <c r="R49" s="3433" t="e">
        <f>IF(F1="售价",ROUND(IF(D48="简单平均",AVERAGE(R48:V48),R48*F48+T48*H48+V48*J48),0),ROUND(IF(D48="简单平均",AVERAGE(R48:V48),R48*F48+T48*H48+V48*J48),1))</f>
        <v>#DIV/0!</v>
      </c>
      <c r="S49" s="3433"/>
      <c r="T49" s="3433"/>
      <c r="U49" s="3433"/>
      <c r="V49" s="3433"/>
      <c r="W49" s="3433"/>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2.2" thickBot="1">
      <c r="A57" s="658" t="s">
        <v>1798</v>
      </c>
      <c r="B57" s="385"/>
      <c r="C57" s="659"/>
      <c r="D57" s="659"/>
      <c r="E57" s="659"/>
      <c r="F57" s="660"/>
      <c r="G57" s="660"/>
      <c r="H57" s="659"/>
      <c r="I57" s="659"/>
      <c r="J57" s="659"/>
      <c r="K57" s="661"/>
      <c r="L57" s="888"/>
      <c r="M57" s="886"/>
      <c r="N57" s="886"/>
      <c r="O57" s="886"/>
      <c r="P57" s="2505"/>
      <c r="Q57" s="2506"/>
      <c r="R57" s="2485"/>
      <c r="S57" s="2485"/>
      <c r="T57" s="2485"/>
      <c r="U57" s="2485"/>
      <c r="V57" s="2485"/>
      <c r="W57" s="2485"/>
      <c r="X57" s="2485"/>
      <c r="Y57" s="2485"/>
      <c r="Z57" s="2485"/>
      <c r="AA57" s="2485"/>
      <c r="AB57" s="2485"/>
      <c r="AC57" s="2485"/>
    </row>
    <row r="58" spans="1:29" s="442" customFormat="1" ht="14.4">
      <c r="A58" s="440" t="s">
        <v>1679</v>
      </c>
      <c r="B58" s="441"/>
      <c r="C58" s="1103" t="str">
        <f>YEAR(C7)&amp;"-"&amp;MONTH(C7)</f>
        <v>2025-4</v>
      </c>
      <c r="D58" s="1104">
        <f>EDATE(C58,-1)</f>
        <v>45717</v>
      </c>
      <c r="E58" s="1104">
        <f t="shared" ref="E58:N58" si="16">EDATE(D58,-1)</f>
        <v>45689</v>
      </c>
      <c r="F58" s="1104">
        <f t="shared" si="16"/>
        <v>45658</v>
      </c>
      <c r="G58" s="1104">
        <f t="shared" si="16"/>
        <v>45627</v>
      </c>
      <c r="H58" s="1104">
        <f t="shared" si="16"/>
        <v>45597</v>
      </c>
      <c r="I58" s="1104">
        <f t="shared" si="16"/>
        <v>45566</v>
      </c>
      <c r="J58" s="1104">
        <f t="shared" si="16"/>
        <v>45536</v>
      </c>
      <c r="K58" s="1104">
        <f t="shared" si="16"/>
        <v>45505</v>
      </c>
      <c r="L58" s="1104">
        <f t="shared" si="16"/>
        <v>45474</v>
      </c>
      <c r="M58" s="1104">
        <f t="shared" si="16"/>
        <v>45444</v>
      </c>
      <c r="N58" s="1104">
        <f t="shared" si="16"/>
        <v>45413</v>
      </c>
      <c r="O58" s="1104">
        <f>EDATE(N58,-1)</f>
        <v>45383</v>
      </c>
      <c r="P58" s="2507"/>
      <c r="Q58" s="2508"/>
      <c r="R58" s="2508"/>
      <c r="S58" s="2508"/>
      <c r="T58" s="2508"/>
      <c r="U58" s="2508"/>
      <c r="V58" s="2508"/>
      <c r="W58" s="2508"/>
      <c r="X58" s="2508"/>
      <c r="Y58" s="2508"/>
      <c r="Z58" s="2508"/>
      <c r="AA58" s="2508"/>
      <c r="AB58" s="2508"/>
      <c r="AC58" s="2508"/>
    </row>
    <row r="59" spans="1:29" s="102" customFormat="1">
      <c r="A59" s="443"/>
      <c r="B59" s="444"/>
      <c r="C59" s="1102">
        <v>100</v>
      </c>
      <c r="D59" s="446"/>
      <c r="E59" s="446"/>
      <c r="F59" s="446"/>
      <c r="G59" s="446"/>
      <c r="H59" s="446"/>
      <c r="I59" s="446"/>
      <c r="J59" s="446"/>
      <c r="K59" s="446"/>
      <c r="L59" s="446"/>
      <c r="M59" s="447"/>
      <c r="N59" s="446"/>
      <c r="O59" s="447"/>
      <c r="P59" s="2509"/>
      <c r="Q59" s="2437"/>
      <c r="R59" s="2437"/>
      <c r="S59" s="2437"/>
      <c r="T59" s="2437"/>
      <c r="U59" s="2437"/>
      <c r="V59" s="2437"/>
      <c r="W59" s="2437"/>
      <c r="X59" s="2437"/>
      <c r="Y59" s="2437"/>
      <c r="Z59" s="2437"/>
      <c r="AA59" s="2437"/>
      <c r="AB59" s="2437"/>
      <c r="AC59" s="2437"/>
    </row>
    <row r="60" spans="1:29" s="102" customFormat="1" ht="15" thickBot="1">
      <c r="A60" s="449" t="s">
        <v>1716</v>
      </c>
      <c r="B60" s="450"/>
      <c r="C60" s="451"/>
      <c r="D60" s="452"/>
      <c r="E60" s="452"/>
      <c r="F60" s="452"/>
      <c r="G60" s="452"/>
      <c r="H60" s="452"/>
      <c r="I60" s="452"/>
      <c r="J60" s="452"/>
      <c r="K60" s="452"/>
      <c r="L60" s="452"/>
      <c r="M60" s="453"/>
      <c r="N60" s="452"/>
      <c r="O60" s="453"/>
      <c r="P60" s="2509"/>
      <c r="Q60" s="2506"/>
      <c r="R60" s="2437"/>
      <c r="S60" s="2437"/>
      <c r="T60" s="2437"/>
      <c r="U60" s="2437"/>
      <c r="V60" s="2437"/>
      <c r="W60" s="2437"/>
      <c r="X60" s="2437"/>
      <c r="Y60" s="2437"/>
      <c r="Z60" s="2437"/>
      <c r="AA60" s="2437"/>
      <c r="AB60" s="2437"/>
      <c r="AC60" s="2437"/>
    </row>
    <row r="61" spans="1:29" s="102" customFormat="1" ht="14.4">
      <c r="A61" s="455" t="s">
        <v>1681</v>
      </c>
      <c r="B61" s="444"/>
      <c r="C61" s="456" t="s">
        <v>1776</v>
      </c>
      <c r="D61" s="31"/>
      <c r="E61" s="31"/>
      <c r="F61" s="31"/>
      <c r="G61" s="31"/>
      <c r="H61" s="31"/>
      <c r="I61" s="31"/>
      <c r="J61" s="31"/>
      <c r="K61" s="31"/>
      <c r="L61" s="457"/>
      <c r="M61" s="458"/>
      <c r="N61" s="2518"/>
      <c r="O61" s="2518"/>
      <c r="P61" s="2510"/>
      <c r="Q61" s="2506"/>
      <c r="R61" s="2437"/>
      <c r="S61" s="2437"/>
      <c r="T61" s="2437"/>
      <c r="U61" s="2437"/>
      <c r="V61" s="2437"/>
      <c r="W61" s="2437"/>
      <c r="X61" s="2437"/>
      <c r="Y61" s="2437"/>
      <c r="Z61" s="2437"/>
      <c r="AA61" s="2437"/>
      <c r="AB61" s="2437"/>
      <c r="AC61" s="2437"/>
    </row>
    <row r="62" spans="1:29" s="102" customFormat="1" ht="14.4" thickBot="1">
      <c r="A62" s="455"/>
      <c r="B62" s="444"/>
      <c r="C62" s="445">
        <v>100</v>
      </c>
      <c r="D62" s="446"/>
      <c r="E62" s="446"/>
      <c r="F62" s="446"/>
      <c r="G62" s="446"/>
      <c r="H62" s="446"/>
      <c r="I62" s="446"/>
      <c r="J62" s="446"/>
      <c r="K62" s="446"/>
      <c r="L62" s="446"/>
      <c r="M62" s="448"/>
      <c r="N62" s="2518"/>
      <c r="O62" s="2518"/>
      <c r="P62" s="2509"/>
      <c r="Q62" s="2506"/>
      <c r="R62" s="2437"/>
      <c r="S62" s="2437"/>
      <c r="T62" s="2437"/>
      <c r="U62" s="2437"/>
      <c r="V62" s="2437"/>
      <c r="W62" s="2437"/>
      <c r="X62" s="2437"/>
      <c r="Y62" s="2437"/>
      <c r="Z62" s="2437"/>
      <c r="AA62" s="2437"/>
      <c r="AB62" s="2437"/>
      <c r="AC62" s="2437"/>
    </row>
    <row r="63" spans="1:29" ht="14.4">
      <c r="A63" s="379" t="s">
        <v>1719</v>
      </c>
      <c r="B63" s="460" t="s">
        <v>1685</v>
      </c>
      <c r="C63" s="461">
        <f>C9</f>
        <v>0</v>
      </c>
      <c r="D63" s="462"/>
      <c r="E63" s="462"/>
      <c r="F63" s="462"/>
      <c r="G63" s="462"/>
      <c r="H63" s="462"/>
      <c r="I63" s="462"/>
      <c r="J63" s="462"/>
      <c r="K63" s="463"/>
      <c r="L63" s="464"/>
      <c r="M63" s="465"/>
      <c r="N63" s="2519"/>
      <c r="O63" s="2519"/>
      <c r="P63" s="2511"/>
      <c r="Q63" s="2506"/>
      <c r="R63" s="2485"/>
      <c r="S63" s="2485"/>
      <c r="T63" s="2485"/>
      <c r="U63" s="2485"/>
      <c r="V63" s="2485"/>
      <c r="W63" s="2485"/>
      <c r="X63" s="2485"/>
      <c r="Y63" s="2485"/>
      <c r="Z63" s="2485"/>
      <c r="AA63" s="2485"/>
      <c r="AB63" s="2485"/>
      <c r="AC63" s="2485"/>
    </row>
    <row r="64" spans="1:29" ht="14.4" thickBot="1">
      <c r="A64" s="367"/>
      <c r="B64" s="466"/>
      <c r="C64" s="467">
        <v>100</v>
      </c>
      <c r="D64" s="467"/>
      <c r="E64" s="467"/>
      <c r="F64" s="467"/>
      <c r="G64" s="467"/>
      <c r="H64" s="467"/>
      <c r="I64" s="467"/>
      <c r="J64" s="467"/>
      <c r="K64" s="467"/>
      <c r="L64" s="467"/>
      <c r="M64" s="468"/>
      <c r="N64" s="2520"/>
      <c r="O64" s="2520"/>
      <c r="P64" s="2511"/>
      <c r="Q64" s="2506"/>
      <c r="R64" s="2485"/>
      <c r="S64" s="2485"/>
      <c r="T64" s="2485"/>
      <c r="U64" s="2485"/>
      <c r="V64" s="2485"/>
      <c r="W64" s="2485"/>
      <c r="X64" s="2485"/>
      <c r="Y64" s="2485"/>
      <c r="Z64" s="2485"/>
      <c r="AA64" s="2485"/>
      <c r="AB64" s="2485"/>
      <c r="AC64" s="2485"/>
    </row>
    <row r="65" spans="1:29" ht="29.4" thickTop="1">
      <c r="A65" s="367"/>
      <c r="B65" s="469" t="s">
        <v>1688</v>
      </c>
      <c r="C65" s="513"/>
      <c r="D65" s="513"/>
      <c r="E65" s="513"/>
      <c r="F65" s="513"/>
      <c r="G65" s="513"/>
      <c r="H65" s="513"/>
      <c r="I65" s="513"/>
      <c r="J65" s="513"/>
      <c r="K65" s="514"/>
      <c r="L65" s="515"/>
      <c r="M65" s="516"/>
      <c r="N65" s="2519"/>
      <c r="O65" s="2519"/>
      <c r="P65" s="2511"/>
      <c r="Q65" s="2506"/>
      <c r="R65" s="2485"/>
      <c r="S65" s="2485"/>
      <c r="T65" s="2485"/>
      <c r="U65" s="2485"/>
      <c r="V65" s="2485"/>
      <c r="W65" s="2485"/>
      <c r="X65" s="2485"/>
      <c r="Y65" s="2485"/>
      <c r="Z65" s="2485"/>
      <c r="AA65" s="2485"/>
      <c r="AB65" s="2485"/>
      <c r="AC65" s="2485"/>
    </row>
    <row r="66" spans="1:29" ht="14.4" thickBot="1">
      <c r="A66" s="367"/>
      <c r="B66" s="474"/>
      <c r="C66" s="467"/>
      <c r="D66" s="467"/>
      <c r="E66" s="467"/>
      <c r="F66" s="467"/>
      <c r="G66" s="467"/>
      <c r="H66" s="467"/>
      <c r="I66" s="467"/>
      <c r="J66" s="467"/>
      <c r="K66" s="467"/>
      <c r="L66" s="467"/>
      <c r="M66" s="468"/>
      <c r="N66" s="2520"/>
      <c r="O66" s="2520"/>
      <c r="P66" s="2511"/>
      <c r="Q66" s="2506"/>
      <c r="R66" s="2485"/>
      <c r="S66" s="2485"/>
      <c r="T66" s="2485"/>
      <c r="U66" s="2485"/>
      <c r="V66" s="2485"/>
      <c r="W66" s="2485"/>
      <c r="X66" s="2485"/>
      <c r="Y66" s="2485"/>
      <c r="Z66" s="2485"/>
      <c r="AA66" s="2485"/>
      <c r="AB66" s="2485"/>
      <c r="AC66" s="2485"/>
    </row>
    <row r="67" spans="1:29" ht="1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0"/>
      <c r="O67" s="2520"/>
      <c r="P67" s="2511"/>
      <c r="Q67" s="2506"/>
      <c r="R67" s="2485"/>
      <c r="S67" s="2485"/>
      <c r="T67" s="2485"/>
      <c r="U67" s="2485"/>
      <c r="V67" s="2485"/>
      <c r="W67" s="2485"/>
      <c r="X67" s="2485"/>
      <c r="Y67" s="2485"/>
      <c r="Z67" s="2485"/>
      <c r="AA67" s="2485"/>
      <c r="AB67" s="2485"/>
      <c r="AC67" s="2485"/>
    </row>
    <row r="68" spans="1:29">
      <c r="A68" s="367"/>
      <c r="B68" s="479"/>
      <c r="C68" s="480"/>
      <c r="D68" s="480"/>
      <c r="E68" s="480"/>
      <c r="F68" s="480"/>
      <c r="G68" s="480"/>
      <c r="H68" s="480"/>
      <c r="I68" s="480"/>
      <c r="J68" s="480"/>
      <c r="K68" s="481"/>
      <c r="L68" s="482"/>
      <c r="M68" s="483"/>
      <c r="N68" s="2519"/>
      <c r="O68" s="2519"/>
      <c r="P68" s="2511"/>
      <c r="Q68" s="2506"/>
      <c r="R68" s="2485"/>
      <c r="S68" s="2485"/>
      <c r="T68" s="2485"/>
      <c r="U68" s="2485"/>
      <c r="V68" s="2485"/>
      <c r="W68" s="2485"/>
      <c r="X68" s="2485"/>
      <c r="Y68" s="2485"/>
      <c r="Z68" s="2485"/>
      <c r="AA68" s="2485"/>
      <c r="AB68" s="2485"/>
      <c r="AC68" s="2485"/>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0"/>
      <c r="O69" s="2520"/>
      <c r="P69" s="2511"/>
      <c r="Q69" s="2506"/>
      <c r="R69" s="2485"/>
      <c r="S69" s="2485"/>
      <c r="T69" s="2485"/>
      <c r="U69" s="2485"/>
      <c r="V69" s="2485"/>
      <c r="W69" s="2485"/>
      <c r="X69" s="2485"/>
      <c r="Y69" s="2485"/>
      <c r="Z69" s="2485"/>
      <c r="AA69" s="2485"/>
      <c r="AB69" s="2485"/>
      <c r="AC69" s="2485"/>
    </row>
    <row r="70" spans="1:29" s="408" customFormat="1" ht="14.4" thickTop="1">
      <c r="A70" s="484"/>
      <c r="B70" s="469">
        <f>B12</f>
        <v>111</v>
      </c>
      <c r="C70" s="485"/>
      <c r="D70" s="485"/>
      <c r="E70" s="485"/>
      <c r="F70" s="485"/>
      <c r="G70" s="485"/>
      <c r="H70" s="486"/>
      <c r="I70" s="486"/>
      <c r="J70" s="486"/>
      <c r="K70" s="486"/>
      <c r="L70" s="487"/>
      <c r="M70" s="488"/>
      <c r="N70" s="2521"/>
      <c r="O70" s="2521"/>
      <c r="P70" s="2512"/>
      <c r="Q70" s="2513"/>
      <c r="R70" s="2491"/>
      <c r="S70" s="2491"/>
      <c r="T70" s="2491"/>
      <c r="U70" s="2491"/>
      <c r="V70" s="2491"/>
      <c r="W70" s="2491"/>
      <c r="X70" s="2491"/>
      <c r="Y70" s="2491"/>
      <c r="Z70" s="2491"/>
      <c r="AA70" s="2491"/>
      <c r="AB70" s="2491"/>
      <c r="AC70" s="2491"/>
    </row>
    <row r="71" spans="1:29" s="408" customFormat="1" ht="14.4" thickBot="1">
      <c r="A71" s="484"/>
      <c r="B71" s="474"/>
      <c r="C71" s="491"/>
      <c r="D71" s="467"/>
      <c r="E71" s="467"/>
      <c r="F71" s="467"/>
      <c r="G71" s="467"/>
      <c r="H71" s="467"/>
      <c r="I71" s="467"/>
      <c r="J71" s="467"/>
      <c r="K71" s="467"/>
      <c r="L71" s="467"/>
      <c r="M71" s="468"/>
      <c r="N71" s="2520"/>
      <c r="O71" s="2520"/>
      <c r="P71" s="2512"/>
      <c r="Q71" s="2513"/>
      <c r="R71" s="2491"/>
      <c r="S71" s="2491"/>
      <c r="T71" s="2491"/>
      <c r="U71" s="2491"/>
      <c r="V71" s="2491"/>
      <c r="W71" s="2491"/>
      <c r="X71" s="2491"/>
      <c r="Y71" s="2491"/>
      <c r="Z71" s="2491"/>
      <c r="AA71" s="2491"/>
      <c r="AB71" s="2491"/>
      <c r="AC71" s="2491"/>
    </row>
    <row r="72" spans="1:29" s="408" customFormat="1" ht="14.4" thickTop="1">
      <c r="A72" s="484"/>
      <c r="B72" s="469">
        <f>B13</f>
        <v>111</v>
      </c>
      <c r="C72" s="485"/>
      <c r="D72" s="485"/>
      <c r="E72" s="485"/>
      <c r="F72" s="485"/>
      <c r="G72" s="485"/>
      <c r="H72" s="486"/>
      <c r="I72" s="486"/>
      <c r="J72" s="486"/>
      <c r="K72" s="486"/>
      <c r="L72" s="487"/>
      <c r="M72" s="488"/>
      <c r="N72" s="2521"/>
      <c r="O72" s="2521"/>
      <c r="P72" s="2514"/>
      <c r="Q72" s="2515"/>
      <c r="R72" s="2491"/>
      <c r="S72" s="2491"/>
      <c r="T72" s="2491"/>
      <c r="U72" s="2491"/>
      <c r="V72" s="2491"/>
      <c r="W72" s="2491"/>
      <c r="X72" s="2491"/>
      <c r="Y72" s="2491"/>
      <c r="Z72" s="2491"/>
      <c r="AA72" s="2491"/>
      <c r="AB72" s="2491"/>
      <c r="AC72" s="2491"/>
    </row>
    <row r="73" spans="1:29" s="408" customFormat="1" ht="14.4" thickBot="1">
      <c r="A73" s="484"/>
      <c r="B73" s="474"/>
      <c r="C73" s="491"/>
      <c r="D73" s="467"/>
      <c r="E73" s="467"/>
      <c r="F73" s="467"/>
      <c r="G73" s="491"/>
      <c r="H73" s="493"/>
      <c r="I73" s="493"/>
      <c r="J73" s="493"/>
      <c r="K73" s="493"/>
      <c r="L73" s="493"/>
      <c r="M73" s="494"/>
      <c r="N73" s="2521"/>
      <c r="O73" s="2521"/>
      <c r="P73" s="2512"/>
      <c r="Q73" s="2513"/>
      <c r="R73" s="2491"/>
      <c r="S73" s="2491"/>
      <c r="T73" s="2491"/>
      <c r="U73" s="2491"/>
      <c r="V73" s="2491"/>
      <c r="W73" s="2491"/>
      <c r="X73" s="2491"/>
      <c r="Y73" s="2491"/>
      <c r="Z73" s="2491"/>
      <c r="AA73" s="2491"/>
      <c r="AB73" s="2491"/>
      <c r="AC73" s="2491"/>
    </row>
    <row r="74" spans="1:29" s="408" customFormat="1" ht="14.4" thickTop="1">
      <c r="A74" s="484"/>
      <c r="B74" s="477">
        <f>B14</f>
        <v>111</v>
      </c>
      <c r="C74" s="485"/>
      <c r="D74" s="485"/>
      <c r="E74" s="485"/>
      <c r="F74" s="485"/>
      <c r="G74" s="31"/>
      <c r="H74" s="495"/>
      <c r="I74" s="495"/>
      <c r="J74" s="495"/>
      <c r="K74" s="495"/>
      <c r="L74" s="496"/>
      <c r="M74" s="497"/>
      <c r="N74" s="2521"/>
      <c r="O74" s="2521"/>
      <c r="P74" s="2516"/>
      <c r="Q74" s="2513"/>
      <c r="R74" s="2491"/>
      <c r="S74" s="2491"/>
      <c r="T74" s="2491"/>
      <c r="U74" s="2491"/>
      <c r="V74" s="2491"/>
      <c r="W74" s="2491"/>
      <c r="X74" s="2491"/>
      <c r="Y74" s="2491"/>
      <c r="Z74" s="2491"/>
      <c r="AA74" s="2491"/>
      <c r="AB74" s="2491"/>
      <c r="AC74" s="2491"/>
    </row>
    <row r="75" spans="1:29" s="408" customFormat="1" ht="14.4" thickBot="1">
      <c r="A75" s="499"/>
      <c r="B75" s="500"/>
      <c r="C75" s="501"/>
      <c r="D75" s="501"/>
      <c r="E75" s="501"/>
      <c r="F75" s="501"/>
      <c r="G75" s="501"/>
      <c r="H75" s="502"/>
      <c r="I75" s="502"/>
      <c r="J75" s="502"/>
      <c r="K75" s="502"/>
      <c r="L75" s="502"/>
      <c r="M75" s="503"/>
      <c r="N75" s="2521"/>
      <c r="O75" s="2521"/>
      <c r="P75" s="2512"/>
      <c r="Q75" s="2513"/>
      <c r="R75" s="2491"/>
      <c r="S75" s="2491"/>
      <c r="T75" s="2491"/>
      <c r="U75" s="2491"/>
      <c r="V75" s="2491"/>
      <c r="W75" s="2491"/>
      <c r="X75" s="2491"/>
      <c r="Y75" s="2491"/>
      <c r="Z75" s="2491"/>
      <c r="AA75" s="2491"/>
      <c r="AB75" s="2491"/>
      <c r="AC75" s="2491"/>
    </row>
    <row r="76" spans="1:29" ht="14.4">
      <c r="A76" s="379" t="s">
        <v>1690</v>
      </c>
      <c r="B76" s="460" t="s">
        <v>1720</v>
      </c>
      <c r="C76" s="504" t="s">
        <v>1721</v>
      </c>
      <c r="D76" s="504" t="s">
        <v>1722</v>
      </c>
      <c r="E76" s="504" t="s">
        <v>1723</v>
      </c>
      <c r="F76" s="504" t="s">
        <v>1724</v>
      </c>
      <c r="G76" s="504" t="s">
        <v>1725</v>
      </c>
      <c r="H76" s="461"/>
      <c r="I76" s="461"/>
      <c r="J76" s="461"/>
      <c r="K76" s="505"/>
      <c r="L76" s="506"/>
      <c r="M76" s="507"/>
      <c r="N76" s="2519"/>
      <c r="O76" s="2519"/>
      <c r="P76" s="2517"/>
      <c r="Q76" s="2506"/>
      <c r="R76" s="2485"/>
      <c r="S76" s="2485"/>
      <c r="T76" s="2485"/>
      <c r="U76" s="2485"/>
      <c r="V76" s="2485"/>
      <c r="W76" s="2485"/>
      <c r="X76" s="2485"/>
      <c r="Y76" s="2485"/>
      <c r="Z76" s="2485"/>
      <c r="AA76" s="2485"/>
      <c r="AB76" s="2485"/>
      <c r="AC76" s="2485"/>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0"/>
      <c r="O77" s="2520"/>
      <c r="P77" s="2511"/>
      <c r="Q77" s="2506"/>
      <c r="R77" s="2485"/>
      <c r="S77" s="2485"/>
      <c r="T77" s="2485"/>
      <c r="U77" s="2485"/>
      <c r="V77" s="2485"/>
      <c r="W77" s="2485"/>
      <c r="X77" s="2485"/>
      <c r="Y77" s="2485"/>
      <c r="Z77" s="2485"/>
      <c r="AA77" s="2485"/>
      <c r="AB77" s="2485"/>
      <c r="AC77" s="2485"/>
    </row>
    <row r="78" spans="1:29" ht="15" thickTop="1">
      <c r="A78" s="367"/>
      <c r="B78" s="469" t="s">
        <v>1726</v>
      </c>
      <c r="C78" s="509" t="s">
        <v>1721</v>
      </c>
      <c r="D78" s="509" t="s">
        <v>1722</v>
      </c>
      <c r="E78" s="509" t="s">
        <v>1723</v>
      </c>
      <c r="F78" s="509" t="s">
        <v>1724</v>
      </c>
      <c r="G78" s="509" t="s">
        <v>1725</v>
      </c>
      <c r="H78" s="470"/>
      <c r="I78" s="470"/>
      <c r="J78" s="470"/>
      <c r="K78" s="471"/>
      <c r="L78" s="472"/>
      <c r="M78" s="473"/>
      <c r="N78" s="2519"/>
      <c r="O78" s="2519"/>
      <c r="P78" s="2511"/>
      <c r="Q78" s="2506"/>
      <c r="R78" s="2485"/>
      <c r="S78" s="2485"/>
      <c r="T78" s="2485"/>
      <c r="U78" s="2485"/>
      <c r="V78" s="2485"/>
      <c r="W78" s="2485"/>
      <c r="X78" s="2485"/>
      <c r="Y78" s="2485"/>
      <c r="Z78" s="2485"/>
      <c r="AA78" s="2485"/>
      <c r="AB78" s="2485"/>
      <c r="AC78" s="2485"/>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0"/>
      <c r="O79" s="2520"/>
      <c r="P79" s="2511"/>
      <c r="Q79" s="2506"/>
      <c r="R79" s="2485"/>
      <c r="S79" s="2485"/>
      <c r="T79" s="2485"/>
      <c r="U79" s="2485"/>
      <c r="V79" s="2485"/>
      <c r="W79" s="2485"/>
      <c r="X79" s="2485"/>
      <c r="Y79" s="2485"/>
      <c r="Z79" s="2485"/>
      <c r="AA79" s="2485"/>
      <c r="AB79" s="2485"/>
      <c r="AC79" s="2485"/>
    </row>
    <row r="80" spans="1:29" ht="15" thickTop="1">
      <c r="A80" s="367"/>
      <c r="B80" s="469" t="s">
        <v>1727</v>
      </c>
      <c r="C80" s="509" t="s">
        <v>1721</v>
      </c>
      <c r="D80" s="509" t="s">
        <v>1722</v>
      </c>
      <c r="E80" s="509" t="s">
        <v>1723</v>
      </c>
      <c r="F80" s="509" t="s">
        <v>1724</v>
      </c>
      <c r="G80" s="509" t="s">
        <v>1725</v>
      </c>
      <c r="H80" s="470"/>
      <c r="I80" s="470"/>
      <c r="J80" s="470"/>
      <c r="K80" s="471"/>
      <c r="L80" s="472"/>
      <c r="M80" s="473"/>
      <c r="N80" s="2519"/>
      <c r="O80" s="2519"/>
      <c r="P80" s="2511"/>
      <c r="Q80" s="2506"/>
      <c r="R80" s="2485"/>
      <c r="S80" s="2485"/>
      <c r="T80" s="2485"/>
      <c r="U80" s="2485"/>
      <c r="V80" s="2485"/>
      <c r="W80" s="2485"/>
      <c r="X80" s="2485"/>
      <c r="Y80" s="2485"/>
      <c r="Z80" s="2485"/>
      <c r="AA80" s="2485"/>
      <c r="AB80" s="2485"/>
      <c r="AC80" s="2485"/>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0"/>
      <c r="O81" s="2520"/>
      <c r="P81" s="2511"/>
      <c r="Q81" s="2506"/>
      <c r="R81" s="2485"/>
      <c r="S81" s="2485"/>
      <c r="T81" s="2485"/>
      <c r="U81" s="2485"/>
      <c r="V81" s="2485"/>
      <c r="W81" s="2485"/>
      <c r="X81" s="2485"/>
      <c r="Y81" s="2485"/>
      <c r="Z81" s="2485"/>
      <c r="AA81" s="2485"/>
      <c r="AB81" s="2485"/>
      <c r="AC81" s="2485"/>
    </row>
    <row r="82" spans="1:29" ht="15" thickTop="1">
      <c r="A82" s="367"/>
      <c r="B82" s="477" t="s">
        <v>1779</v>
      </c>
      <c r="C82" s="581" t="s">
        <v>1799</v>
      </c>
      <c r="D82" s="581" t="s">
        <v>1800</v>
      </c>
      <c r="E82" s="581" t="s">
        <v>1801</v>
      </c>
      <c r="F82" s="581" t="s">
        <v>1802</v>
      </c>
      <c r="G82" s="581" t="s">
        <v>1803</v>
      </c>
      <c r="H82" s="470"/>
      <c r="I82" s="470"/>
      <c r="J82" s="470"/>
      <c r="K82" s="470"/>
      <c r="L82" s="470"/>
      <c r="M82" s="1063"/>
      <c r="N82" s="2520"/>
      <c r="O82" s="2520"/>
      <c r="P82" s="2511"/>
      <c r="Q82" s="2506"/>
      <c r="R82" s="2485"/>
      <c r="S82" s="2485"/>
      <c r="T82" s="2485"/>
      <c r="U82" s="2485"/>
      <c r="V82" s="2485"/>
      <c r="W82" s="2485"/>
      <c r="X82" s="2485"/>
      <c r="Y82" s="2485"/>
      <c r="Z82" s="2485"/>
      <c r="AA82" s="2485"/>
      <c r="AB82" s="2485"/>
      <c r="AC82" s="2485"/>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0"/>
      <c r="O83" s="2520"/>
      <c r="P83" s="2511"/>
      <c r="Q83" s="2506"/>
      <c r="R83" s="2485"/>
      <c r="S83" s="2485"/>
      <c r="T83" s="2485"/>
      <c r="U83" s="2485"/>
      <c r="V83" s="2485"/>
      <c r="W83" s="2485"/>
      <c r="X83" s="2485"/>
      <c r="Y83" s="2485"/>
      <c r="Z83" s="2485"/>
      <c r="AA83" s="2485"/>
      <c r="AB83" s="2485"/>
      <c r="AC83" s="2485"/>
    </row>
    <row r="84" spans="1:29" ht="15" thickTop="1">
      <c r="A84" s="367"/>
      <c r="B84" s="469" t="s">
        <v>1733</v>
      </c>
      <c r="C84" s="509" t="s">
        <v>1721</v>
      </c>
      <c r="D84" s="509" t="s">
        <v>1722</v>
      </c>
      <c r="E84" s="509" t="s">
        <v>1723</v>
      </c>
      <c r="F84" s="509" t="s">
        <v>1724</v>
      </c>
      <c r="G84" s="509" t="s">
        <v>1725</v>
      </c>
      <c r="H84" s="470"/>
      <c r="I84" s="470"/>
      <c r="J84" s="470"/>
      <c r="K84" s="471"/>
      <c r="L84" s="472"/>
      <c r="M84" s="473"/>
      <c r="N84" s="2519"/>
      <c r="O84" s="2519"/>
      <c r="P84" s="2511"/>
      <c r="Q84" s="2506"/>
      <c r="R84" s="2485"/>
      <c r="S84" s="2485"/>
      <c r="T84" s="2485"/>
      <c r="U84" s="2485"/>
      <c r="V84" s="2485"/>
      <c r="W84" s="2485"/>
      <c r="X84" s="2485"/>
      <c r="Y84" s="2485"/>
      <c r="Z84" s="2485"/>
      <c r="AA84" s="2485"/>
      <c r="AB84" s="2485"/>
      <c r="AC84" s="2485"/>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0"/>
      <c r="O85" s="2520"/>
      <c r="P85" s="2511"/>
      <c r="Q85" s="2506"/>
      <c r="R85" s="2485"/>
      <c r="S85" s="2485"/>
      <c r="T85" s="2485"/>
      <c r="U85" s="2485"/>
      <c r="V85" s="2485"/>
      <c r="W85" s="2485"/>
      <c r="X85" s="2485"/>
      <c r="Y85" s="2485"/>
      <c r="Z85" s="2485"/>
      <c r="AA85" s="2485"/>
      <c r="AB85" s="2485"/>
      <c r="AC85" s="2485"/>
    </row>
    <row r="86" spans="1:29" s="102" customFormat="1" ht="15" thickTop="1">
      <c r="A86" s="370"/>
      <c r="B86" s="469" t="s">
        <v>1804</v>
      </c>
      <c r="C86" s="485"/>
      <c r="D86" s="485"/>
      <c r="E86" s="485"/>
      <c r="F86" s="485"/>
      <c r="G86" s="485"/>
      <c r="H86" s="485"/>
      <c r="I86" s="485"/>
      <c r="J86" s="485"/>
      <c r="K86" s="485"/>
      <c r="L86" s="510"/>
      <c r="M86" s="511"/>
      <c r="N86" s="2518"/>
      <c r="O86" s="2518"/>
      <c r="P86" s="2511"/>
      <c r="Q86" s="2506"/>
      <c r="R86" s="2437"/>
      <c r="S86" s="2437"/>
      <c r="T86" s="2437"/>
      <c r="U86" s="2437"/>
      <c r="V86" s="2437"/>
      <c r="W86" s="2437"/>
      <c r="X86" s="2437"/>
      <c r="Y86" s="2437"/>
      <c r="Z86" s="2437"/>
      <c r="AA86" s="2437"/>
      <c r="AB86" s="2437"/>
      <c r="AC86" s="2437"/>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0"/>
      <c r="O87" s="2520"/>
      <c r="P87" s="2511"/>
      <c r="Q87" s="2506"/>
      <c r="R87" s="2437"/>
      <c r="S87" s="2437"/>
      <c r="T87" s="2437"/>
      <c r="U87" s="2437"/>
      <c r="V87" s="2437"/>
      <c r="W87" s="2437"/>
      <c r="X87" s="2437"/>
      <c r="Y87" s="2437"/>
      <c r="Z87" s="2437"/>
      <c r="AA87" s="2437"/>
      <c r="AB87" s="2437"/>
      <c r="AC87" s="2437"/>
    </row>
    <row r="88" spans="1:29" s="102" customFormat="1" ht="14.4" thickTop="1">
      <c r="A88" s="370"/>
      <c r="B88" s="469" t="str">
        <f>B26</f>
        <v>平面位置/可视性</v>
      </c>
      <c r="C88" s="485"/>
      <c r="D88" s="485"/>
      <c r="E88" s="485"/>
      <c r="F88" s="1777"/>
      <c r="G88" s="485"/>
      <c r="H88" s="485"/>
      <c r="I88" s="485"/>
      <c r="J88" s="485"/>
      <c r="K88" s="485"/>
      <c r="L88" s="485"/>
      <c r="M88" s="511"/>
      <c r="N88" s="2518"/>
      <c r="O88" s="2518"/>
      <c r="P88" s="2511"/>
      <c r="Q88" s="2506"/>
      <c r="R88" s="2437"/>
      <c r="S88" s="2437"/>
      <c r="T88" s="2437"/>
      <c r="U88" s="2437"/>
      <c r="V88" s="2437"/>
      <c r="W88" s="2437"/>
      <c r="X88" s="2437"/>
      <c r="Y88" s="2437"/>
      <c r="Z88" s="2437"/>
      <c r="AA88" s="2437"/>
      <c r="AB88" s="2437"/>
      <c r="AC88" s="2437"/>
    </row>
    <row r="89" spans="1:29" s="102" customFormat="1" ht="14.4" thickBot="1">
      <c r="A89" s="370"/>
      <c r="B89" s="474"/>
      <c r="C89" s="491"/>
      <c r="D89" s="467"/>
      <c r="E89" s="467"/>
      <c r="F89" s="467"/>
      <c r="G89" s="467"/>
      <c r="H89" s="467"/>
      <c r="I89" s="467"/>
      <c r="J89" s="467"/>
      <c r="K89" s="467"/>
      <c r="L89" s="467"/>
      <c r="M89" s="467"/>
      <c r="N89" s="2520"/>
      <c r="O89" s="2520"/>
      <c r="P89" s="2511"/>
      <c r="Q89" s="2506"/>
      <c r="R89" s="2437"/>
      <c r="S89" s="2437"/>
      <c r="T89" s="2437"/>
      <c r="U89" s="2437"/>
      <c r="V89" s="2437"/>
      <c r="W89" s="2437"/>
      <c r="X89" s="2437"/>
      <c r="Y89" s="2437"/>
      <c r="Z89" s="2437"/>
      <c r="AA89" s="2437"/>
      <c r="AB89" s="2437"/>
      <c r="AC89" s="2437"/>
    </row>
    <row r="90" spans="1:29" s="408" customFormat="1" ht="14.4" thickTop="1">
      <c r="A90" s="484"/>
      <c r="B90" s="469" t="str">
        <f>B27</f>
        <v>人流量</v>
      </c>
      <c r="C90" s="485"/>
      <c r="D90" s="485"/>
      <c r="E90" s="485"/>
      <c r="F90" s="485"/>
      <c r="G90" s="485"/>
      <c r="H90" s="486"/>
      <c r="I90" s="486"/>
      <c r="J90" s="486"/>
      <c r="K90" s="486"/>
      <c r="L90" s="487"/>
      <c r="M90" s="488"/>
      <c r="N90" s="2521"/>
      <c r="O90" s="2521"/>
      <c r="P90" s="2512"/>
      <c r="Q90" s="2513"/>
      <c r="R90" s="2491"/>
      <c r="S90" s="2491"/>
      <c r="T90" s="2491"/>
      <c r="U90" s="2491"/>
      <c r="V90" s="2491"/>
      <c r="W90" s="2491"/>
      <c r="X90" s="2491"/>
      <c r="Y90" s="2491"/>
      <c r="Z90" s="2491"/>
      <c r="AA90" s="2491"/>
      <c r="AB90" s="2491"/>
      <c r="AC90" s="2491"/>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1"/>
      <c r="O91" s="2521"/>
      <c r="P91" s="2512"/>
      <c r="Q91" s="2513"/>
      <c r="R91" s="2491"/>
      <c r="S91" s="2491"/>
      <c r="T91" s="2491"/>
      <c r="U91" s="2491"/>
      <c r="V91" s="2491"/>
      <c r="W91" s="2491"/>
      <c r="X91" s="2491"/>
      <c r="Y91" s="2491"/>
      <c r="Z91" s="2491"/>
      <c r="AA91" s="2491"/>
      <c r="AB91" s="2491"/>
      <c r="AC91" s="2491"/>
    </row>
    <row r="92" spans="1:29" ht="14.4" thickTop="1">
      <c r="A92" s="367"/>
      <c r="B92" s="469" t="str">
        <f>B28</f>
        <v>楼层</v>
      </c>
      <c r="C92" s="485"/>
      <c r="D92" s="485"/>
      <c r="E92" s="485"/>
      <c r="F92" s="485"/>
      <c r="G92" s="485"/>
      <c r="H92" s="485"/>
      <c r="I92" s="485"/>
      <c r="J92" s="485"/>
      <c r="K92" s="485"/>
      <c r="L92" s="510"/>
      <c r="M92" s="511"/>
      <c r="N92" s="2519"/>
      <c r="O92" s="2519"/>
      <c r="P92" s="2511"/>
      <c r="Q92" s="2506"/>
      <c r="R92" s="2485"/>
      <c r="S92" s="2485"/>
      <c r="T92" s="2485"/>
      <c r="U92" s="2485"/>
      <c r="V92" s="2485"/>
      <c r="W92" s="2485"/>
      <c r="X92" s="2485"/>
      <c r="Y92" s="2485"/>
      <c r="Z92" s="2485"/>
      <c r="AA92" s="2485"/>
      <c r="AB92" s="2485"/>
      <c r="AC92" s="2485"/>
    </row>
    <row r="93" spans="1:29" ht="14.4" thickBot="1">
      <c r="A93" s="367"/>
      <c r="B93" s="474"/>
      <c r="C93" s="467"/>
      <c r="D93" s="467"/>
      <c r="E93" s="467"/>
      <c r="F93" s="467"/>
      <c r="G93" s="467"/>
      <c r="H93" s="467"/>
      <c r="I93" s="467"/>
      <c r="J93" s="467"/>
      <c r="K93" s="467"/>
      <c r="L93" s="467"/>
      <c r="M93" s="468"/>
      <c r="N93" s="2520"/>
      <c r="O93" s="2520"/>
      <c r="P93" s="2511"/>
      <c r="Q93" s="2506"/>
      <c r="R93" s="2485"/>
      <c r="S93" s="2485"/>
      <c r="T93" s="2485"/>
      <c r="U93" s="2485"/>
      <c r="V93" s="2485"/>
      <c r="W93" s="2485"/>
      <c r="X93" s="2485"/>
      <c r="Y93" s="2485"/>
      <c r="Z93" s="2485"/>
      <c r="AA93" s="2485"/>
      <c r="AB93" s="2485"/>
      <c r="AC93" s="2485"/>
    </row>
    <row r="94" spans="1:29" ht="14.4" thickTop="1">
      <c r="A94" s="367"/>
      <c r="B94" s="469">
        <f>B29</f>
        <v>111</v>
      </c>
      <c r="C94" s="485"/>
      <c r="D94" s="485"/>
      <c r="E94" s="485"/>
      <c r="F94" s="485"/>
      <c r="G94" s="513"/>
      <c r="H94" s="513"/>
      <c r="I94" s="513"/>
      <c r="J94" s="513"/>
      <c r="K94" s="514"/>
      <c r="L94" s="515"/>
      <c r="M94" s="516"/>
      <c r="N94" s="2519"/>
      <c r="O94" s="2519"/>
      <c r="P94" s="2511"/>
      <c r="Q94" s="2506"/>
      <c r="R94" s="2485"/>
      <c r="S94" s="2485"/>
      <c r="T94" s="2485"/>
      <c r="U94" s="2485"/>
      <c r="V94" s="2485"/>
      <c r="W94" s="2485"/>
      <c r="X94" s="2485"/>
      <c r="Y94" s="2485"/>
      <c r="Z94" s="2485"/>
      <c r="AA94" s="2485"/>
      <c r="AB94" s="2485"/>
      <c r="AC94" s="2485"/>
    </row>
    <row r="95" spans="1:29" ht="14.4" thickBot="1">
      <c r="A95" s="367"/>
      <c r="B95" s="474"/>
      <c r="C95" s="491"/>
      <c r="D95" s="467"/>
      <c r="E95" s="467"/>
      <c r="F95" s="467"/>
      <c r="G95" s="467"/>
      <c r="H95" s="467"/>
      <c r="I95" s="467"/>
      <c r="J95" s="467"/>
      <c r="K95" s="467"/>
      <c r="L95" s="467"/>
      <c r="M95" s="468"/>
      <c r="N95" s="2520"/>
      <c r="O95" s="2520"/>
      <c r="P95" s="2511"/>
      <c r="Q95" s="2506"/>
      <c r="R95" s="2485"/>
      <c r="S95" s="2485"/>
      <c r="T95" s="2485"/>
      <c r="U95" s="2485"/>
      <c r="V95" s="2485"/>
      <c r="W95" s="2485"/>
      <c r="X95" s="2485"/>
      <c r="Y95" s="2485"/>
      <c r="Z95" s="2485"/>
      <c r="AA95" s="2485"/>
      <c r="AB95" s="2485"/>
      <c r="AC95" s="2485"/>
    </row>
    <row r="96" spans="1:29" ht="14.4" thickTop="1">
      <c r="A96" s="367"/>
      <c r="B96" s="469">
        <f>B30</f>
        <v>111</v>
      </c>
      <c r="C96" s="485"/>
      <c r="D96" s="485"/>
      <c r="E96" s="485"/>
      <c r="F96" s="485"/>
      <c r="G96" s="513"/>
      <c r="H96" s="513"/>
      <c r="I96" s="513"/>
      <c r="J96" s="513"/>
      <c r="K96" s="514"/>
      <c r="L96" s="515"/>
      <c r="M96" s="516"/>
      <c r="N96" s="2519"/>
      <c r="O96" s="2519"/>
      <c r="P96" s="2511"/>
      <c r="Q96" s="2506"/>
      <c r="R96" s="2485"/>
      <c r="S96" s="2485"/>
      <c r="T96" s="2485"/>
      <c r="U96" s="2485"/>
      <c r="V96" s="2485"/>
      <c r="W96" s="2485"/>
      <c r="X96" s="2485"/>
      <c r="Y96" s="2485"/>
      <c r="Z96" s="2485"/>
      <c r="AA96" s="2485"/>
      <c r="AB96" s="2485"/>
      <c r="AC96" s="2485"/>
    </row>
    <row r="97" spans="1:29" ht="14.4" thickBot="1">
      <c r="A97" s="367"/>
      <c r="B97" s="474"/>
      <c r="C97" s="491"/>
      <c r="D97" s="467"/>
      <c r="E97" s="467"/>
      <c r="F97" s="467"/>
      <c r="G97" s="467"/>
      <c r="H97" s="467"/>
      <c r="I97" s="467"/>
      <c r="J97" s="467"/>
      <c r="K97" s="467"/>
      <c r="L97" s="467"/>
      <c r="M97" s="468"/>
      <c r="N97" s="2520"/>
      <c r="O97" s="2520"/>
      <c r="P97" s="2511"/>
      <c r="Q97" s="2506"/>
      <c r="R97" s="2485"/>
      <c r="S97" s="2485"/>
      <c r="T97" s="2485"/>
      <c r="U97" s="2485"/>
      <c r="V97" s="2485"/>
      <c r="W97" s="2485"/>
      <c r="X97" s="2485"/>
      <c r="Y97" s="2485"/>
      <c r="Z97" s="2485"/>
      <c r="AA97" s="2485"/>
      <c r="AB97" s="2485"/>
      <c r="AC97" s="2485"/>
    </row>
    <row r="98" spans="1:29" ht="14.4" thickTop="1">
      <c r="A98" s="367"/>
      <c r="B98" s="477">
        <f>B31</f>
        <v>111</v>
      </c>
      <c r="C98" s="485"/>
      <c r="D98" s="485"/>
      <c r="E98" s="485"/>
      <c r="F98" s="485"/>
      <c r="G98" s="517"/>
      <c r="H98" s="517"/>
      <c r="I98" s="517"/>
      <c r="J98" s="517"/>
      <c r="K98" s="518"/>
      <c r="L98" s="519"/>
      <c r="M98" s="520"/>
      <c r="N98" s="2519"/>
      <c r="O98" s="2519"/>
      <c r="P98" s="2511"/>
      <c r="Q98" s="2506"/>
      <c r="R98" s="2485"/>
      <c r="S98" s="2485"/>
      <c r="T98" s="2485"/>
      <c r="U98" s="2485"/>
      <c r="V98" s="2485"/>
      <c r="W98" s="2485"/>
      <c r="X98" s="2485"/>
      <c r="Y98" s="2485"/>
      <c r="Z98" s="2485"/>
      <c r="AA98" s="2485"/>
      <c r="AB98" s="2485"/>
      <c r="AC98" s="2485"/>
    </row>
    <row r="99" spans="1:29" ht="14.4" thickBot="1">
      <c r="A99" s="375"/>
      <c r="B99" s="500"/>
      <c r="C99" s="501"/>
      <c r="D99" s="501"/>
      <c r="E99" s="501"/>
      <c r="F99" s="501"/>
      <c r="G99" s="521"/>
      <c r="H99" s="521"/>
      <c r="I99" s="521"/>
      <c r="J99" s="521"/>
      <c r="K99" s="521"/>
      <c r="L99" s="521"/>
      <c r="M99" s="522"/>
      <c r="N99" s="2520"/>
      <c r="O99" s="2520"/>
      <c r="P99" s="2511"/>
      <c r="Q99" s="2506"/>
      <c r="R99" s="2485"/>
      <c r="S99" s="2485"/>
      <c r="T99" s="2485"/>
      <c r="U99" s="2485"/>
      <c r="V99" s="2485"/>
      <c r="W99" s="2485"/>
      <c r="X99" s="2485"/>
      <c r="Y99" s="2485"/>
      <c r="Z99" s="2485"/>
      <c r="AA99" s="2485"/>
      <c r="AB99" s="2485"/>
      <c r="AC99" s="2485"/>
    </row>
    <row r="100" spans="1:29" ht="14.4">
      <c r="A100" s="379" t="s">
        <v>1694</v>
      </c>
      <c r="B100" s="460" t="s">
        <v>1805</v>
      </c>
      <c r="C100" s="462"/>
      <c r="D100" s="462"/>
      <c r="E100" s="462"/>
      <c r="F100" s="462"/>
      <c r="G100" s="462"/>
      <c r="H100" s="462"/>
      <c r="I100" s="462"/>
      <c r="J100" s="462"/>
      <c r="K100" s="463"/>
      <c r="L100" s="464"/>
      <c r="M100" s="465"/>
      <c r="N100" s="2519"/>
      <c r="O100" s="2519"/>
      <c r="P100" s="2511"/>
      <c r="Q100" s="2506"/>
      <c r="R100" s="2485"/>
      <c r="S100" s="2485"/>
      <c r="T100" s="2485"/>
      <c r="U100" s="2485"/>
      <c r="V100" s="2485"/>
      <c r="W100" s="2485"/>
      <c r="X100" s="2485"/>
      <c r="Y100" s="2485"/>
      <c r="Z100" s="2485"/>
      <c r="AA100" s="2485"/>
      <c r="AB100" s="2485"/>
      <c r="AC100" s="2485"/>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0"/>
      <c r="O101" s="2520"/>
      <c r="P101" s="2511"/>
      <c r="Q101" s="2506"/>
      <c r="R101" s="2485"/>
      <c r="S101" s="2485"/>
      <c r="T101" s="2485"/>
      <c r="U101" s="2485"/>
      <c r="V101" s="2485"/>
      <c r="W101" s="2485"/>
      <c r="X101" s="2485"/>
      <c r="Y101" s="2485"/>
      <c r="Z101" s="2485"/>
      <c r="AA101" s="2485"/>
      <c r="AB101" s="2485"/>
      <c r="AC101" s="2485"/>
    </row>
    <row r="102" spans="1:29" ht="1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8" customFormat="1">
      <c r="A103" s="406"/>
      <c r="B103" s="523"/>
      <c r="C103" s="6"/>
      <c r="D103" s="6"/>
      <c r="E103" s="6"/>
      <c r="F103" s="6"/>
      <c r="G103" s="6"/>
      <c r="H103" s="6"/>
      <c r="I103" s="6"/>
      <c r="J103" s="524"/>
      <c r="K103" s="524"/>
      <c r="L103" s="525"/>
      <c r="M103" s="526"/>
      <c r="N103" s="2521"/>
      <c r="O103" s="2521"/>
      <c r="P103" s="2512"/>
      <c r="Q103" s="2513"/>
      <c r="R103" s="2491"/>
      <c r="S103" s="2491"/>
      <c r="T103" s="2491"/>
      <c r="U103" s="2491"/>
      <c r="V103" s="2491"/>
      <c r="W103" s="2491"/>
      <c r="X103" s="2491"/>
      <c r="Y103" s="2491"/>
      <c r="Z103" s="2491"/>
      <c r="AA103" s="2491"/>
      <c r="AB103" s="2491"/>
      <c r="AC103" s="2491"/>
    </row>
    <row r="104" spans="1:29" s="408" customFormat="1" ht="14.4" thickBot="1">
      <c r="A104" s="484"/>
      <c r="B104" s="474"/>
      <c r="C104" s="491"/>
      <c r="D104" s="467"/>
      <c r="E104" s="467"/>
      <c r="F104" s="467"/>
      <c r="G104" s="467"/>
      <c r="H104" s="467"/>
      <c r="I104" s="467"/>
      <c r="J104" s="467"/>
      <c r="K104" s="467"/>
      <c r="L104" s="467"/>
      <c r="M104" s="468"/>
      <c r="N104" s="2520"/>
      <c r="O104" s="2520"/>
      <c r="P104" s="2512"/>
      <c r="Q104" s="2513"/>
      <c r="R104" s="2491"/>
      <c r="S104" s="2491"/>
      <c r="T104" s="2491"/>
      <c r="U104" s="2491"/>
      <c r="V104" s="2491"/>
      <c r="W104" s="2491"/>
      <c r="X104" s="2491"/>
      <c r="Y104" s="2491"/>
      <c r="Z104" s="2491"/>
      <c r="AA104" s="2491"/>
      <c r="AB104" s="2491"/>
      <c r="AC104" s="2491"/>
    </row>
    <row r="105" spans="1:29" ht="15" thickTop="1">
      <c r="A105" s="409"/>
      <c r="B105" s="469" t="s">
        <v>1738</v>
      </c>
      <c r="C105" s="485"/>
      <c r="D105" s="485"/>
      <c r="E105" s="513"/>
      <c r="F105" s="513"/>
      <c r="G105" s="513"/>
      <c r="H105" s="513"/>
      <c r="I105" s="513"/>
      <c r="J105" s="513"/>
      <c r="K105" s="514"/>
      <c r="L105" s="515"/>
      <c r="M105" s="516"/>
      <c r="N105" s="2519"/>
      <c r="O105" s="2519"/>
      <c r="P105" s="2511"/>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9"/>
      <c r="B107" s="469" t="s">
        <v>1740</v>
      </c>
      <c r="C107" s="485"/>
      <c r="D107" s="485"/>
      <c r="E107" s="485"/>
      <c r="F107" s="513"/>
      <c r="G107" s="513"/>
      <c r="H107" s="513"/>
      <c r="I107" s="513"/>
      <c r="J107" s="513"/>
      <c r="K107" s="514"/>
      <c r="L107" s="515"/>
      <c r="M107" s="516"/>
      <c r="N107" s="2519"/>
      <c r="O107" s="2519"/>
      <c r="P107" s="2511"/>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9"/>
      <c r="O109" s="2519"/>
      <c r="P109" s="2511"/>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9"/>
      <c r="O110" s="2519"/>
      <c r="P110" s="2511"/>
      <c r="Q110" s="2506"/>
      <c r="R110" s="2485"/>
      <c r="S110" s="2485"/>
      <c r="T110" s="2485"/>
      <c r="U110" s="2485"/>
      <c r="V110" s="2485"/>
      <c r="W110" s="2485"/>
      <c r="X110" s="2485"/>
      <c r="Y110" s="2485"/>
      <c r="Z110" s="2485"/>
      <c r="AA110" s="2485"/>
      <c r="AB110" s="2485"/>
      <c r="AC110" s="2485"/>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0"/>
      <c r="O111" s="2520"/>
      <c r="P111" s="2511"/>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485"/>
      <c r="D112" s="485"/>
      <c r="E112" s="485"/>
      <c r="F112" s="485"/>
      <c r="G112" s="485"/>
      <c r="H112" s="513"/>
      <c r="I112" s="513"/>
      <c r="J112" s="513"/>
      <c r="K112" s="514"/>
      <c r="L112" s="515"/>
      <c r="M112" s="516"/>
      <c r="N112" s="2521"/>
      <c r="O112" s="2521"/>
      <c r="P112" s="2512"/>
      <c r="Q112" s="2513"/>
      <c r="R112" s="2491"/>
      <c r="S112" s="2491"/>
      <c r="T112" s="2491"/>
      <c r="U112" s="2491"/>
      <c r="V112" s="2491"/>
      <c r="W112" s="2491"/>
      <c r="X112" s="2491"/>
      <c r="Y112" s="2491"/>
      <c r="Z112" s="2491"/>
      <c r="AA112" s="2491"/>
      <c r="AB112" s="2491"/>
      <c r="AC112" s="2491"/>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9"/>
      <c r="B114" s="469" t="s">
        <v>1806</v>
      </c>
      <c r="C114" s="485"/>
      <c r="D114" s="485"/>
      <c r="E114" s="513"/>
      <c r="F114" s="513"/>
      <c r="G114" s="513"/>
      <c r="H114" s="513"/>
      <c r="I114" s="513"/>
      <c r="J114" s="513"/>
      <c r="K114" s="514"/>
      <c r="L114" s="515"/>
      <c r="M114" s="516"/>
      <c r="N114" s="2519"/>
      <c r="O114" s="2519"/>
      <c r="P114" s="2511"/>
      <c r="Q114" s="2506"/>
      <c r="R114" s="2485"/>
      <c r="S114" s="2485"/>
      <c r="T114" s="2485"/>
      <c r="U114" s="2485"/>
      <c r="V114" s="2485"/>
      <c r="W114" s="2485"/>
      <c r="X114" s="2485"/>
      <c r="Y114" s="2485"/>
      <c r="Z114" s="2485"/>
      <c r="AA114" s="2485"/>
      <c r="AB114" s="2485"/>
      <c r="AC114" s="2485"/>
    </row>
    <row r="115" spans="1:29" ht="14.4"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9"/>
      <c r="B116" s="469" t="s">
        <v>1807</v>
      </c>
      <c r="C116" s="485"/>
      <c r="D116" s="485"/>
      <c r="E116" s="485"/>
      <c r="F116" s="485"/>
      <c r="G116" s="485"/>
      <c r="H116" s="513"/>
      <c r="I116" s="513"/>
      <c r="J116" s="513"/>
      <c r="K116" s="514"/>
      <c r="L116" s="515"/>
      <c r="M116" s="516"/>
      <c r="N116" s="2519"/>
      <c r="O116" s="2519"/>
      <c r="P116" s="2511"/>
      <c r="Q116" s="2506"/>
      <c r="R116" s="2485"/>
      <c r="S116" s="2485"/>
      <c r="T116" s="2485"/>
      <c r="U116" s="2485"/>
      <c r="V116" s="2485"/>
      <c r="W116" s="2485"/>
      <c r="X116" s="2485"/>
      <c r="Y116" s="2485"/>
      <c r="Z116" s="2485"/>
      <c r="AA116" s="2485"/>
      <c r="AB116" s="2485"/>
      <c r="AC116" s="2485"/>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0"/>
      <c r="O117" s="2520"/>
      <c r="P117" s="2511"/>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9"/>
      <c r="O118" s="2519"/>
      <c r="P118" s="2511"/>
      <c r="Q118" s="2506"/>
      <c r="R118" s="2485"/>
      <c r="S118" s="2485"/>
      <c r="T118" s="2485"/>
      <c r="U118" s="2485"/>
      <c r="V118" s="2485"/>
      <c r="W118" s="2485"/>
      <c r="X118" s="2485"/>
      <c r="Y118" s="2485"/>
      <c r="Z118" s="2485"/>
      <c r="AA118" s="2485"/>
      <c r="AB118" s="2485"/>
      <c r="AC118" s="2485"/>
    </row>
    <row r="119" spans="1:29" ht="14.4" thickBot="1">
      <c r="A119" s="367"/>
      <c r="B119" s="474"/>
      <c r="C119" s="491"/>
      <c r="D119" s="467"/>
      <c r="E119" s="467"/>
      <c r="F119" s="467"/>
      <c r="G119" s="467"/>
      <c r="H119" s="467"/>
      <c r="I119" s="467"/>
      <c r="J119" s="467"/>
      <c r="K119" s="467"/>
      <c r="L119" s="467"/>
      <c r="M119" s="468"/>
      <c r="N119" s="2520"/>
      <c r="O119" s="2520"/>
      <c r="P119" s="2511"/>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1"/>
      <c r="O120" s="2521"/>
      <c r="P120" s="2512"/>
      <c r="Q120" s="2513"/>
      <c r="R120" s="2491"/>
      <c r="S120" s="2491"/>
      <c r="T120" s="2491"/>
      <c r="U120" s="2491"/>
      <c r="V120" s="2491"/>
      <c r="W120" s="2491"/>
      <c r="X120" s="2491"/>
      <c r="Y120" s="2491"/>
      <c r="Z120" s="2491"/>
      <c r="AA120" s="2491"/>
      <c r="AB120" s="2491"/>
      <c r="AC120" s="2491"/>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9"/>
      <c r="B122" s="469" t="s">
        <v>1744</v>
      </c>
      <c r="C122" s="485"/>
      <c r="D122" s="485"/>
      <c r="E122" s="485"/>
      <c r="F122" s="513"/>
      <c r="G122" s="513"/>
      <c r="H122" s="513"/>
      <c r="I122" s="513"/>
      <c r="J122" s="513"/>
      <c r="K122" s="514"/>
      <c r="L122" s="515"/>
      <c r="M122" s="516"/>
      <c r="N122" s="2519"/>
      <c r="O122" s="2519"/>
      <c r="P122" s="2511"/>
      <c r="Q122" s="2506"/>
      <c r="R122" s="2485"/>
      <c r="S122" s="2485"/>
      <c r="T122" s="2485"/>
      <c r="U122" s="2485"/>
      <c r="V122" s="2485"/>
      <c r="W122" s="2485"/>
      <c r="X122" s="2485"/>
      <c r="Y122" s="2485"/>
      <c r="Z122" s="2485"/>
      <c r="AA122" s="2485"/>
      <c r="AB122" s="2485"/>
      <c r="AC122" s="2485"/>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0"/>
      <c r="O123" s="2520"/>
      <c r="P123" s="2511"/>
      <c r="Q123" s="2506"/>
      <c r="R123" s="2485"/>
      <c r="S123" s="2485"/>
      <c r="T123" s="2485"/>
      <c r="U123" s="2485"/>
      <c r="V123" s="2485"/>
      <c r="W123" s="2485"/>
      <c r="X123" s="2485"/>
      <c r="Y123" s="2485"/>
      <c r="Z123" s="2485"/>
      <c r="AA123" s="2485"/>
      <c r="AB123" s="2485"/>
      <c r="AC123" s="2485"/>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19"/>
      <c r="O124" s="2519"/>
      <c r="P124" s="2512"/>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0"/>
      <c r="O125" s="2520"/>
      <c r="P125" s="2511"/>
      <c r="Q125" s="2506"/>
      <c r="R125" s="2485"/>
      <c r="S125" s="2485"/>
      <c r="T125" s="2485"/>
      <c r="U125" s="2485"/>
      <c r="V125" s="2485"/>
      <c r="W125" s="2485"/>
      <c r="X125" s="2485"/>
      <c r="Y125" s="2485"/>
      <c r="Z125" s="2485"/>
      <c r="AA125" s="2485"/>
      <c r="AB125" s="2485"/>
      <c r="AC125" s="2485"/>
    </row>
    <row r="126" spans="1:29" s="408" customFormat="1" ht="14.4" thickTop="1">
      <c r="A126" s="406"/>
      <c r="B126" s="469">
        <f>B44</f>
        <v>111</v>
      </c>
      <c r="C126" s="485"/>
      <c r="D126" s="485"/>
      <c r="E126" s="485"/>
      <c r="F126" s="485"/>
      <c r="G126" s="485"/>
      <c r="H126" s="486"/>
      <c r="I126" s="486"/>
      <c r="J126" s="486"/>
      <c r="K126" s="486"/>
      <c r="L126" s="487"/>
      <c r="M126" s="488"/>
      <c r="N126" s="2521"/>
      <c r="O126" s="2521"/>
      <c r="P126" s="2512"/>
      <c r="Q126" s="2513"/>
      <c r="R126" s="2491"/>
      <c r="S126" s="2491"/>
      <c r="T126" s="2491"/>
      <c r="U126" s="2491"/>
      <c r="V126" s="2491"/>
      <c r="W126" s="2491"/>
      <c r="X126" s="2491"/>
      <c r="Y126" s="2491"/>
      <c r="Z126" s="2491"/>
      <c r="AA126" s="2491"/>
      <c r="AB126" s="2491"/>
      <c r="AC126" s="2491"/>
    </row>
    <row r="127" spans="1:29" s="408" customFormat="1" ht="14.4" thickBot="1">
      <c r="A127" s="484"/>
      <c r="B127" s="474"/>
      <c r="C127" s="491"/>
      <c r="D127" s="467"/>
      <c r="E127" s="467"/>
      <c r="F127" s="467"/>
      <c r="G127" s="491"/>
      <c r="H127" s="493"/>
      <c r="I127" s="493"/>
      <c r="J127" s="493"/>
      <c r="K127" s="493"/>
      <c r="L127" s="493"/>
      <c r="M127" s="494"/>
      <c r="N127" s="2521"/>
      <c r="O127" s="2521"/>
      <c r="P127" s="2512"/>
      <c r="Q127" s="2513"/>
      <c r="R127" s="2491"/>
      <c r="S127" s="2491"/>
      <c r="T127" s="2491"/>
      <c r="U127" s="2491"/>
      <c r="V127" s="2491"/>
      <c r="W127" s="2491"/>
      <c r="X127" s="2491"/>
      <c r="Y127" s="2491"/>
      <c r="Z127" s="2491"/>
      <c r="AA127" s="2491"/>
      <c r="AB127" s="2491"/>
      <c r="AC127" s="2491"/>
    </row>
    <row r="128" spans="1:29" ht="14.4" thickTop="1">
      <c r="A128" s="409"/>
      <c r="B128" s="469">
        <f>B45</f>
        <v>111</v>
      </c>
      <c r="C128" s="485"/>
      <c r="D128" s="485"/>
      <c r="E128" s="485"/>
      <c r="F128" s="485"/>
      <c r="G128" s="513"/>
      <c r="H128" s="513"/>
      <c r="I128" s="513"/>
      <c r="J128" s="513"/>
      <c r="K128" s="514"/>
      <c r="L128" s="515"/>
      <c r="M128" s="516"/>
      <c r="N128" s="2519"/>
      <c r="O128" s="2519"/>
      <c r="P128" s="2511"/>
      <c r="Q128" s="2506"/>
      <c r="R128" s="2485"/>
      <c r="S128" s="2485"/>
      <c r="T128" s="2485"/>
      <c r="U128" s="2485"/>
      <c r="V128" s="2485"/>
      <c r="W128" s="2485"/>
      <c r="X128" s="2485"/>
      <c r="Y128" s="2485"/>
      <c r="Z128" s="2485"/>
      <c r="AA128" s="2485"/>
      <c r="AB128" s="2485"/>
      <c r="AC128" s="2485"/>
    </row>
    <row r="129" spans="1:29" ht="14.4" thickBot="1">
      <c r="A129" s="367"/>
      <c r="B129" s="474"/>
      <c r="C129" s="491"/>
      <c r="D129" s="467"/>
      <c r="E129" s="467"/>
      <c r="F129" s="467"/>
      <c r="G129" s="467"/>
      <c r="H129" s="467"/>
      <c r="I129" s="467"/>
      <c r="J129" s="467"/>
      <c r="K129" s="467"/>
      <c r="L129" s="467"/>
      <c r="M129" s="468"/>
      <c r="N129" s="2520"/>
      <c r="O129" s="2520"/>
      <c r="P129" s="2511"/>
      <c r="Q129" s="2506"/>
      <c r="R129" s="2485"/>
      <c r="S129" s="2485"/>
      <c r="T129" s="2485"/>
      <c r="U129" s="2485"/>
      <c r="V129" s="2485"/>
      <c r="W129" s="2485"/>
      <c r="X129" s="2485"/>
      <c r="Y129" s="2485"/>
      <c r="Z129" s="2485"/>
      <c r="AA129" s="2485"/>
      <c r="AB129" s="2485"/>
      <c r="AC129" s="2485"/>
    </row>
    <row r="130" spans="1:29" ht="14.4" thickTop="1">
      <c r="A130" s="409"/>
      <c r="B130" s="477">
        <f>B46</f>
        <v>111</v>
      </c>
      <c r="C130" s="485"/>
      <c r="D130" s="485"/>
      <c r="E130" s="485"/>
      <c r="F130" s="485"/>
      <c r="G130" s="517"/>
      <c r="H130" s="517"/>
      <c r="I130" s="517"/>
      <c r="J130" s="517"/>
      <c r="K130" s="31"/>
      <c r="L130" s="457"/>
      <c r="M130" s="520"/>
      <c r="N130" s="2519"/>
      <c r="O130" s="2519"/>
      <c r="P130" s="2511"/>
      <c r="Q130" s="2506"/>
      <c r="R130" s="2485"/>
      <c r="S130" s="2485"/>
      <c r="T130" s="2485"/>
      <c r="U130" s="2485"/>
      <c r="V130" s="2485"/>
      <c r="W130" s="2485"/>
      <c r="X130" s="2485"/>
      <c r="Y130" s="2485"/>
      <c r="Z130" s="2485"/>
      <c r="AA130" s="2485"/>
      <c r="AB130" s="2485"/>
      <c r="AC130" s="2485"/>
    </row>
    <row r="131" spans="1:29" ht="14.4" thickBot="1">
      <c r="A131" s="375"/>
      <c r="B131" s="500"/>
      <c r="C131" s="501"/>
      <c r="D131" s="501"/>
      <c r="E131" s="501"/>
      <c r="F131" s="501"/>
      <c r="G131" s="521"/>
      <c r="H131" s="521"/>
      <c r="I131" s="521"/>
      <c r="J131" s="521"/>
      <c r="K131" s="521"/>
      <c r="L131" s="521"/>
      <c r="M131" s="522"/>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5" t="s">
        <v>1810</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57.2</v>
      </c>
      <c r="E3" s="1802"/>
      <c r="F3" s="856"/>
      <c r="G3" s="855"/>
      <c r="H3" s="855"/>
      <c r="I3" s="855"/>
      <c r="J3" s="855"/>
      <c r="K3" s="857"/>
      <c r="L3" s="2501"/>
      <c r="M3" s="2502"/>
      <c r="N3" s="2502"/>
      <c r="O3" s="2502"/>
      <c r="P3" s="341"/>
      <c r="Q3" s="341"/>
      <c r="R3" s="341"/>
      <c r="S3" s="341"/>
      <c r="T3" s="341"/>
      <c r="U3" s="341"/>
      <c r="V3" s="341"/>
      <c r="W3" s="341"/>
      <c r="X3" s="341"/>
      <c r="Y3" s="341"/>
      <c r="Z3" s="341"/>
      <c r="AA3" s="341"/>
      <c r="AB3" s="341"/>
      <c r="AC3" s="663"/>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50" t="s">
        <v>1775</v>
      </c>
      <c r="Q4" s="3451"/>
      <c r="R4" s="3445" t="s">
        <v>1771</v>
      </c>
      <c r="S4" s="3446"/>
      <c r="T4" s="3445" t="s">
        <v>1772</v>
      </c>
      <c r="U4" s="3446"/>
      <c r="V4" s="3454" t="s">
        <v>1773</v>
      </c>
      <c r="W4" s="3454"/>
      <c r="X4" s="1806"/>
      <c r="Y4" s="3445" t="s">
        <v>1775</v>
      </c>
      <c r="Z4" s="3446"/>
      <c r="AA4" s="3444" t="s">
        <v>1771</v>
      </c>
      <c r="AB4" s="3444" t="s">
        <v>1772</v>
      </c>
      <c r="AC4" s="3447" t="s">
        <v>1773</v>
      </c>
    </row>
    <row r="5" spans="1:29">
      <c r="A5" s="348"/>
      <c r="B5" s="349"/>
      <c r="C5" s="3410" t="s">
        <v>1673</v>
      </c>
      <c r="D5" s="3411"/>
      <c r="E5" s="3408" t="s">
        <v>1674</v>
      </c>
      <c r="F5" s="3409"/>
      <c r="G5" s="3410" t="s">
        <v>1675</v>
      </c>
      <c r="H5" s="3411"/>
      <c r="I5" s="3410" t="s">
        <v>1676</v>
      </c>
      <c r="J5" s="3411"/>
      <c r="K5" s="537"/>
      <c r="L5" s="2484"/>
      <c r="M5" s="2485"/>
      <c r="N5" s="2485"/>
      <c r="O5" s="2485"/>
      <c r="P5" s="3452"/>
      <c r="Q5" s="3424"/>
      <c r="R5" s="3406"/>
      <c r="S5" s="3407"/>
      <c r="T5" s="3406"/>
      <c r="U5" s="3407"/>
      <c r="V5" s="3429"/>
      <c r="W5" s="3429"/>
      <c r="X5" s="1265"/>
      <c r="Y5" s="3406"/>
      <c r="Z5" s="3407"/>
      <c r="AA5" s="3400"/>
      <c r="AB5" s="3400"/>
      <c r="AC5" s="3448"/>
    </row>
    <row r="6" spans="1:29" ht="15" thickBot="1">
      <c r="A6" s="350"/>
      <c r="B6" s="351"/>
      <c r="C6" s="3412" t="s">
        <v>1677</v>
      </c>
      <c r="D6" s="3413"/>
      <c r="E6" s="3414" t="s">
        <v>1677</v>
      </c>
      <c r="F6" s="3415"/>
      <c r="G6" s="3412" t="s">
        <v>1677</v>
      </c>
      <c r="H6" s="3413"/>
      <c r="I6" s="3412" t="s">
        <v>1677</v>
      </c>
      <c r="J6" s="3413"/>
      <c r="K6" s="537" t="s">
        <v>1678</v>
      </c>
      <c r="L6" s="2484"/>
      <c r="M6" s="2485"/>
      <c r="N6" s="2485"/>
      <c r="O6" s="2485"/>
      <c r="P6" s="3453"/>
      <c r="Q6" s="3426"/>
      <c r="R6" s="3406"/>
      <c r="S6" s="3407"/>
      <c r="T6" s="3427"/>
      <c r="U6" s="3428"/>
      <c r="V6" s="3429"/>
      <c r="W6" s="3429"/>
      <c r="X6" s="1265"/>
      <c r="Y6" s="3427"/>
      <c r="Z6" s="3428"/>
      <c r="AA6" s="3401"/>
      <c r="AB6" s="3401"/>
      <c r="AC6" s="3449"/>
    </row>
    <row r="7" spans="1:29" s="102" customFormat="1" ht="15" thickBot="1">
      <c r="A7" s="352" t="s">
        <v>1679</v>
      </c>
      <c r="B7" s="353"/>
      <c r="C7" s="354">
        <f>'数据-取费表'!B2</f>
        <v>45755</v>
      </c>
      <c r="D7" s="355">
        <v>100</v>
      </c>
      <c r="E7" s="356"/>
      <c r="F7" s="357">
        <f>SUMIF(59:59,YEAR(E7)&amp;"-"&amp;MONTH(E7),60:60)</f>
        <v>0</v>
      </c>
      <c r="G7" s="356"/>
      <c r="H7" s="355">
        <f>SUMIF(59:59,YEAR(G7)&amp;"-"&amp;MONTH(G7),60:60)</f>
        <v>0</v>
      </c>
      <c r="I7" s="356"/>
      <c r="J7" s="355">
        <f>SUMIF(59:59,YEAR(I7)&amp;"-"&amp;MONTH(I7),60:60)</f>
        <v>0</v>
      </c>
      <c r="K7" s="38"/>
      <c r="L7" s="2486"/>
      <c r="M7" s="2437"/>
      <c r="N7" s="2437"/>
      <c r="O7" s="2437"/>
      <c r="P7" s="3455" t="s">
        <v>1680</v>
      </c>
      <c r="Q7" s="3430"/>
      <c r="R7" s="664" t="s">
        <v>14</v>
      </c>
      <c r="S7" s="665">
        <f t="shared" ref="S7:S15" si="0">F7</f>
        <v>0</v>
      </c>
      <c r="T7" s="664" t="s">
        <v>14</v>
      </c>
      <c r="U7" s="665">
        <f t="shared" ref="U7:U15" si="1">H7</f>
        <v>0</v>
      </c>
      <c r="V7" s="664" t="s">
        <v>14</v>
      </c>
      <c r="W7" s="665">
        <f t="shared" ref="W7:W15" si="2">J7</f>
        <v>0</v>
      </c>
      <c r="X7" s="666"/>
      <c r="Y7" s="3402" t="s">
        <v>1680</v>
      </c>
      <c r="Z7" s="3403"/>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6"/>
      <c r="M8" s="2437"/>
      <c r="N8" s="2437"/>
      <c r="O8" s="2437"/>
      <c r="P8" s="3455" t="s">
        <v>1683</v>
      </c>
      <c r="Q8" s="3403"/>
      <c r="R8" s="664" t="s">
        <v>14</v>
      </c>
      <c r="S8" s="665">
        <f t="shared" si="0"/>
        <v>100</v>
      </c>
      <c r="T8" s="664" t="s">
        <v>14</v>
      </c>
      <c r="U8" s="665">
        <f t="shared" si="1"/>
        <v>100</v>
      </c>
      <c r="V8" s="664" t="s">
        <v>14</v>
      </c>
      <c r="W8" s="665">
        <f t="shared" si="2"/>
        <v>100</v>
      </c>
      <c r="X8" s="666"/>
      <c r="Y8" s="3402" t="s">
        <v>1683</v>
      </c>
      <c r="Z8" s="3403"/>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6"/>
      <c r="M9" s="2437"/>
      <c r="N9" s="2437"/>
      <c r="O9" s="2437"/>
      <c r="P9" s="3416"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802">
        <f t="shared" si="5"/>
        <v>1</v>
      </c>
    </row>
    <row r="10" spans="1:29" s="366" customFormat="1" ht="28.8">
      <c r="A10" s="363"/>
      <c r="B10" s="364" t="s">
        <v>1688</v>
      </c>
      <c r="C10" s="3130"/>
      <c r="D10" s="119">
        <v>100</v>
      </c>
      <c r="E10" s="3130"/>
      <c r="F10" s="119">
        <f>SUMIF(66:66,E10,67:67)-SUMIF(66:66,C10,67:67)+100</f>
        <v>100</v>
      </c>
      <c r="G10" s="3131"/>
      <c r="H10" s="119">
        <f>SUMIF(66:66,G10,67:67)-SUMIF(66:66,C10,67:67)+100</f>
        <v>100</v>
      </c>
      <c r="I10" s="3130"/>
      <c r="J10" s="119">
        <f>SUMIF(66:66,I10,67:67)-SUMIF(66:66,C10,67:67)+100</f>
        <v>100</v>
      </c>
      <c r="K10" s="38"/>
      <c r="L10" s="2487"/>
      <c r="M10" s="2488"/>
      <c r="N10" s="2488"/>
      <c r="O10" s="2488"/>
      <c r="P10" s="3416"/>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416"/>
      <c r="Q11" s="530" t="str">
        <f t="shared" si="6"/>
        <v>容积率</v>
      </c>
      <c r="R11" s="664" t="s">
        <v>14</v>
      </c>
      <c r="S11" s="665">
        <f t="shared" si="0"/>
        <v>100</v>
      </c>
      <c r="T11" s="664" t="s">
        <v>14</v>
      </c>
      <c r="U11" s="665">
        <f t="shared" si="1"/>
        <v>100</v>
      </c>
      <c r="V11" s="664" t="s">
        <v>14</v>
      </c>
      <c r="W11" s="665">
        <f t="shared" si="2"/>
        <v>100</v>
      </c>
      <c r="X11" s="666"/>
      <c r="Y11" s="334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7"/>
      <c r="H12" s="119">
        <f>SUMIF(71:71,G12,72:72)-SUMIF(71:71,C12,72:72)+100</f>
        <v>100</v>
      </c>
      <c r="I12" s="371"/>
      <c r="J12" s="119">
        <f>SUMIF(71:71,I12,72:72)-SUMIF(71:71,C12,72:72)+100</f>
        <v>100</v>
      </c>
      <c r="K12" s="539"/>
      <c r="L12" s="2486"/>
      <c r="M12" s="2437"/>
      <c r="N12" s="2437"/>
      <c r="O12" s="2437"/>
      <c r="P12" s="3416"/>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7"/>
      <c r="H13" s="374">
        <f>SUMIF(73:73,G13,74:74)-SUMIF(73:73,C13,74:74)+100</f>
        <v>100</v>
      </c>
      <c r="I13" s="371"/>
      <c r="J13" s="374">
        <f>SUMIF(73:73,I13,74:74)-SUMIF(73:73,C13,74:74)+100</f>
        <v>100</v>
      </c>
      <c r="K13" s="539"/>
      <c r="L13" s="2490"/>
      <c r="M13" s="2485"/>
      <c r="N13" s="2485"/>
      <c r="O13" s="2485"/>
      <c r="P13" s="3416"/>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802">
        <f t="shared" si="5"/>
        <v>1</v>
      </c>
    </row>
    <row r="14" spans="1:29" ht="15.6" thickBot="1">
      <c r="A14" s="375"/>
      <c r="B14" s="1748">
        <v>111</v>
      </c>
      <c r="C14" s="376"/>
      <c r="D14" s="377">
        <v>100</v>
      </c>
      <c r="E14" s="553"/>
      <c r="F14" s="377">
        <f>SUMIF(75:75,E14,76:76)-SUMIF(75:75,C14,76:76)+100</f>
        <v>100</v>
      </c>
      <c r="G14" s="1807"/>
      <c r="H14" s="377">
        <f>SUMIF(75:75,G14,76:76)-SUMIF(75:75,C14,76:76)+100</f>
        <v>100</v>
      </c>
      <c r="I14" s="371"/>
      <c r="J14" s="377">
        <f>SUMIF(75:75,I14,76:76)-SUMIF(75:75,C14,76:76)+100</f>
        <v>100</v>
      </c>
      <c r="K14" s="539"/>
      <c r="L14" s="2490"/>
      <c r="M14" s="2485"/>
      <c r="N14" s="2485"/>
      <c r="O14" s="2485"/>
      <c r="P14" s="3416"/>
      <c r="Q14" s="530">
        <f t="shared" si="6"/>
        <v>111</v>
      </c>
      <c r="R14" s="664" t="s">
        <v>14</v>
      </c>
      <c r="S14" s="665">
        <f t="shared" si="0"/>
        <v>100</v>
      </c>
      <c r="T14" s="664" t="s">
        <v>14</v>
      </c>
      <c r="U14" s="665">
        <f t="shared" si="1"/>
        <v>100</v>
      </c>
      <c r="V14" s="664" t="s">
        <v>14</v>
      </c>
      <c r="W14" s="665">
        <f t="shared" si="2"/>
        <v>100</v>
      </c>
      <c r="X14" s="666"/>
      <c r="Y14" s="3345"/>
      <c r="Z14" s="50">
        <f t="shared" si="7"/>
        <v>111</v>
      </c>
      <c r="AA14" s="50">
        <f t="shared" si="3"/>
        <v>1</v>
      </c>
      <c r="AB14" s="50">
        <f t="shared" si="4"/>
        <v>1</v>
      </c>
      <c r="AC14" s="802">
        <f t="shared" si="5"/>
        <v>1</v>
      </c>
    </row>
    <row r="15" spans="1:29" ht="69">
      <c r="A15" s="379" t="s">
        <v>1690</v>
      </c>
      <c r="B15" s="554" t="s">
        <v>1811</v>
      </c>
      <c r="C15" s="1808"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0"/>
      <c r="M15" s="2485"/>
      <c r="N15" s="2485"/>
      <c r="O15" s="2485"/>
      <c r="P15" s="3442" t="s">
        <v>1691</v>
      </c>
      <c r="Q15" s="1263" t="str">
        <f t="shared" si="6"/>
        <v>办公集聚程度</v>
      </c>
      <c r="R15" s="667" t="s">
        <v>14</v>
      </c>
      <c r="S15" s="668">
        <f t="shared" si="0"/>
        <v>100</v>
      </c>
      <c r="T15" s="667" t="s">
        <v>14</v>
      </c>
      <c r="U15" s="668">
        <f t="shared" si="1"/>
        <v>100</v>
      </c>
      <c r="V15" s="667" t="s">
        <v>14</v>
      </c>
      <c r="W15" s="668">
        <f t="shared" si="2"/>
        <v>100</v>
      </c>
      <c r="X15" s="1265"/>
      <c r="Y15" s="3435" t="s">
        <v>1691</v>
      </c>
      <c r="Z15" s="1264" t="str">
        <f t="shared" si="7"/>
        <v>办公集聚程度</v>
      </c>
      <c r="AA15" s="1264">
        <f t="shared" si="3"/>
        <v>1</v>
      </c>
      <c r="AB15" s="1264">
        <f t="shared" si="4"/>
        <v>1</v>
      </c>
      <c r="AC15" s="1809">
        <f t="shared" si="5"/>
        <v>1</v>
      </c>
    </row>
    <row r="16" spans="1:29" ht="15">
      <c r="A16" s="367"/>
      <c r="B16" s="555"/>
      <c r="C16" s="1757"/>
      <c r="D16" s="387"/>
      <c r="E16" s="386"/>
      <c r="F16" s="387"/>
      <c r="G16" s="1757"/>
      <c r="H16" s="389"/>
      <c r="I16" s="386"/>
      <c r="J16" s="387"/>
      <c r="K16" s="541"/>
      <c r="L16" s="2490"/>
      <c r="M16" s="2485"/>
      <c r="N16" s="2485"/>
      <c r="O16" s="2485"/>
      <c r="P16" s="3443"/>
      <c r="Q16" s="1263"/>
      <c r="R16" s="667"/>
      <c r="S16" s="668"/>
      <c r="T16" s="667"/>
      <c r="U16" s="668"/>
      <c r="V16" s="667"/>
      <c r="W16" s="668"/>
      <c r="X16" s="1265"/>
      <c r="Y16" s="3436"/>
      <c r="Z16" s="1264"/>
      <c r="AA16" s="1264">
        <v>1</v>
      </c>
      <c r="AB16" s="1264">
        <v>1</v>
      </c>
      <c r="AC16" s="1809">
        <v>1</v>
      </c>
    </row>
    <row r="17" spans="1:29" ht="82.8">
      <c r="A17" s="367"/>
      <c r="B17" s="556" t="s">
        <v>1259</v>
      </c>
      <c r="C17" s="1810"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0"/>
      <c r="M17" s="2485"/>
      <c r="N17" s="2485"/>
      <c r="O17" s="2485"/>
      <c r="P17" s="3443"/>
      <c r="Q17" s="1263" t="str">
        <f>B17</f>
        <v>交通便捷度</v>
      </c>
      <c r="R17" s="667" t="s">
        <v>14</v>
      </c>
      <c r="S17" s="668">
        <f>F17</f>
        <v>100</v>
      </c>
      <c r="T17" s="667" t="s">
        <v>14</v>
      </c>
      <c r="U17" s="668">
        <f>H17</f>
        <v>100</v>
      </c>
      <c r="V17" s="667" t="s">
        <v>14</v>
      </c>
      <c r="W17" s="668">
        <f>J17</f>
        <v>100</v>
      </c>
      <c r="X17" s="1265"/>
      <c r="Y17" s="3436"/>
      <c r="Z17" s="1264" t="str">
        <f>Q17</f>
        <v>交通便捷度</v>
      </c>
      <c r="AA17" s="1264">
        <f t="shared" si="3"/>
        <v>1</v>
      </c>
      <c r="AB17" s="1264">
        <f t="shared" si="4"/>
        <v>1</v>
      </c>
      <c r="AC17" s="1809">
        <f t="shared" si="5"/>
        <v>1</v>
      </c>
    </row>
    <row r="18" spans="1:29" ht="15">
      <c r="A18" s="367"/>
      <c r="B18" s="401"/>
      <c r="C18" s="1811"/>
      <c r="D18" s="389"/>
      <c r="E18" s="1755"/>
      <c r="F18" s="389"/>
      <c r="G18" s="1756"/>
      <c r="H18" s="387"/>
      <c r="I18" s="1756"/>
      <c r="J18" s="387"/>
      <c r="K18" s="541"/>
      <c r="L18" s="2490"/>
      <c r="M18" s="2485"/>
      <c r="N18" s="2485"/>
      <c r="O18" s="2485"/>
      <c r="P18" s="3443"/>
      <c r="Q18" s="1263"/>
      <c r="R18" s="667"/>
      <c r="S18" s="668"/>
      <c r="T18" s="667"/>
      <c r="U18" s="668"/>
      <c r="V18" s="667"/>
      <c r="W18" s="668"/>
      <c r="X18" s="1265"/>
      <c r="Y18" s="3436"/>
      <c r="Z18" s="1264"/>
      <c r="AA18" s="1264">
        <v>1</v>
      </c>
      <c r="AB18" s="1264">
        <v>1</v>
      </c>
      <c r="AC18" s="1809">
        <v>1</v>
      </c>
    </row>
    <row r="19" spans="1:29" ht="41.4">
      <c r="A19" s="367"/>
      <c r="B19" s="556" t="s">
        <v>1812</v>
      </c>
      <c r="C19" s="1810"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0"/>
      <c r="M19" s="2485"/>
      <c r="N19" s="2485"/>
      <c r="O19" s="2485"/>
      <c r="P19" s="3443"/>
      <c r="Q19" s="1263" t="str">
        <f>B19</f>
        <v>公共配套设施</v>
      </c>
      <c r="R19" s="667" t="s">
        <v>14</v>
      </c>
      <c r="S19" s="668">
        <f>F19</f>
        <v>100</v>
      </c>
      <c r="T19" s="667" t="s">
        <v>14</v>
      </c>
      <c r="U19" s="668">
        <f>H19</f>
        <v>100</v>
      </c>
      <c r="V19" s="667" t="s">
        <v>14</v>
      </c>
      <c r="W19" s="668">
        <f>J19</f>
        <v>100</v>
      </c>
      <c r="X19" s="1265"/>
      <c r="Y19" s="3436"/>
      <c r="Z19" s="1264" t="str">
        <f>Q19</f>
        <v>公共配套设施</v>
      </c>
      <c r="AA19" s="1264">
        <f t="shared" si="3"/>
        <v>1</v>
      </c>
      <c r="AB19" s="1264">
        <f t="shared" si="4"/>
        <v>1</v>
      </c>
      <c r="AC19" s="1809">
        <f t="shared" si="5"/>
        <v>1</v>
      </c>
    </row>
    <row r="20" spans="1:29" ht="15">
      <c r="A20" s="367"/>
      <c r="B20" s="401"/>
      <c r="C20" s="1757"/>
      <c r="D20" s="387"/>
      <c r="E20" s="1750"/>
      <c r="F20" s="387"/>
      <c r="G20" s="1751"/>
      <c r="H20" s="387"/>
      <c r="I20" s="1751"/>
      <c r="J20" s="387"/>
      <c r="K20" s="541"/>
      <c r="L20" s="2490"/>
      <c r="M20" s="2485"/>
      <c r="N20" s="2485"/>
      <c r="O20" s="2485"/>
      <c r="P20" s="3443"/>
      <c r="Q20" s="1263"/>
      <c r="R20" s="667"/>
      <c r="S20" s="668"/>
      <c r="T20" s="667"/>
      <c r="U20" s="668"/>
      <c r="V20" s="667"/>
      <c r="W20" s="668"/>
      <c r="X20" s="1265"/>
      <c r="Y20" s="3436"/>
      <c r="Z20" s="1264"/>
      <c r="AA20" s="1264">
        <v>1</v>
      </c>
      <c r="AB20" s="1264">
        <v>1</v>
      </c>
      <c r="AC20" s="1809">
        <v>1</v>
      </c>
    </row>
    <row r="21" spans="1:29" ht="27.6">
      <c r="A21" s="367"/>
      <c r="B21" s="557" t="s">
        <v>1813</v>
      </c>
      <c r="C21" s="1810"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0"/>
      <c r="M21" s="2485"/>
      <c r="N21" s="2485"/>
      <c r="O21" s="2485"/>
      <c r="P21" s="3443"/>
      <c r="Q21" s="1263" t="str">
        <f>B21</f>
        <v>基础设施水平</v>
      </c>
      <c r="R21" s="667" t="s">
        <v>14</v>
      </c>
      <c r="S21" s="668">
        <f>F21</f>
        <v>100</v>
      </c>
      <c r="T21" s="667" t="s">
        <v>14</v>
      </c>
      <c r="U21" s="668">
        <f>H21</f>
        <v>100</v>
      </c>
      <c r="V21" s="667" t="s">
        <v>14</v>
      </c>
      <c r="W21" s="668">
        <f>J21</f>
        <v>100</v>
      </c>
      <c r="X21" s="1265"/>
      <c r="Y21" s="3436"/>
      <c r="Z21" s="1264" t="str">
        <f>Q21</f>
        <v>基础设施水平</v>
      </c>
      <c r="AA21" s="1264">
        <f t="shared" ref="AA21" si="8">D21/F21</f>
        <v>1</v>
      </c>
      <c r="AB21" s="1264">
        <f t="shared" ref="AB21" si="9">D21/H21</f>
        <v>1</v>
      </c>
      <c r="AC21" s="1809">
        <f t="shared" ref="AC21" si="10">D21/J21</f>
        <v>1</v>
      </c>
    </row>
    <row r="22" spans="1:29" ht="15">
      <c r="A22" s="367"/>
      <c r="B22" s="557"/>
      <c r="C22" s="1811"/>
      <c r="D22" s="387"/>
      <c r="E22" s="386"/>
      <c r="F22" s="387"/>
      <c r="G22" s="1757"/>
      <c r="H22" s="387"/>
      <c r="I22" s="1757"/>
      <c r="J22" s="387"/>
      <c r="K22" s="1064"/>
      <c r="L22" s="2490"/>
      <c r="M22" s="2485"/>
      <c r="N22" s="2485"/>
      <c r="O22" s="2485"/>
      <c r="P22" s="3443"/>
      <c r="Q22" s="1263"/>
      <c r="R22" s="667"/>
      <c r="S22" s="668"/>
      <c r="T22" s="667"/>
      <c r="U22" s="668"/>
      <c r="V22" s="667"/>
      <c r="W22" s="668"/>
      <c r="X22" s="1265"/>
      <c r="Y22" s="3436"/>
      <c r="Z22" s="1264"/>
      <c r="AA22" s="1264">
        <v>1</v>
      </c>
      <c r="AB22" s="1264">
        <v>1</v>
      </c>
      <c r="AC22" s="1809">
        <v>1</v>
      </c>
    </row>
    <row r="23" spans="1:29" ht="55.2">
      <c r="A23" s="367"/>
      <c r="B23" s="556" t="s">
        <v>1814</v>
      </c>
      <c r="C23" s="1810"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0"/>
      <c r="M23" s="2485"/>
      <c r="N23" s="2485"/>
      <c r="O23" s="2485"/>
      <c r="P23" s="3443"/>
      <c r="Q23" s="1263" t="str">
        <f>B23</f>
        <v>环境质量</v>
      </c>
      <c r="R23" s="667" t="s">
        <v>14</v>
      </c>
      <c r="S23" s="668">
        <f>F23</f>
        <v>100</v>
      </c>
      <c r="T23" s="667" t="s">
        <v>14</v>
      </c>
      <c r="U23" s="668">
        <f>H23</f>
        <v>100</v>
      </c>
      <c r="V23" s="667" t="s">
        <v>14</v>
      </c>
      <c r="W23" s="668">
        <f>J23</f>
        <v>100</v>
      </c>
      <c r="X23" s="1265"/>
      <c r="Y23" s="3436"/>
      <c r="Z23" s="1264" t="str">
        <f>Q23</f>
        <v>环境质量</v>
      </c>
      <c r="AA23" s="1264">
        <f t="shared" si="3"/>
        <v>1</v>
      </c>
      <c r="AB23" s="1264">
        <f t="shared" si="4"/>
        <v>1</v>
      </c>
      <c r="AC23" s="1809">
        <f t="shared" si="5"/>
        <v>1</v>
      </c>
    </row>
    <row r="24" spans="1:29" ht="15">
      <c r="A24" s="367"/>
      <c r="B24" s="557"/>
      <c r="C24" s="1757"/>
      <c r="D24" s="387"/>
      <c r="E24" s="1750"/>
      <c r="F24" s="387"/>
      <c r="G24" s="1751"/>
      <c r="H24" s="387"/>
      <c r="I24" s="1751"/>
      <c r="J24" s="387"/>
      <c r="K24" s="541"/>
      <c r="L24" s="2490"/>
      <c r="M24" s="2485"/>
      <c r="N24" s="2485"/>
      <c r="O24" s="2485"/>
      <c r="P24" s="3443"/>
      <c r="Q24" s="1263"/>
      <c r="R24" s="667"/>
      <c r="S24" s="668"/>
      <c r="T24" s="667"/>
      <c r="U24" s="668"/>
      <c r="V24" s="667"/>
      <c r="W24" s="668"/>
      <c r="X24" s="1265"/>
      <c r="Y24" s="3436"/>
      <c r="Z24" s="1264"/>
      <c r="AA24" s="1264">
        <v>1</v>
      </c>
      <c r="AB24" s="1264">
        <v>1</v>
      </c>
      <c r="AC24" s="1809">
        <v>1</v>
      </c>
    </row>
    <row r="25" spans="1:29" ht="28.8">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0"/>
      <c r="M25" s="2485"/>
      <c r="N25" s="2485"/>
      <c r="O25" s="2485"/>
      <c r="P25" s="3443"/>
      <c r="Q25" s="1263" t="str">
        <f>B25</f>
        <v>毗邻道路的类型与等级</v>
      </c>
      <c r="R25" s="667" t="s">
        <v>14</v>
      </c>
      <c r="S25" s="668">
        <f>F25</f>
        <v>100</v>
      </c>
      <c r="T25" s="667" t="s">
        <v>14</v>
      </c>
      <c r="U25" s="668">
        <f>H25</f>
        <v>100</v>
      </c>
      <c r="V25" s="667" t="s">
        <v>14</v>
      </c>
      <c r="W25" s="668">
        <f>J25</f>
        <v>100</v>
      </c>
      <c r="X25" s="1265"/>
      <c r="Y25" s="3436"/>
      <c r="Z25" s="1264" t="str">
        <f>Q25</f>
        <v>毗邻道路的类型与等级</v>
      </c>
      <c r="AA25" s="1264">
        <f t="shared" si="3"/>
        <v>1</v>
      </c>
      <c r="AB25" s="1264">
        <f t="shared" si="4"/>
        <v>1</v>
      </c>
      <c r="AC25" s="1809">
        <f t="shared" si="5"/>
        <v>1</v>
      </c>
    </row>
    <row r="26" spans="1:29" ht="15">
      <c r="A26" s="348"/>
      <c r="B26" s="401"/>
      <c r="C26" s="558"/>
      <c r="D26" s="374"/>
      <c r="E26" s="542"/>
      <c r="F26" s="374"/>
      <c r="G26" s="558"/>
      <c r="H26" s="374"/>
      <c r="I26" s="542"/>
      <c r="J26" s="374"/>
      <c r="K26" s="541"/>
      <c r="L26" s="2490"/>
      <c r="M26" s="2485"/>
      <c r="N26" s="2485"/>
      <c r="O26" s="2485"/>
      <c r="P26" s="3443"/>
      <c r="Q26" s="1263"/>
      <c r="R26" s="667"/>
      <c r="S26" s="668"/>
      <c r="T26" s="667"/>
      <c r="U26" s="668"/>
      <c r="V26" s="667"/>
      <c r="W26" s="668"/>
      <c r="X26" s="1265"/>
      <c r="Y26" s="3436"/>
      <c r="Z26" s="1264"/>
      <c r="AA26" s="1264">
        <v>1</v>
      </c>
      <c r="AB26" s="1264">
        <v>1</v>
      </c>
      <c r="AC26" s="1809">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0"/>
      <c r="M27" s="2485"/>
      <c r="N27" s="2485"/>
      <c r="O27" s="2485"/>
      <c r="P27" s="3443"/>
      <c r="Q27" s="1263" t="str">
        <f t="shared" ref="Q27:Q47" si="11">B27</f>
        <v>楼层</v>
      </c>
      <c r="R27" s="667" t="s">
        <v>14</v>
      </c>
      <c r="S27" s="668">
        <f>F27</f>
        <v>100</v>
      </c>
      <c r="T27" s="667" t="s">
        <v>14</v>
      </c>
      <c r="U27" s="668">
        <f>H27</f>
        <v>100</v>
      </c>
      <c r="V27" s="667" t="s">
        <v>14</v>
      </c>
      <c r="W27" s="668">
        <f>J27</f>
        <v>100</v>
      </c>
      <c r="X27" s="1265"/>
      <c r="Y27" s="3436"/>
      <c r="Z27" s="1264" t="str">
        <f>Q27</f>
        <v>楼层</v>
      </c>
      <c r="AA27" s="1264">
        <f t="shared" si="3"/>
        <v>1</v>
      </c>
      <c r="AB27" s="1264">
        <f t="shared" si="4"/>
        <v>1</v>
      </c>
      <c r="AC27" s="1809">
        <f t="shared" si="5"/>
        <v>1</v>
      </c>
    </row>
    <row r="28" spans="1:29" s="102" customFormat="1" ht="15">
      <c r="A28" s="370"/>
      <c r="B28" s="556" t="s">
        <v>1816</v>
      </c>
      <c r="C28" s="1812"/>
      <c r="D28" s="401">
        <v>100</v>
      </c>
      <c r="E28" s="1804"/>
      <c r="F28" s="401">
        <f>SUMIF(91:91,E28,92:92)-SUMIF(91:91,C28,92:92)+100</f>
        <v>100</v>
      </c>
      <c r="G28" s="1812"/>
      <c r="H28" s="401">
        <f>SUMIF(91:91,G28,92:92)-SUMIF(91:91,C28,92:92)+100</f>
        <v>100</v>
      </c>
      <c r="I28" s="1804"/>
      <c r="J28" s="401">
        <f>SUMIF(91:91,I28,92:92)-SUMIF(91:91,C28,92:92)+100</f>
        <v>100</v>
      </c>
      <c r="K28" s="538"/>
      <c r="L28" s="2486"/>
      <c r="M28" s="2437"/>
      <c r="N28" s="2437"/>
      <c r="O28" s="2437"/>
      <c r="P28" s="3443"/>
      <c r="Q28" s="530" t="str">
        <f t="shared" si="11"/>
        <v>朝向</v>
      </c>
      <c r="R28" s="664" t="s">
        <v>14</v>
      </c>
      <c r="S28" s="665">
        <f>F28</f>
        <v>100</v>
      </c>
      <c r="T28" s="664" t="s">
        <v>14</v>
      </c>
      <c r="U28" s="665">
        <f>H28</f>
        <v>100</v>
      </c>
      <c r="V28" s="664" t="s">
        <v>14</v>
      </c>
      <c r="W28" s="665">
        <f>J28</f>
        <v>100</v>
      </c>
      <c r="X28" s="666"/>
      <c r="Y28" s="3436"/>
      <c r="Z28" s="50" t="str">
        <f>Q28</f>
        <v>朝向</v>
      </c>
      <c r="AA28" s="1264">
        <f>D28/F28</f>
        <v>1</v>
      </c>
      <c r="AB28" s="1264">
        <f>D28/H28</f>
        <v>1</v>
      </c>
      <c r="AC28" s="1809">
        <f>D28/J28</f>
        <v>1</v>
      </c>
    </row>
    <row r="29" spans="1:29" ht="15">
      <c r="A29" s="367"/>
      <c r="B29" s="1099">
        <v>111</v>
      </c>
      <c r="C29" s="1761"/>
      <c r="D29" s="374">
        <v>100</v>
      </c>
      <c r="E29" s="371"/>
      <c r="F29" s="374">
        <f>SUMIF(93:93,E29,94:94)-SUMIF(93:93,C29,94:94)+100</f>
        <v>100</v>
      </c>
      <c r="G29" s="1807"/>
      <c r="H29" s="374">
        <f>SUMIF(93:93,G29,94:94)-SUMIF(93:93,C29,94:94)+100</f>
        <v>100</v>
      </c>
      <c r="I29" s="371"/>
      <c r="J29" s="374">
        <f>SUMIF(93:93,I29,94:94)-SUMIF(93:93,C29,94:94)+100</f>
        <v>100</v>
      </c>
      <c r="K29" s="539"/>
      <c r="L29" s="2490"/>
      <c r="M29" s="2485"/>
      <c r="N29" s="2485"/>
      <c r="O29" s="2485"/>
      <c r="P29" s="3443"/>
      <c r="Q29" s="1263">
        <f t="shared" si="11"/>
        <v>111</v>
      </c>
      <c r="R29" s="667" t="s">
        <v>14</v>
      </c>
      <c r="S29" s="668">
        <f t="shared" ref="S29:S47" si="12">F29</f>
        <v>100</v>
      </c>
      <c r="T29" s="667" t="s">
        <v>14</v>
      </c>
      <c r="U29" s="668">
        <f t="shared" ref="U29:U47" si="13">H29</f>
        <v>100</v>
      </c>
      <c r="V29" s="667" t="s">
        <v>14</v>
      </c>
      <c r="W29" s="668">
        <f t="shared" ref="W29:W47" si="14">J29</f>
        <v>100</v>
      </c>
      <c r="X29" s="1265"/>
      <c r="Y29" s="3436"/>
      <c r="Z29" s="1264">
        <f t="shared" ref="Z29:Z47" si="15">Q29</f>
        <v>111</v>
      </c>
      <c r="AA29" s="1264">
        <f t="shared" si="3"/>
        <v>1</v>
      </c>
      <c r="AB29" s="1264">
        <f t="shared" si="4"/>
        <v>1</v>
      </c>
      <c r="AC29" s="1809">
        <f t="shared" si="5"/>
        <v>1</v>
      </c>
    </row>
    <row r="30" spans="1:29" ht="15">
      <c r="A30" s="367"/>
      <c r="B30" s="1099">
        <v>111</v>
      </c>
      <c r="C30" s="1761"/>
      <c r="D30" s="374">
        <v>100</v>
      </c>
      <c r="E30" s="371"/>
      <c r="F30" s="374">
        <f>SUMIF(95:95,E30,96:96)-SUMIF(95:95,C30,96:96)+100</f>
        <v>100</v>
      </c>
      <c r="G30" s="1807"/>
      <c r="H30" s="374">
        <f>SUMIF(95:95,G30,96:96)-SUMIF(95:95,C30,96:96)+100</f>
        <v>100</v>
      </c>
      <c r="I30" s="371"/>
      <c r="J30" s="374">
        <f>SUMIF(95:95,I30,96:96)-SUMIF(95:95,C30,96:96)+100</f>
        <v>100</v>
      </c>
      <c r="K30" s="539"/>
      <c r="L30" s="2490"/>
      <c r="M30" s="2485"/>
      <c r="N30" s="2485"/>
      <c r="O30" s="2485"/>
      <c r="P30" s="3443"/>
      <c r="Q30" s="1263">
        <f t="shared" si="11"/>
        <v>111</v>
      </c>
      <c r="R30" s="667" t="s">
        <v>14</v>
      </c>
      <c r="S30" s="668">
        <f t="shared" si="12"/>
        <v>100</v>
      </c>
      <c r="T30" s="667" t="s">
        <v>14</v>
      </c>
      <c r="U30" s="668">
        <f t="shared" si="13"/>
        <v>100</v>
      </c>
      <c r="V30" s="667" t="s">
        <v>14</v>
      </c>
      <c r="W30" s="668">
        <f t="shared" si="14"/>
        <v>100</v>
      </c>
      <c r="X30" s="1265"/>
      <c r="Y30" s="3436"/>
      <c r="Z30" s="1264">
        <f t="shared" si="15"/>
        <v>111</v>
      </c>
      <c r="AA30" s="1264">
        <f t="shared" si="3"/>
        <v>1</v>
      </c>
      <c r="AB30" s="1264">
        <f t="shared" si="4"/>
        <v>1</v>
      </c>
      <c r="AC30" s="1809">
        <f t="shared" si="5"/>
        <v>1</v>
      </c>
    </row>
    <row r="31" spans="1:29" ht="15">
      <c r="A31" s="367"/>
      <c r="B31" s="1099">
        <v>111</v>
      </c>
      <c r="C31" s="1761"/>
      <c r="D31" s="374">
        <v>100</v>
      </c>
      <c r="E31" s="371"/>
      <c r="F31" s="374">
        <f>SUMIF(97:97,E31,98:98)-SUMIF(97:97,C31,98:98)+100</f>
        <v>100</v>
      </c>
      <c r="G31" s="1807"/>
      <c r="H31" s="374">
        <f>SUMIF(97:97,G31,98:98)-SUMIF(97:97,C31,98:98)+100</f>
        <v>100</v>
      </c>
      <c r="I31" s="371"/>
      <c r="J31" s="374">
        <f>SUMIF(97:97,I31,98:98)-SUMIF(97:97,C31,98:98)+100</f>
        <v>100</v>
      </c>
      <c r="K31" s="539"/>
      <c r="L31" s="2490"/>
      <c r="M31" s="2485"/>
      <c r="N31" s="2485"/>
      <c r="O31" s="2485"/>
      <c r="P31" s="3443"/>
      <c r="Q31" s="1263">
        <f t="shared" si="11"/>
        <v>111</v>
      </c>
      <c r="R31" s="667" t="s">
        <v>14</v>
      </c>
      <c r="S31" s="668">
        <f t="shared" si="12"/>
        <v>100</v>
      </c>
      <c r="T31" s="667" t="s">
        <v>14</v>
      </c>
      <c r="U31" s="668">
        <f t="shared" si="13"/>
        <v>100</v>
      </c>
      <c r="V31" s="667" t="s">
        <v>14</v>
      </c>
      <c r="W31" s="668">
        <f t="shared" si="14"/>
        <v>100</v>
      </c>
      <c r="X31" s="1265"/>
      <c r="Y31" s="3436"/>
      <c r="Z31" s="1264">
        <f t="shared" si="15"/>
        <v>111</v>
      </c>
      <c r="AA31" s="1264">
        <f t="shared" si="3"/>
        <v>1</v>
      </c>
      <c r="AB31" s="1264">
        <f t="shared" si="4"/>
        <v>1</v>
      </c>
      <c r="AC31" s="1809">
        <f t="shared" si="5"/>
        <v>1</v>
      </c>
    </row>
    <row r="32" spans="1:29" ht="15.6" thickBot="1">
      <c r="A32" s="375"/>
      <c r="B32" s="559">
        <v>111</v>
      </c>
      <c r="C32" s="1762"/>
      <c r="D32" s="377">
        <v>100</v>
      </c>
      <c r="E32" s="553"/>
      <c r="F32" s="377">
        <f>SUMIF(99:99,E32,100:100)-SUMIF(99:99,C32,100:100)+100</f>
        <v>100</v>
      </c>
      <c r="G32" s="1807"/>
      <c r="H32" s="377">
        <f>SUMIF(99:99,G32,100:100)-SUMIF(99:99,C32,100:100)+100</f>
        <v>100</v>
      </c>
      <c r="I32" s="371"/>
      <c r="J32" s="377">
        <f>SUMIF(99:99,I32,100:100)-SUMIF(99:99,C32,100:100)+100</f>
        <v>100</v>
      </c>
      <c r="K32" s="539"/>
      <c r="L32" s="2490"/>
      <c r="M32" s="2485"/>
      <c r="N32" s="2485"/>
      <c r="O32" s="2485"/>
      <c r="P32" s="3443"/>
      <c r="Q32" s="1263">
        <f t="shared" si="11"/>
        <v>111</v>
      </c>
      <c r="R32" s="667" t="s">
        <v>14</v>
      </c>
      <c r="S32" s="668">
        <f t="shared" si="12"/>
        <v>100</v>
      </c>
      <c r="T32" s="667" t="s">
        <v>14</v>
      </c>
      <c r="U32" s="668">
        <f t="shared" si="13"/>
        <v>100</v>
      </c>
      <c r="V32" s="667" t="s">
        <v>14</v>
      </c>
      <c r="W32" s="668">
        <f t="shared" si="14"/>
        <v>100</v>
      </c>
      <c r="X32" s="1265"/>
      <c r="Y32" s="3436"/>
      <c r="Z32" s="1264">
        <f t="shared" si="15"/>
        <v>111</v>
      </c>
      <c r="AA32" s="1264">
        <f t="shared" si="3"/>
        <v>1</v>
      </c>
      <c r="AB32" s="1264">
        <f t="shared" si="4"/>
        <v>1</v>
      </c>
      <c r="AC32" s="1809">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0"/>
      <c r="M33" s="2485"/>
      <c r="N33" s="2485"/>
      <c r="O33" s="2485"/>
      <c r="P33" s="3437" t="s">
        <v>1696</v>
      </c>
      <c r="Q33" s="1263" t="str">
        <f t="shared" si="11"/>
        <v>建筑类型</v>
      </c>
      <c r="R33" s="667" t="s">
        <v>14</v>
      </c>
      <c r="S33" s="668">
        <f t="shared" si="12"/>
        <v>100</v>
      </c>
      <c r="T33" s="667" t="s">
        <v>14</v>
      </c>
      <c r="U33" s="668">
        <f t="shared" si="13"/>
        <v>100</v>
      </c>
      <c r="V33" s="667" t="s">
        <v>14</v>
      </c>
      <c r="W33" s="668">
        <f t="shared" si="14"/>
        <v>100</v>
      </c>
      <c r="X33" s="1265"/>
      <c r="Y33" s="3440" t="s">
        <v>1696</v>
      </c>
      <c r="Z33" s="1264" t="str">
        <f t="shared" si="15"/>
        <v>建筑类型</v>
      </c>
      <c r="AA33" s="1264">
        <f t="shared" si="3"/>
        <v>1</v>
      </c>
      <c r="AB33" s="1264">
        <f t="shared" si="4"/>
        <v>1</v>
      </c>
      <c r="AC33" s="1809">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89"/>
      <c r="M34" s="2491"/>
      <c r="N34" s="2491"/>
      <c r="O34" s="2491"/>
      <c r="P34" s="3438"/>
      <c r="Q34" s="531" t="str">
        <f t="shared" si="11"/>
        <v>项目建筑规模</v>
      </c>
      <c r="R34" s="669" t="s">
        <v>14</v>
      </c>
      <c r="S34" s="670" t="e">
        <f t="shared" si="12"/>
        <v>#N/A</v>
      </c>
      <c r="T34" s="669" t="s">
        <v>14</v>
      </c>
      <c r="U34" s="670" t="e">
        <f t="shared" si="13"/>
        <v>#N/A</v>
      </c>
      <c r="V34" s="669" t="s">
        <v>14</v>
      </c>
      <c r="W34" s="670" t="e">
        <f t="shared" si="14"/>
        <v>#N/A</v>
      </c>
      <c r="X34" s="671"/>
      <c r="Y34" s="3440"/>
      <c r="Z34" s="672" t="str">
        <f t="shared" si="15"/>
        <v>项目建筑规模</v>
      </c>
      <c r="AA34" s="1264" t="e">
        <f t="shared" si="3"/>
        <v>#N/A</v>
      </c>
      <c r="AB34" s="1264" t="e">
        <f t="shared" si="4"/>
        <v>#N/A</v>
      </c>
      <c r="AC34" s="1809"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0"/>
      <c r="M35" s="2485"/>
      <c r="N35" s="2485"/>
      <c r="O35" s="2485"/>
      <c r="P35" s="3438"/>
      <c r="Q35" s="1263" t="str">
        <f t="shared" si="11"/>
        <v>建筑结构</v>
      </c>
      <c r="R35" s="667" t="s">
        <v>14</v>
      </c>
      <c r="S35" s="668">
        <f t="shared" si="12"/>
        <v>100</v>
      </c>
      <c r="T35" s="667" t="s">
        <v>14</v>
      </c>
      <c r="U35" s="668">
        <f t="shared" si="13"/>
        <v>100</v>
      </c>
      <c r="V35" s="667" t="s">
        <v>14</v>
      </c>
      <c r="W35" s="668">
        <f t="shared" si="14"/>
        <v>100</v>
      </c>
      <c r="X35" s="1265"/>
      <c r="Y35" s="3440"/>
      <c r="Z35" s="1264" t="str">
        <f t="shared" si="15"/>
        <v>建筑结构</v>
      </c>
      <c r="AA35" s="1264">
        <f t="shared" si="3"/>
        <v>1</v>
      </c>
      <c r="AB35" s="1264">
        <f t="shared" si="4"/>
        <v>1</v>
      </c>
      <c r="AC35" s="1809">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0"/>
      <c r="M36" s="2485"/>
      <c r="N36" s="2485"/>
      <c r="O36" s="2485"/>
      <c r="P36" s="3438"/>
      <c r="Q36" s="1263" t="str">
        <f t="shared" si="11"/>
        <v>公共部分装修</v>
      </c>
      <c r="R36" s="667" t="s">
        <v>14</v>
      </c>
      <c r="S36" s="668">
        <f t="shared" si="12"/>
        <v>100</v>
      </c>
      <c r="T36" s="667" t="s">
        <v>14</v>
      </c>
      <c r="U36" s="668">
        <f t="shared" si="13"/>
        <v>100</v>
      </c>
      <c r="V36" s="667" t="s">
        <v>14</v>
      </c>
      <c r="W36" s="668">
        <f t="shared" si="14"/>
        <v>100</v>
      </c>
      <c r="X36" s="1265"/>
      <c r="Y36" s="3440"/>
      <c r="Z36" s="1264" t="str">
        <f t="shared" si="15"/>
        <v>公共部分装修</v>
      </c>
      <c r="AA36" s="1264">
        <f t="shared" si="3"/>
        <v>1</v>
      </c>
      <c r="AB36" s="1264">
        <f t="shared" si="4"/>
        <v>1</v>
      </c>
      <c r="AC36" s="1809">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0"/>
      <c r="M37" s="2485"/>
      <c r="N37" s="2485"/>
      <c r="O37" s="2485"/>
      <c r="P37" s="3438"/>
      <c r="Q37" s="1263" t="str">
        <f t="shared" si="11"/>
        <v>成新度</v>
      </c>
      <c r="R37" s="667" t="s">
        <v>14</v>
      </c>
      <c r="S37" s="668" t="e">
        <f t="shared" si="12"/>
        <v>#N/A</v>
      </c>
      <c r="T37" s="667" t="s">
        <v>14</v>
      </c>
      <c r="U37" s="668" t="e">
        <f t="shared" si="13"/>
        <v>#N/A</v>
      </c>
      <c r="V37" s="667" t="s">
        <v>14</v>
      </c>
      <c r="W37" s="668" t="e">
        <f t="shared" si="14"/>
        <v>#N/A</v>
      </c>
      <c r="X37" s="1265"/>
      <c r="Y37" s="3440"/>
      <c r="Z37" s="1264" t="str">
        <f t="shared" si="15"/>
        <v>成新度</v>
      </c>
      <c r="AA37" s="1264" t="e">
        <f t="shared" si="3"/>
        <v>#N/A</v>
      </c>
      <c r="AB37" s="1264" t="e">
        <f t="shared" si="4"/>
        <v>#N/A</v>
      </c>
      <c r="AC37" s="1809"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7"/>
      <c r="N38" s="2437"/>
      <c r="O38" s="2437"/>
      <c r="P38" s="3438"/>
      <c r="Q38" s="530" t="str">
        <f t="shared" si="11"/>
        <v>写字楼等级</v>
      </c>
      <c r="R38" s="664" t="s">
        <v>14</v>
      </c>
      <c r="S38" s="665">
        <f t="shared" si="12"/>
        <v>100</v>
      </c>
      <c r="T38" s="664" t="s">
        <v>14</v>
      </c>
      <c r="U38" s="665">
        <f t="shared" si="13"/>
        <v>100</v>
      </c>
      <c r="V38" s="664" t="s">
        <v>14</v>
      </c>
      <c r="W38" s="665">
        <f t="shared" si="14"/>
        <v>100</v>
      </c>
      <c r="X38" s="666"/>
      <c r="Y38" s="3440"/>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0"/>
      <c r="M39" s="2485"/>
      <c r="N39" s="2485"/>
      <c r="O39" s="2485"/>
      <c r="P39" s="3438" t="s">
        <v>1696</v>
      </c>
      <c r="Q39" s="1263" t="str">
        <f t="shared" si="11"/>
        <v>物业管理</v>
      </c>
      <c r="R39" s="667" t="s">
        <v>14</v>
      </c>
      <c r="S39" s="668">
        <f t="shared" si="12"/>
        <v>100</v>
      </c>
      <c r="T39" s="667" t="s">
        <v>14</v>
      </c>
      <c r="U39" s="668">
        <f t="shared" si="13"/>
        <v>100</v>
      </c>
      <c r="V39" s="667" t="s">
        <v>14</v>
      </c>
      <c r="W39" s="668">
        <f t="shared" si="14"/>
        <v>100</v>
      </c>
      <c r="X39" s="1265"/>
      <c r="Y39" s="3440" t="s">
        <v>1696</v>
      </c>
      <c r="Z39" s="1264" t="str">
        <f t="shared" si="15"/>
        <v>物业管理</v>
      </c>
      <c r="AA39" s="1264">
        <f t="shared" si="3"/>
        <v>1</v>
      </c>
      <c r="AB39" s="1264">
        <f t="shared" si="4"/>
        <v>1</v>
      </c>
      <c r="AC39" s="1809">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0"/>
      <c r="M40" s="2485"/>
      <c r="N40" s="2485"/>
      <c r="O40" s="2485"/>
      <c r="P40" s="3438"/>
      <c r="Q40" s="1263" t="str">
        <f t="shared" si="11"/>
        <v>市政基础设施</v>
      </c>
      <c r="R40" s="667" t="s">
        <v>14</v>
      </c>
      <c r="S40" s="668">
        <f t="shared" si="12"/>
        <v>100</v>
      </c>
      <c r="T40" s="667" t="s">
        <v>14</v>
      </c>
      <c r="U40" s="668">
        <f t="shared" si="13"/>
        <v>100</v>
      </c>
      <c r="V40" s="667" t="s">
        <v>14</v>
      </c>
      <c r="W40" s="668">
        <f t="shared" si="14"/>
        <v>100</v>
      </c>
      <c r="X40" s="1265"/>
      <c r="Y40" s="3440"/>
      <c r="Z40" s="1264" t="str">
        <f t="shared" si="15"/>
        <v>市政基础设施</v>
      </c>
      <c r="AA40" s="1264">
        <f t="shared" si="3"/>
        <v>1</v>
      </c>
      <c r="AB40" s="1264">
        <f t="shared" si="4"/>
        <v>1</v>
      </c>
      <c r="AC40" s="1809">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0"/>
      <c r="M41" s="2485"/>
      <c r="N41" s="2485"/>
      <c r="O41" s="2485"/>
      <c r="P41" s="3438"/>
      <c r="Q41" s="1263" t="str">
        <f t="shared" si="11"/>
        <v>层高</v>
      </c>
      <c r="R41" s="667" t="s">
        <v>14</v>
      </c>
      <c r="S41" s="668">
        <f t="shared" si="12"/>
        <v>100</v>
      </c>
      <c r="T41" s="667" t="s">
        <v>14</v>
      </c>
      <c r="U41" s="668">
        <f t="shared" si="13"/>
        <v>100</v>
      </c>
      <c r="V41" s="667" t="s">
        <v>14</v>
      </c>
      <c r="W41" s="668">
        <f t="shared" si="14"/>
        <v>100</v>
      </c>
      <c r="X41" s="1265"/>
      <c r="Y41" s="3440"/>
      <c r="Z41" s="1264" t="str">
        <f t="shared" si="15"/>
        <v>层高</v>
      </c>
      <c r="AA41" s="1264">
        <f t="shared" si="3"/>
        <v>1</v>
      </c>
      <c r="AB41" s="1264">
        <f t="shared" si="4"/>
        <v>1</v>
      </c>
      <c r="AC41" s="1809">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38"/>
      <c r="Q42" s="531" t="str">
        <f t="shared" si="11"/>
        <v>单套建筑面积</v>
      </c>
      <c r="R42" s="669" t="s">
        <v>14</v>
      </c>
      <c r="S42" s="670">
        <f t="shared" si="12"/>
        <v>100</v>
      </c>
      <c r="T42" s="669" t="s">
        <v>14</v>
      </c>
      <c r="U42" s="670">
        <f t="shared" si="13"/>
        <v>100</v>
      </c>
      <c r="V42" s="669" t="s">
        <v>14</v>
      </c>
      <c r="W42" s="670">
        <f t="shared" si="14"/>
        <v>100</v>
      </c>
      <c r="X42" s="671"/>
      <c r="Y42" s="3440"/>
      <c r="Z42" s="672" t="str">
        <f t="shared" si="15"/>
        <v>单套建筑面积</v>
      </c>
      <c r="AA42" s="1264">
        <f t="shared" si="3"/>
        <v>1</v>
      </c>
      <c r="AB42" s="1264">
        <f t="shared" si="4"/>
        <v>1</v>
      </c>
      <c r="AC42" s="1809">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0"/>
      <c r="M43" s="2485"/>
      <c r="N43" s="2485"/>
      <c r="O43" s="2485"/>
      <c r="P43" s="3438"/>
      <c r="Q43" s="1263" t="str">
        <f t="shared" si="11"/>
        <v>内部装修</v>
      </c>
      <c r="R43" s="667" t="s">
        <v>14</v>
      </c>
      <c r="S43" s="668">
        <f t="shared" si="12"/>
        <v>100</v>
      </c>
      <c r="T43" s="667" t="s">
        <v>14</v>
      </c>
      <c r="U43" s="668">
        <f t="shared" si="13"/>
        <v>100</v>
      </c>
      <c r="V43" s="667" t="s">
        <v>14</v>
      </c>
      <c r="W43" s="668">
        <f t="shared" si="14"/>
        <v>100</v>
      </c>
      <c r="X43" s="1265"/>
      <c r="Y43" s="3440"/>
      <c r="Z43" s="1264" t="str">
        <f t="shared" si="15"/>
        <v>内部装修</v>
      </c>
      <c r="AA43" s="1264">
        <f t="shared" si="3"/>
        <v>1</v>
      </c>
      <c r="AB43" s="1264">
        <f t="shared" si="4"/>
        <v>1</v>
      </c>
      <c r="AC43" s="1809">
        <f t="shared" si="5"/>
        <v>1</v>
      </c>
    </row>
    <row r="44" spans="1:29" ht="28.8">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0"/>
      <c r="M44" s="2485"/>
      <c r="N44" s="2485"/>
      <c r="O44" s="2485"/>
      <c r="P44" s="3438"/>
      <c r="Q44" s="1263" t="str">
        <f t="shared" si="11"/>
        <v>内部装修维护情况</v>
      </c>
      <c r="R44" s="667" t="s">
        <v>14</v>
      </c>
      <c r="S44" s="668">
        <f t="shared" si="12"/>
        <v>100</v>
      </c>
      <c r="T44" s="667" t="s">
        <v>14</v>
      </c>
      <c r="U44" s="668">
        <f t="shared" si="13"/>
        <v>100</v>
      </c>
      <c r="V44" s="667" t="s">
        <v>14</v>
      </c>
      <c r="W44" s="668">
        <f t="shared" si="14"/>
        <v>100</v>
      </c>
      <c r="X44" s="1265"/>
      <c r="Y44" s="3440"/>
      <c r="Z44" s="1264" t="str">
        <f t="shared" si="15"/>
        <v>内部装修维护情况</v>
      </c>
      <c r="AA44" s="1264">
        <f t="shared" si="3"/>
        <v>1</v>
      </c>
      <c r="AB44" s="1264">
        <f t="shared" si="4"/>
        <v>1</v>
      </c>
      <c r="AC44" s="1809">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6"/>
      <c r="M45" s="2437"/>
      <c r="N45" s="2437"/>
      <c r="O45" s="2437"/>
      <c r="P45" s="3438"/>
      <c r="Q45" s="530">
        <f t="shared" si="11"/>
        <v>111</v>
      </c>
      <c r="R45" s="664" t="s">
        <v>14</v>
      </c>
      <c r="S45" s="665">
        <f t="shared" si="12"/>
        <v>100</v>
      </c>
      <c r="T45" s="664" t="s">
        <v>14</v>
      </c>
      <c r="U45" s="665">
        <f t="shared" si="13"/>
        <v>100</v>
      </c>
      <c r="V45" s="664" t="s">
        <v>14</v>
      </c>
      <c r="W45" s="665">
        <f t="shared" si="14"/>
        <v>100</v>
      </c>
      <c r="X45" s="666"/>
      <c r="Y45" s="3440"/>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0"/>
      <c r="M46" s="2485"/>
      <c r="N46" s="2485"/>
      <c r="O46" s="2485"/>
      <c r="P46" s="3438"/>
      <c r="Q46" s="1263">
        <f t="shared" si="11"/>
        <v>111</v>
      </c>
      <c r="R46" s="667" t="s">
        <v>14</v>
      </c>
      <c r="S46" s="668">
        <f t="shared" si="12"/>
        <v>100</v>
      </c>
      <c r="T46" s="667" t="s">
        <v>14</v>
      </c>
      <c r="U46" s="668">
        <f t="shared" si="13"/>
        <v>100</v>
      </c>
      <c r="V46" s="667" t="s">
        <v>14</v>
      </c>
      <c r="W46" s="668">
        <f t="shared" si="14"/>
        <v>100</v>
      </c>
      <c r="X46" s="1265"/>
      <c r="Y46" s="3440"/>
      <c r="Z46" s="1264">
        <f t="shared" si="15"/>
        <v>111</v>
      </c>
      <c r="AA46" s="1264">
        <f t="shared" si="3"/>
        <v>1</v>
      </c>
      <c r="AB46" s="1264">
        <f t="shared" si="4"/>
        <v>1</v>
      </c>
      <c r="AC46" s="1809">
        <f t="shared" si="5"/>
        <v>1</v>
      </c>
    </row>
    <row r="47" spans="1:29" ht="15.6"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39"/>
      <c r="Q47" s="1263">
        <f t="shared" si="11"/>
        <v>111</v>
      </c>
      <c r="R47" s="667" t="s">
        <v>14</v>
      </c>
      <c r="S47" s="668">
        <f t="shared" si="12"/>
        <v>100</v>
      </c>
      <c r="T47" s="667" t="s">
        <v>14</v>
      </c>
      <c r="U47" s="668">
        <f t="shared" si="13"/>
        <v>100</v>
      </c>
      <c r="V47" s="667" t="s">
        <v>14</v>
      </c>
      <c r="W47" s="668">
        <f t="shared" si="14"/>
        <v>100</v>
      </c>
      <c r="X47" s="1265"/>
      <c r="Y47" s="3441"/>
      <c r="Z47" s="1264">
        <f t="shared" si="15"/>
        <v>111</v>
      </c>
      <c r="AA47" s="1264">
        <f t="shared" si="3"/>
        <v>1</v>
      </c>
      <c r="AB47" s="1264">
        <f t="shared" si="4"/>
        <v>1</v>
      </c>
      <c r="AC47" s="1809">
        <f t="shared" si="5"/>
        <v>1</v>
      </c>
    </row>
    <row r="48" spans="1:29" ht="14.4">
      <c r="A48" s="416" t="s">
        <v>1708</v>
      </c>
      <c r="B48" s="417"/>
      <c r="C48" s="1081" t="s">
        <v>0</v>
      </c>
      <c r="D48" s="418"/>
      <c r="E48" s="419"/>
      <c r="F48" s="420"/>
      <c r="G48" s="421"/>
      <c r="H48" s="422"/>
      <c r="I48" s="419"/>
      <c r="J48" s="422"/>
      <c r="K48" s="674"/>
      <c r="L48" s="2492"/>
      <c r="M48" s="2485"/>
      <c r="N48" s="2485"/>
      <c r="O48" s="2485"/>
      <c r="P48" s="3416" t="str">
        <f>A48</f>
        <v>成交单价（元/平方米）</v>
      </c>
      <c r="Q48" s="3434"/>
      <c r="R48" s="3429">
        <f>E48</f>
        <v>0</v>
      </c>
      <c r="S48" s="3429"/>
      <c r="T48" s="3429">
        <f>G48</f>
        <v>0</v>
      </c>
      <c r="U48" s="3429"/>
      <c r="V48" s="3429">
        <f>I48</f>
        <v>0</v>
      </c>
      <c r="W48" s="3429"/>
      <c r="X48" s="385"/>
      <c r="Y48" s="673"/>
      <c r="Z48" s="385"/>
      <c r="AA48" s="385"/>
      <c r="AB48" s="385"/>
      <c r="AC48" s="555"/>
    </row>
    <row r="49" spans="1:29" ht="15" thickBot="1">
      <c r="A49" s="423" t="s">
        <v>1793</v>
      </c>
      <c r="B49" s="424"/>
      <c r="C49" s="1082" t="e">
        <f>R50</f>
        <v>#DIV/0!</v>
      </c>
      <c r="D49" s="2138" t="s">
        <v>2138</v>
      </c>
      <c r="E49" s="1083" t="e">
        <f>R49</f>
        <v>#DIV/0!</v>
      </c>
      <c r="F49" s="2139"/>
      <c r="G49" s="1082" t="e">
        <f>T49</f>
        <v>#DIV/0!</v>
      </c>
      <c r="H49" s="2139"/>
      <c r="I49" s="1083" t="e">
        <f>V49</f>
        <v>#DIV/0!</v>
      </c>
      <c r="J49" s="2139"/>
      <c r="K49" s="2141">
        <f>F49+H49+J49</f>
        <v>0</v>
      </c>
      <c r="L49" s="2492"/>
      <c r="M49" s="2485"/>
      <c r="N49" s="2485"/>
      <c r="O49" s="2485"/>
      <c r="P49" s="3416" t="str">
        <f>A49</f>
        <v>比较价值（元/平方米）</v>
      </c>
      <c r="Q49" s="3434"/>
      <c r="R49" s="3429" t="e">
        <f>IF(F1="售价",ROUND(PRODUCT(R48,AA7:AA47),0),ROUND(PRODUCT(R48,AA7:AA47),1))</f>
        <v>#DIV/0!</v>
      </c>
      <c r="S49" s="3429"/>
      <c r="T49" s="3429" t="e">
        <f>IF(F1="售价",ROUND(PRODUCT(T48,AB7:AB47),0),ROUND(PRODUCT(T48,AB7:AB47),1))</f>
        <v>#DIV/0!</v>
      </c>
      <c r="U49" s="3429"/>
      <c r="V49" s="3429" t="e">
        <f>IF(F1="售价",ROUND(PRODUCT(V48,AC7:AC47),0),ROUND(PRODUCT(V48,AC7:AC47),1))</f>
        <v>#DIV/0!</v>
      </c>
      <c r="W49" s="3429"/>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2"/>
      <c r="M50" s="2485"/>
      <c r="N50" s="2485"/>
      <c r="O50" s="2485"/>
      <c r="P50" s="3456" t="str">
        <f>A50</f>
        <v>估价对象XX用房的比较价值（楼面单价，元/平方米）</v>
      </c>
      <c r="Q50" s="3457"/>
      <c r="R50" s="3458" t="e">
        <f>IF(F1="售价",ROUND(IF(D49="简单平均",AVERAGE(R49:V49),R49*F49+T49*H49+V49*J49),0),ROUND(IF(D49="简单平均",AVERAGE(R49:V49),R49*F49+T49*H49+V49*J49),1))</f>
        <v>#DIV/0!</v>
      </c>
      <c r="S50" s="3458"/>
      <c r="T50" s="3458"/>
      <c r="U50" s="3458"/>
      <c r="V50" s="3458"/>
      <c r="W50" s="3458"/>
      <c r="X50" s="1795"/>
      <c r="Y50" s="1795"/>
      <c r="Z50" s="1795"/>
      <c r="AA50" s="1795"/>
      <c r="AB50" s="1795"/>
      <c r="AC50" s="1796"/>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7"/>
      <c r="L54" s="2493"/>
      <c r="M54" s="2485"/>
      <c r="N54" s="2485"/>
      <c r="O54" s="2485"/>
      <c r="P54" s="2522"/>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0"/>
      <c r="L55" s="2494"/>
      <c r="M55" s="2495"/>
      <c r="N55" s="2495"/>
      <c r="O55" s="2495"/>
      <c r="P55" s="2523"/>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2.2" thickBot="1">
      <c r="A58" s="658" t="s">
        <v>1798</v>
      </c>
      <c r="B58" s="385"/>
      <c r="C58" s="659"/>
      <c r="D58" s="659"/>
      <c r="E58" s="659"/>
      <c r="F58" s="660"/>
      <c r="G58" s="660"/>
      <c r="H58" s="659"/>
      <c r="I58" s="659"/>
      <c r="J58" s="659"/>
      <c r="K58" s="661"/>
      <c r="L58" s="888"/>
      <c r="M58" s="886"/>
      <c r="N58" s="2535"/>
      <c r="O58" s="2535"/>
      <c r="P58" s="2524"/>
      <c r="Q58" s="2506"/>
      <c r="R58" s="2485"/>
      <c r="S58" s="2485"/>
      <c r="T58" s="2485"/>
      <c r="U58" s="2485"/>
      <c r="V58" s="2485"/>
      <c r="W58" s="2485"/>
      <c r="X58" s="2485"/>
      <c r="Y58" s="2485"/>
      <c r="Z58" s="2485"/>
      <c r="AA58" s="2485"/>
      <c r="AB58" s="2485"/>
      <c r="AC58" s="2485"/>
    </row>
    <row r="59" spans="1:29" s="442" customFormat="1" ht="14.4">
      <c r="A59" s="440" t="s">
        <v>1679</v>
      </c>
      <c r="B59" s="441"/>
      <c r="C59" s="1103" t="str">
        <f>YEAR(C7)&amp;"-"&amp;MONTH(C7)</f>
        <v>2025-4</v>
      </c>
      <c r="D59" s="1104">
        <f>EDATE(C59,-1)</f>
        <v>45717</v>
      </c>
      <c r="E59" s="1104">
        <f>EDATE(D59,-1)</f>
        <v>45689</v>
      </c>
      <c r="F59" s="1104">
        <f t="shared" ref="F59:O59" si="16">EDATE(E59,-1)</f>
        <v>45658</v>
      </c>
      <c r="G59" s="1104">
        <f t="shared" si="16"/>
        <v>45627</v>
      </c>
      <c r="H59" s="1104">
        <f t="shared" si="16"/>
        <v>45597</v>
      </c>
      <c r="I59" s="1104">
        <f t="shared" si="16"/>
        <v>45566</v>
      </c>
      <c r="J59" s="1104">
        <f t="shared" si="16"/>
        <v>45536</v>
      </c>
      <c r="K59" s="1104">
        <f t="shared" si="16"/>
        <v>45505</v>
      </c>
      <c r="L59" s="1104">
        <f t="shared" si="16"/>
        <v>45474</v>
      </c>
      <c r="M59" s="1104">
        <f t="shared" si="16"/>
        <v>45444</v>
      </c>
      <c r="N59" s="1104">
        <f t="shared" si="16"/>
        <v>45413</v>
      </c>
      <c r="O59" s="1104">
        <f t="shared" si="16"/>
        <v>45383</v>
      </c>
      <c r="P59" s="2525"/>
      <c r="Q59" s="2508"/>
      <c r="R59" s="2508"/>
      <c r="S59" s="2508"/>
      <c r="T59" s="2508"/>
      <c r="U59" s="2508"/>
      <c r="V59" s="2508"/>
      <c r="W59" s="2508"/>
      <c r="X59" s="2508"/>
      <c r="Y59" s="2508"/>
      <c r="Z59" s="2508"/>
      <c r="AA59" s="2508"/>
      <c r="AB59" s="2508"/>
      <c r="AC59" s="2508"/>
    </row>
    <row r="60" spans="1:29" s="102" customFormat="1">
      <c r="A60" s="443"/>
      <c r="B60" s="444"/>
      <c r="C60" s="1102">
        <v>100</v>
      </c>
      <c r="D60" s="446"/>
      <c r="E60" s="446"/>
      <c r="F60" s="446"/>
      <c r="G60" s="446"/>
      <c r="H60" s="446"/>
      <c r="I60" s="446"/>
      <c r="J60" s="446"/>
      <c r="K60" s="446"/>
      <c r="L60" s="446"/>
      <c r="M60" s="447"/>
      <c r="N60" s="446"/>
      <c r="O60" s="447"/>
      <c r="P60" s="2526"/>
      <c r="Q60" s="2437"/>
      <c r="R60" s="2437"/>
      <c r="S60" s="2437"/>
      <c r="T60" s="2437"/>
      <c r="U60" s="2437"/>
      <c r="V60" s="2437"/>
      <c r="W60" s="2437"/>
      <c r="X60" s="2437"/>
      <c r="Y60" s="2437"/>
      <c r="Z60" s="2437"/>
      <c r="AA60" s="2437"/>
      <c r="AB60" s="2437"/>
      <c r="AC60" s="2437"/>
    </row>
    <row r="61" spans="1:29" s="102" customFormat="1" ht="15" thickBot="1">
      <c r="A61" s="449" t="s">
        <v>1716</v>
      </c>
      <c r="B61" s="450"/>
      <c r="C61" s="451"/>
      <c r="D61" s="452"/>
      <c r="E61" s="452"/>
      <c r="F61" s="452"/>
      <c r="G61" s="452"/>
      <c r="H61" s="452"/>
      <c r="I61" s="452"/>
      <c r="J61" s="452"/>
      <c r="K61" s="452"/>
      <c r="L61" s="452"/>
      <c r="M61" s="453"/>
      <c r="N61" s="452"/>
      <c r="O61" s="453"/>
      <c r="P61" s="2526"/>
      <c r="Q61" s="2506"/>
      <c r="R61" s="2437"/>
      <c r="S61" s="2437"/>
      <c r="T61" s="2437"/>
      <c r="U61" s="2437"/>
      <c r="V61" s="2437"/>
      <c r="W61" s="2437"/>
      <c r="X61" s="2437"/>
      <c r="Y61" s="2437"/>
      <c r="Z61" s="2437"/>
      <c r="AA61" s="2437"/>
      <c r="AB61" s="2437"/>
      <c r="AC61" s="2437"/>
    </row>
    <row r="62" spans="1:29" s="102" customFormat="1" ht="14.4">
      <c r="A62" s="455" t="s">
        <v>1681</v>
      </c>
      <c r="B62" s="444"/>
      <c r="C62" s="456" t="s">
        <v>1776</v>
      </c>
      <c r="D62" s="31"/>
      <c r="E62" s="31"/>
      <c r="F62" s="31"/>
      <c r="G62" s="31"/>
      <c r="H62" s="31"/>
      <c r="I62" s="31"/>
      <c r="J62" s="31"/>
      <c r="K62" s="31"/>
      <c r="L62" s="457"/>
      <c r="M62" s="458"/>
      <c r="N62" s="2518"/>
      <c r="O62" s="2518"/>
      <c r="P62" s="2527"/>
      <c r="Q62" s="2506"/>
      <c r="R62" s="2437"/>
      <c r="S62" s="2437"/>
      <c r="T62" s="2437"/>
      <c r="U62" s="2437"/>
      <c r="V62" s="2437"/>
      <c r="W62" s="2437"/>
      <c r="X62" s="2437"/>
      <c r="Y62" s="2437"/>
      <c r="Z62" s="2437"/>
      <c r="AA62" s="2437"/>
      <c r="AB62" s="2437"/>
      <c r="AC62" s="2437"/>
    </row>
    <row r="63" spans="1:29" s="102" customFormat="1" ht="14.4" thickBot="1">
      <c r="A63" s="455"/>
      <c r="B63" s="444"/>
      <c r="C63" s="445">
        <v>100</v>
      </c>
      <c r="D63" s="446"/>
      <c r="E63" s="446"/>
      <c r="F63" s="446"/>
      <c r="G63" s="446"/>
      <c r="H63" s="446"/>
      <c r="I63" s="446"/>
      <c r="J63" s="446"/>
      <c r="K63" s="446"/>
      <c r="L63" s="446"/>
      <c r="M63" s="448"/>
      <c r="N63" s="2518"/>
      <c r="O63" s="2518"/>
      <c r="P63" s="2526"/>
      <c r="Q63" s="2506"/>
      <c r="R63" s="2437"/>
      <c r="S63" s="2437"/>
      <c r="T63" s="2437"/>
      <c r="U63" s="2437"/>
      <c r="V63" s="2437"/>
      <c r="W63" s="2437"/>
      <c r="X63" s="2437"/>
      <c r="Y63" s="2437"/>
      <c r="Z63" s="2437"/>
      <c r="AA63" s="2437"/>
      <c r="AB63" s="2437"/>
      <c r="AC63" s="2437"/>
    </row>
    <row r="64" spans="1:29" ht="14.4">
      <c r="A64" s="379" t="s">
        <v>1719</v>
      </c>
      <c r="B64" s="460" t="s">
        <v>1685</v>
      </c>
      <c r="C64" s="461">
        <f>C9</f>
        <v>0</v>
      </c>
      <c r="D64" s="462"/>
      <c r="E64" s="462"/>
      <c r="F64" s="462"/>
      <c r="G64" s="462"/>
      <c r="H64" s="462"/>
      <c r="I64" s="462"/>
      <c r="J64" s="462"/>
      <c r="K64" s="463"/>
      <c r="L64" s="464"/>
      <c r="M64" s="465"/>
      <c r="N64" s="2519"/>
      <c r="O64" s="2519"/>
      <c r="P64" s="2528"/>
      <c r="Q64" s="2506"/>
      <c r="R64" s="2485"/>
      <c r="S64" s="2485"/>
      <c r="T64" s="2485"/>
      <c r="U64" s="2485"/>
      <c r="V64" s="2485"/>
      <c r="W64" s="2485"/>
      <c r="X64" s="2485"/>
      <c r="Y64" s="2485"/>
      <c r="Z64" s="2485"/>
      <c r="AA64" s="2485"/>
      <c r="AB64" s="2485"/>
      <c r="AC64" s="2485"/>
    </row>
    <row r="65" spans="1:29" ht="14.4" thickBot="1">
      <c r="A65" s="367"/>
      <c r="B65" s="466"/>
      <c r="C65" s="467">
        <v>100</v>
      </c>
      <c r="D65" s="467"/>
      <c r="E65" s="467"/>
      <c r="F65" s="467"/>
      <c r="G65" s="467"/>
      <c r="H65" s="467"/>
      <c r="I65" s="467"/>
      <c r="J65" s="467"/>
      <c r="K65" s="467"/>
      <c r="L65" s="467"/>
      <c r="M65" s="468"/>
      <c r="N65" s="2520"/>
      <c r="O65" s="2520"/>
      <c r="P65" s="2528"/>
      <c r="Q65" s="2506"/>
      <c r="R65" s="2485"/>
      <c r="S65" s="2485"/>
      <c r="T65" s="2485"/>
      <c r="U65" s="2485"/>
      <c r="V65" s="2485"/>
      <c r="W65" s="2485"/>
      <c r="X65" s="2485"/>
      <c r="Y65" s="2485"/>
      <c r="Z65" s="2485"/>
      <c r="AA65" s="2485"/>
      <c r="AB65" s="2485"/>
      <c r="AC65" s="2485"/>
    </row>
    <row r="66" spans="1:29" ht="29.4" thickTop="1">
      <c r="A66" s="367"/>
      <c r="B66" s="469" t="s">
        <v>1688</v>
      </c>
      <c r="C66" s="513"/>
      <c r="D66" s="513"/>
      <c r="E66" s="513"/>
      <c r="F66" s="513"/>
      <c r="G66" s="513"/>
      <c r="H66" s="513"/>
      <c r="I66" s="513"/>
      <c r="J66" s="513"/>
      <c r="K66" s="514"/>
      <c r="L66" s="515"/>
      <c r="M66" s="516"/>
      <c r="N66" s="2519"/>
      <c r="O66" s="2519"/>
      <c r="P66" s="2528"/>
      <c r="Q66" s="2506"/>
      <c r="R66" s="2485"/>
      <c r="S66" s="2485"/>
      <c r="T66" s="2485"/>
      <c r="U66" s="2485"/>
      <c r="V66" s="2485"/>
      <c r="W66" s="2485"/>
      <c r="X66" s="2485"/>
      <c r="Y66" s="2485"/>
      <c r="Z66" s="2485"/>
      <c r="AA66" s="2485"/>
      <c r="AB66" s="2485"/>
      <c r="AC66" s="2485"/>
    </row>
    <row r="67" spans="1:29" ht="14.4" thickBot="1">
      <c r="A67" s="367"/>
      <c r="B67" s="474"/>
      <c r="C67" s="467"/>
      <c r="D67" s="467"/>
      <c r="E67" s="467"/>
      <c r="F67" s="467"/>
      <c r="G67" s="467"/>
      <c r="H67" s="467"/>
      <c r="I67" s="467"/>
      <c r="J67" s="467"/>
      <c r="K67" s="467"/>
      <c r="L67" s="467"/>
      <c r="M67" s="468"/>
      <c r="N67" s="2520"/>
      <c r="O67" s="2520"/>
      <c r="P67" s="2528"/>
      <c r="Q67" s="2506"/>
      <c r="R67" s="2485"/>
      <c r="S67" s="2485"/>
      <c r="T67" s="2485"/>
      <c r="U67" s="2485"/>
      <c r="V67" s="2485"/>
      <c r="W67" s="2485"/>
      <c r="X67" s="2485"/>
      <c r="Y67" s="2485"/>
      <c r="Z67" s="2485"/>
      <c r="AA67" s="2485"/>
      <c r="AB67" s="2485"/>
      <c r="AC67" s="2485"/>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0"/>
      <c r="O68" s="2520"/>
      <c r="P68" s="2528"/>
      <c r="Q68" s="2506"/>
      <c r="R68" s="2485"/>
      <c r="S68" s="2485"/>
      <c r="T68" s="2485"/>
      <c r="U68" s="2485"/>
      <c r="V68" s="2485"/>
      <c r="W68" s="2485"/>
      <c r="X68" s="2485"/>
      <c r="Y68" s="2485"/>
      <c r="Z68" s="2485"/>
      <c r="AA68" s="2485"/>
      <c r="AB68" s="2485"/>
      <c r="AC68" s="2485"/>
    </row>
    <row r="69" spans="1:29">
      <c r="A69" s="367"/>
      <c r="B69" s="479"/>
      <c r="C69" s="480">
        <v>0</v>
      </c>
      <c r="D69" s="480">
        <v>3</v>
      </c>
      <c r="E69" s="480"/>
      <c r="F69" s="480"/>
      <c r="G69" s="480"/>
      <c r="H69" s="480"/>
      <c r="I69" s="480"/>
      <c r="J69" s="480"/>
      <c r="K69" s="481"/>
      <c r="L69" s="482"/>
      <c r="M69" s="483"/>
      <c r="N69" s="2519"/>
      <c r="O69" s="2519"/>
      <c r="P69" s="2528"/>
      <c r="Q69" s="2506"/>
      <c r="R69" s="2485"/>
      <c r="S69" s="2485"/>
      <c r="T69" s="2485"/>
      <c r="U69" s="2485"/>
      <c r="V69" s="2485"/>
      <c r="W69" s="2485"/>
      <c r="X69" s="2485"/>
      <c r="Y69" s="2485"/>
      <c r="Z69" s="2485"/>
      <c r="AA69" s="2485"/>
      <c r="AB69" s="2485"/>
      <c r="AC69" s="2485"/>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0"/>
      <c r="O70" s="2520"/>
      <c r="P70" s="2528"/>
      <c r="Q70" s="2506"/>
      <c r="R70" s="2485"/>
      <c r="S70" s="2485"/>
      <c r="T70" s="2485"/>
      <c r="U70" s="2485"/>
      <c r="V70" s="2485"/>
      <c r="W70" s="2485"/>
      <c r="X70" s="2485"/>
      <c r="Y70" s="2485"/>
      <c r="Z70" s="2485"/>
      <c r="AA70" s="2485"/>
      <c r="AB70" s="2485"/>
      <c r="AC70" s="2485"/>
    </row>
    <row r="71" spans="1:29" s="408" customFormat="1" ht="14.4" thickTop="1">
      <c r="A71" s="484"/>
      <c r="B71" s="469">
        <f>B12</f>
        <v>111</v>
      </c>
      <c r="C71" s="485"/>
      <c r="D71" s="485"/>
      <c r="E71" s="485"/>
      <c r="F71" s="485"/>
      <c r="G71" s="485"/>
      <c r="H71" s="486"/>
      <c r="I71" s="486"/>
      <c r="J71" s="486"/>
      <c r="K71" s="486"/>
      <c r="L71" s="487"/>
      <c r="M71" s="488"/>
      <c r="N71" s="2521"/>
      <c r="O71" s="2521"/>
      <c r="P71" s="2529"/>
      <c r="Q71" s="2513"/>
      <c r="R71" s="2491"/>
      <c r="S71" s="2491"/>
      <c r="T71" s="2491"/>
      <c r="U71" s="2491"/>
      <c r="V71" s="2491"/>
      <c r="W71" s="2491"/>
      <c r="X71" s="2491"/>
      <c r="Y71" s="2491"/>
      <c r="Z71" s="2491"/>
      <c r="AA71" s="2491"/>
      <c r="AB71" s="2491"/>
      <c r="AC71" s="2491"/>
    </row>
    <row r="72" spans="1:29" s="408" customFormat="1" ht="14.4" thickBot="1">
      <c r="A72" s="484"/>
      <c r="B72" s="474"/>
      <c r="C72" s="491"/>
      <c r="D72" s="467"/>
      <c r="E72" s="467"/>
      <c r="F72" s="467"/>
      <c r="G72" s="467"/>
      <c r="H72" s="467"/>
      <c r="I72" s="467"/>
      <c r="J72" s="467"/>
      <c r="K72" s="467"/>
      <c r="L72" s="467"/>
      <c r="M72" s="468"/>
      <c r="N72" s="2520"/>
      <c r="O72" s="2520"/>
      <c r="P72" s="2529"/>
      <c r="Q72" s="2513"/>
      <c r="R72" s="2491"/>
      <c r="S72" s="2491"/>
      <c r="T72" s="2491"/>
      <c r="U72" s="2491"/>
      <c r="V72" s="2491"/>
      <c r="W72" s="2491"/>
      <c r="X72" s="2491"/>
      <c r="Y72" s="2491"/>
      <c r="Z72" s="2491"/>
      <c r="AA72" s="2491"/>
      <c r="AB72" s="2491"/>
      <c r="AC72" s="2491"/>
    </row>
    <row r="73" spans="1:29" s="408" customFormat="1" ht="14.4" thickTop="1">
      <c r="A73" s="484"/>
      <c r="B73" s="469">
        <f>B13</f>
        <v>111</v>
      </c>
      <c r="C73" s="485"/>
      <c r="D73" s="485"/>
      <c r="E73" s="485"/>
      <c r="F73" s="485"/>
      <c r="G73" s="485"/>
      <c r="H73" s="486"/>
      <c r="I73" s="486"/>
      <c r="J73" s="486"/>
      <c r="K73" s="486"/>
      <c r="L73" s="487"/>
      <c r="M73" s="488"/>
      <c r="N73" s="2521"/>
      <c r="O73" s="2521"/>
      <c r="P73" s="2530"/>
      <c r="Q73" s="2515"/>
      <c r="R73" s="2491"/>
      <c r="S73" s="2491"/>
      <c r="T73" s="2491"/>
      <c r="U73" s="2491"/>
      <c r="V73" s="2491"/>
      <c r="W73" s="2491"/>
      <c r="X73" s="2491"/>
      <c r="Y73" s="2491"/>
      <c r="Z73" s="2491"/>
      <c r="AA73" s="2491"/>
      <c r="AB73" s="2491"/>
      <c r="AC73" s="2491"/>
    </row>
    <row r="74" spans="1:29" s="408" customFormat="1" ht="14.4" thickBot="1">
      <c r="A74" s="484"/>
      <c r="B74" s="474"/>
      <c r="C74" s="491"/>
      <c r="D74" s="491"/>
      <c r="E74" s="491"/>
      <c r="F74" s="491"/>
      <c r="G74" s="491"/>
      <c r="H74" s="493"/>
      <c r="I74" s="493"/>
      <c r="J74" s="493"/>
      <c r="K74" s="493"/>
      <c r="L74" s="493"/>
      <c r="M74" s="494"/>
      <c r="N74" s="2521"/>
      <c r="O74" s="2521"/>
      <c r="P74" s="2529"/>
      <c r="Q74" s="2513"/>
      <c r="R74" s="2491"/>
      <c r="S74" s="2491"/>
      <c r="T74" s="2491"/>
      <c r="U74" s="2491"/>
      <c r="V74" s="2491"/>
      <c r="W74" s="2491"/>
      <c r="X74" s="2491"/>
      <c r="Y74" s="2491"/>
      <c r="Z74" s="2491"/>
      <c r="AA74" s="2491"/>
      <c r="AB74" s="2491"/>
      <c r="AC74" s="2491"/>
    </row>
    <row r="75" spans="1:29" s="408" customFormat="1" ht="14.4" thickTop="1">
      <c r="A75" s="484"/>
      <c r="B75" s="477">
        <f>B14</f>
        <v>111</v>
      </c>
      <c r="C75" s="31"/>
      <c r="D75" s="31"/>
      <c r="E75" s="31"/>
      <c r="F75" s="31"/>
      <c r="G75" s="31"/>
      <c r="H75" s="495"/>
      <c r="I75" s="495"/>
      <c r="J75" s="495"/>
      <c r="K75" s="495"/>
      <c r="L75" s="496"/>
      <c r="M75" s="497"/>
      <c r="N75" s="2521"/>
      <c r="O75" s="2521"/>
      <c r="P75" s="2531"/>
      <c r="Q75" s="2513"/>
      <c r="R75" s="2491"/>
      <c r="S75" s="2491"/>
      <c r="T75" s="2491"/>
      <c r="U75" s="2491"/>
      <c r="V75" s="2491"/>
      <c r="W75" s="2491"/>
      <c r="X75" s="2491"/>
      <c r="Y75" s="2491"/>
      <c r="Z75" s="2491"/>
      <c r="AA75" s="2491"/>
      <c r="AB75" s="2491"/>
      <c r="AC75" s="2491"/>
    </row>
    <row r="76" spans="1:29" s="408" customFormat="1" ht="14.4" thickBot="1">
      <c r="A76" s="499"/>
      <c r="B76" s="500"/>
      <c r="C76" s="501"/>
      <c r="D76" s="501"/>
      <c r="E76" s="501"/>
      <c r="F76" s="501"/>
      <c r="G76" s="501"/>
      <c r="H76" s="502"/>
      <c r="I76" s="502"/>
      <c r="J76" s="502"/>
      <c r="K76" s="502"/>
      <c r="L76" s="502"/>
      <c r="M76" s="503"/>
      <c r="N76" s="2521"/>
      <c r="O76" s="2521"/>
      <c r="P76" s="2529"/>
      <c r="Q76" s="2513"/>
      <c r="R76" s="2491"/>
      <c r="S76" s="2491"/>
      <c r="T76" s="2491"/>
      <c r="U76" s="2491"/>
      <c r="V76" s="2491"/>
      <c r="W76" s="2491"/>
      <c r="X76" s="2491"/>
      <c r="Y76" s="2491"/>
      <c r="Z76" s="2491"/>
      <c r="AA76" s="2491"/>
      <c r="AB76" s="2491"/>
      <c r="AC76" s="2491"/>
    </row>
    <row r="77" spans="1:29" ht="14.4">
      <c r="A77" s="379" t="s">
        <v>1690</v>
      </c>
      <c r="B77" s="460" t="s">
        <v>1821</v>
      </c>
      <c r="C77" s="504" t="s">
        <v>1721</v>
      </c>
      <c r="D77" s="504" t="s">
        <v>1722</v>
      </c>
      <c r="E77" s="504" t="s">
        <v>1723</v>
      </c>
      <c r="F77" s="504" t="s">
        <v>1724</v>
      </c>
      <c r="G77" s="504" t="s">
        <v>1725</v>
      </c>
      <c r="H77" s="461"/>
      <c r="I77" s="461"/>
      <c r="J77" s="461"/>
      <c r="K77" s="505"/>
      <c r="L77" s="506"/>
      <c r="M77" s="507"/>
      <c r="N77" s="2519"/>
      <c r="O77" s="2519"/>
      <c r="P77" s="2532"/>
      <c r="Q77" s="2506"/>
      <c r="R77" s="2485"/>
      <c r="S77" s="2485"/>
      <c r="T77" s="2485"/>
      <c r="U77" s="2485"/>
      <c r="V77" s="2485"/>
      <c r="W77" s="2485"/>
      <c r="X77" s="2485"/>
      <c r="Y77" s="2485"/>
      <c r="Z77" s="2485"/>
      <c r="AA77" s="2485"/>
      <c r="AB77" s="2485"/>
      <c r="AC77" s="2485"/>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0"/>
      <c r="O78" s="2520"/>
      <c r="P78" s="2528"/>
      <c r="Q78" s="2506"/>
      <c r="R78" s="2485"/>
      <c r="S78" s="2485"/>
      <c r="T78" s="2485"/>
      <c r="U78" s="2485"/>
      <c r="V78" s="2485"/>
      <c r="W78" s="2485"/>
      <c r="X78" s="2485"/>
      <c r="Y78" s="2485"/>
      <c r="Z78" s="2485"/>
      <c r="AA78" s="2485"/>
      <c r="AB78" s="2485"/>
      <c r="AC78" s="2485"/>
    </row>
    <row r="79" spans="1:29" ht="15" thickTop="1">
      <c r="A79" s="367"/>
      <c r="B79" s="469" t="s">
        <v>1726</v>
      </c>
      <c r="C79" s="509" t="s">
        <v>1721</v>
      </c>
      <c r="D79" s="509" t="s">
        <v>1722</v>
      </c>
      <c r="E79" s="509" t="s">
        <v>1723</v>
      </c>
      <c r="F79" s="509" t="s">
        <v>1724</v>
      </c>
      <c r="G79" s="509" t="s">
        <v>1725</v>
      </c>
      <c r="H79" s="470"/>
      <c r="I79" s="470"/>
      <c r="J79" s="470"/>
      <c r="K79" s="471"/>
      <c r="L79" s="472"/>
      <c r="M79" s="473"/>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0"/>
      <c r="O80" s="2520"/>
      <c r="P80" s="2528"/>
      <c r="Q80" s="2506"/>
      <c r="R80" s="2485"/>
      <c r="S80" s="2485"/>
      <c r="T80" s="2485"/>
      <c r="U80" s="2485"/>
      <c r="V80" s="2485"/>
      <c r="W80" s="2485"/>
      <c r="X80" s="2485"/>
      <c r="Y80" s="2485"/>
      <c r="Z80" s="2485"/>
      <c r="AA80" s="2485"/>
      <c r="AB80" s="2485"/>
      <c r="AC80" s="2485"/>
    </row>
    <row r="81" spans="1:29" ht="15" thickTop="1">
      <c r="A81" s="367"/>
      <c r="B81" s="469" t="s">
        <v>1727</v>
      </c>
      <c r="C81" s="509" t="s">
        <v>1721</v>
      </c>
      <c r="D81" s="509" t="s">
        <v>1722</v>
      </c>
      <c r="E81" s="509" t="s">
        <v>1723</v>
      </c>
      <c r="F81" s="509" t="s">
        <v>1724</v>
      </c>
      <c r="G81" s="509" t="s">
        <v>1725</v>
      </c>
      <c r="H81" s="470"/>
      <c r="I81" s="470"/>
      <c r="J81" s="470"/>
      <c r="K81" s="471"/>
      <c r="L81" s="472"/>
      <c r="M81" s="473"/>
      <c r="N81" s="2519"/>
      <c r="O81" s="2519"/>
      <c r="P81" s="2528"/>
      <c r="Q81" s="2506"/>
      <c r="R81" s="2485"/>
      <c r="S81" s="2485"/>
      <c r="T81" s="2485"/>
      <c r="U81" s="2485"/>
      <c r="V81" s="2485"/>
      <c r="W81" s="2485"/>
      <c r="X81" s="2485"/>
      <c r="Y81" s="2485"/>
      <c r="Z81" s="2485"/>
      <c r="AA81" s="2485"/>
      <c r="AB81" s="2485"/>
      <c r="AC81" s="2485"/>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0"/>
      <c r="O82" s="2520"/>
      <c r="P82" s="2528"/>
      <c r="Q82" s="2506"/>
      <c r="R82" s="2485"/>
      <c r="S82" s="2485"/>
      <c r="T82" s="2485"/>
      <c r="U82" s="2485"/>
      <c r="V82" s="2485"/>
      <c r="W82" s="2485"/>
      <c r="X82" s="2485"/>
      <c r="Y82" s="2485"/>
      <c r="Z82" s="2485"/>
      <c r="AA82" s="2485"/>
      <c r="AB82" s="2485"/>
      <c r="AC82" s="2485"/>
    </row>
    <row r="83" spans="1:29" ht="15" thickTop="1">
      <c r="A83" s="367"/>
      <c r="B83" s="477" t="s">
        <v>1813</v>
      </c>
      <c r="C83" s="581" t="s">
        <v>1799</v>
      </c>
      <c r="D83" s="581" t="s">
        <v>1800</v>
      </c>
      <c r="E83" s="581" t="s">
        <v>1801</v>
      </c>
      <c r="F83" s="581" t="s">
        <v>1802</v>
      </c>
      <c r="G83" s="581" t="s">
        <v>1803</v>
      </c>
      <c r="H83" s="470"/>
      <c r="I83" s="470"/>
      <c r="J83" s="470"/>
      <c r="K83" s="470"/>
      <c r="L83" s="470"/>
      <c r="M83" s="1063"/>
      <c r="N83" s="2520"/>
      <c r="O83" s="2520"/>
      <c r="P83" s="2528"/>
      <c r="Q83" s="2506"/>
      <c r="R83" s="2485"/>
      <c r="S83" s="2485"/>
      <c r="T83" s="2485"/>
      <c r="U83" s="2485"/>
      <c r="V83" s="2485"/>
      <c r="W83" s="2485"/>
      <c r="X83" s="2485"/>
      <c r="Y83" s="2485"/>
      <c r="Z83" s="2485"/>
      <c r="AA83" s="2485"/>
      <c r="AB83" s="2485"/>
      <c r="AC83" s="2485"/>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0"/>
      <c r="O84" s="2520"/>
      <c r="P84" s="2528"/>
      <c r="Q84" s="2506"/>
      <c r="R84" s="2485"/>
      <c r="S84" s="2485"/>
      <c r="T84" s="2485"/>
      <c r="U84" s="2485"/>
      <c r="V84" s="2485"/>
      <c r="W84" s="2485"/>
      <c r="X84" s="2485"/>
      <c r="Y84" s="2485"/>
      <c r="Z84" s="2485"/>
      <c r="AA84" s="2485"/>
      <c r="AB84" s="2485"/>
      <c r="AC84" s="2485"/>
    </row>
    <row r="85" spans="1:29" ht="15" thickTop="1">
      <c r="A85" s="367"/>
      <c r="B85" s="469" t="s">
        <v>1822</v>
      </c>
      <c r="C85" s="509" t="s">
        <v>1721</v>
      </c>
      <c r="D85" s="509" t="s">
        <v>1722</v>
      </c>
      <c r="E85" s="509" t="s">
        <v>1723</v>
      </c>
      <c r="F85" s="509" t="s">
        <v>1724</v>
      </c>
      <c r="G85" s="509" t="s">
        <v>1725</v>
      </c>
      <c r="H85" s="470"/>
      <c r="I85" s="470"/>
      <c r="J85" s="470"/>
      <c r="K85" s="471"/>
      <c r="L85" s="472"/>
      <c r="M85" s="473"/>
      <c r="N85" s="2519"/>
      <c r="O85" s="2519"/>
      <c r="P85" s="2528"/>
      <c r="Q85" s="2506"/>
      <c r="R85" s="2485"/>
      <c r="S85" s="2485"/>
      <c r="T85" s="2485"/>
      <c r="U85" s="2485"/>
      <c r="V85" s="2485"/>
      <c r="W85" s="2485"/>
      <c r="X85" s="2485"/>
      <c r="Y85" s="2485"/>
      <c r="Z85" s="2485"/>
      <c r="AA85" s="2485"/>
      <c r="AB85" s="2485"/>
      <c r="AC85" s="2485"/>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0"/>
      <c r="O86" s="2520"/>
      <c r="P86" s="2528"/>
      <c r="Q86" s="2506"/>
      <c r="R86" s="2485"/>
      <c r="S86" s="2485"/>
      <c r="T86" s="2485"/>
      <c r="U86" s="2485"/>
      <c r="V86" s="2485"/>
      <c r="W86" s="2485"/>
      <c r="X86" s="2485"/>
      <c r="Y86" s="2485"/>
      <c r="Z86" s="2485"/>
      <c r="AA86" s="2485"/>
      <c r="AB86" s="2485"/>
      <c r="AC86" s="2485"/>
    </row>
    <row r="87" spans="1:29" s="102" customFormat="1" ht="29.4" thickTop="1">
      <c r="A87" s="370"/>
      <c r="B87" s="469" t="s">
        <v>1823</v>
      </c>
      <c r="C87" s="485"/>
      <c r="D87" s="485"/>
      <c r="E87" s="485"/>
      <c r="F87" s="485"/>
      <c r="G87" s="485"/>
      <c r="H87" s="485"/>
      <c r="I87" s="485"/>
      <c r="J87" s="485"/>
      <c r="K87" s="485"/>
      <c r="L87" s="510"/>
      <c r="M87" s="511"/>
      <c r="N87" s="2518"/>
      <c r="O87" s="2518"/>
      <c r="P87" s="2528"/>
      <c r="Q87" s="2506"/>
      <c r="R87" s="2437"/>
      <c r="S87" s="2437"/>
      <c r="T87" s="2437"/>
      <c r="U87" s="2437"/>
      <c r="V87" s="2437"/>
      <c r="W87" s="2437"/>
      <c r="X87" s="2437"/>
      <c r="Y87" s="2437"/>
      <c r="Z87" s="2437"/>
      <c r="AA87" s="2437"/>
      <c r="AB87" s="2437"/>
      <c r="AC87" s="2437"/>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0"/>
      <c r="O88" s="2520"/>
      <c r="P88" s="2528"/>
      <c r="Q88" s="2506"/>
      <c r="R88" s="2437"/>
      <c r="S88" s="2437"/>
      <c r="T88" s="2437"/>
      <c r="U88" s="2437"/>
      <c r="V88" s="2437"/>
      <c r="W88" s="2437"/>
      <c r="X88" s="2437"/>
      <c r="Y88" s="2437"/>
      <c r="Z88" s="2437"/>
      <c r="AA88" s="2437"/>
      <c r="AB88" s="2437"/>
      <c r="AC88" s="2437"/>
    </row>
    <row r="89" spans="1:29" s="102" customFormat="1" ht="14.4" thickTop="1">
      <c r="A89" s="370"/>
      <c r="B89" s="469" t="str">
        <f>B27</f>
        <v>楼层</v>
      </c>
      <c r="C89" s="485"/>
      <c r="D89" s="485"/>
      <c r="E89" s="485"/>
      <c r="F89" s="1777"/>
      <c r="G89" s="485"/>
      <c r="H89" s="485"/>
      <c r="I89" s="485"/>
      <c r="J89" s="485"/>
      <c r="K89" s="485"/>
      <c r="L89" s="485"/>
      <c r="M89" s="511"/>
      <c r="N89" s="2518"/>
      <c r="O89" s="2518"/>
      <c r="P89" s="2528"/>
      <c r="Q89" s="2506"/>
      <c r="R89" s="2437"/>
      <c r="S89" s="2437"/>
      <c r="T89" s="2437"/>
      <c r="U89" s="2437"/>
      <c r="V89" s="2437"/>
      <c r="W89" s="2437"/>
      <c r="X89" s="2437"/>
      <c r="Y89" s="2437"/>
      <c r="Z89" s="2437"/>
      <c r="AA89" s="2437"/>
      <c r="AB89" s="2437"/>
      <c r="AC89" s="2437"/>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0"/>
      <c r="O90" s="2520"/>
      <c r="P90" s="2528"/>
      <c r="Q90" s="2506"/>
      <c r="R90" s="2437"/>
      <c r="S90" s="2437"/>
      <c r="T90" s="2437"/>
      <c r="U90" s="2437"/>
      <c r="V90" s="2437"/>
      <c r="W90" s="2437"/>
      <c r="X90" s="2437"/>
      <c r="Y90" s="2437"/>
      <c r="Z90" s="2437"/>
      <c r="AA90" s="2437"/>
      <c r="AB90" s="2437"/>
      <c r="AC90" s="2437"/>
    </row>
    <row r="91" spans="1:29" s="408" customFormat="1" ht="14.4" thickTop="1">
      <c r="A91" s="484"/>
      <c r="B91" s="469" t="str">
        <f>B28</f>
        <v>朝向</v>
      </c>
      <c r="C91" s="485"/>
      <c r="D91" s="485"/>
      <c r="E91" s="485"/>
      <c r="F91" s="485"/>
      <c r="G91" s="485"/>
      <c r="H91" s="486"/>
      <c r="I91" s="486"/>
      <c r="J91" s="486"/>
      <c r="K91" s="486"/>
      <c r="L91" s="487"/>
      <c r="M91" s="488"/>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1"/>
      <c r="O92" s="2521"/>
      <c r="P92" s="2529"/>
      <c r="Q92" s="2513"/>
      <c r="R92" s="2491"/>
      <c r="S92" s="2491"/>
      <c r="T92" s="2491"/>
      <c r="U92" s="2491"/>
      <c r="V92" s="2491"/>
      <c r="W92" s="2491"/>
      <c r="X92" s="2491"/>
      <c r="Y92" s="2491"/>
      <c r="Z92" s="2491"/>
      <c r="AA92" s="2491"/>
      <c r="AB92" s="2491"/>
      <c r="AC92" s="2491"/>
    </row>
    <row r="93" spans="1:29" ht="14.4" thickTop="1">
      <c r="A93" s="367"/>
      <c r="B93" s="469">
        <f>B29</f>
        <v>111</v>
      </c>
      <c r="C93" s="485"/>
      <c r="D93" s="485"/>
      <c r="E93" s="485"/>
      <c r="F93" s="485"/>
      <c r="G93" s="485"/>
      <c r="H93" s="485"/>
      <c r="I93" s="485"/>
      <c r="J93" s="485"/>
      <c r="K93" s="485"/>
      <c r="L93" s="510"/>
      <c r="M93" s="511"/>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91"/>
      <c r="D94" s="467"/>
      <c r="E94" s="467"/>
      <c r="F94" s="467"/>
      <c r="G94" s="467"/>
      <c r="H94" s="467"/>
      <c r="I94" s="467"/>
      <c r="J94" s="467"/>
      <c r="K94" s="467"/>
      <c r="L94" s="467"/>
      <c r="M94" s="468"/>
      <c r="N94" s="2520"/>
      <c r="O94" s="2520"/>
      <c r="P94" s="2528"/>
      <c r="Q94" s="2506"/>
      <c r="R94" s="2485"/>
      <c r="S94" s="2485"/>
      <c r="T94" s="2485"/>
      <c r="U94" s="2485"/>
      <c r="V94" s="2485"/>
      <c r="W94" s="2485"/>
      <c r="X94" s="2485"/>
      <c r="Y94" s="2485"/>
      <c r="Z94" s="2485"/>
      <c r="AA94" s="2485"/>
      <c r="AB94" s="2485"/>
      <c r="AC94" s="2485"/>
    </row>
    <row r="95" spans="1:29" ht="14.4" thickTop="1">
      <c r="A95" s="367"/>
      <c r="B95" s="469">
        <f>B30</f>
        <v>111</v>
      </c>
      <c r="C95" s="485"/>
      <c r="D95" s="485"/>
      <c r="E95" s="485"/>
      <c r="F95" s="485"/>
      <c r="G95" s="513"/>
      <c r="H95" s="513"/>
      <c r="I95" s="513"/>
      <c r="J95" s="513"/>
      <c r="K95" s="514"/>
      <c r="L95" s="515"/>
      <c r="M95" s="516"/>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91"/>
      <c r="D96" s="491"/>
      <c r="E96" s="491"/>
      <c r="F96" s="491"/>
      <c r="G96" s="467"/>
      <c r="H96" s="467"/>
      <c r="I96" s="467"/>
      <c r="J96" s="467"/>
      <c r="K96" s="467"/>
      <c r="L96" s="467"/>
      <c r="M96" s="468"/>
      <c r="N96" s="2520"/>
      <c r="O96" s="2520"/>
      <c r="P96" s="2528"/>
      <c r="Q96" s="2506"/>
      <c r="R96" s="2485"/>
      <c r="S96" s="2485"/>
      <c r="T96" s="2485"/>
      <c r="U96" s="2485"/>
      <c r="V96" s="2485"/>
      <c r="W96" s="2485"/>
      <c r="X96" s="2485"/>
      <c r="Y96" s="2485"/>
      <c r="Z96" s="2485"/>
      <c r="AA96" s="2485"/>
      <c r="AB96" s="2485"/>
      <c r="AC96" s="2485"/>
    </row>
    <row r="97" spans="1:29" ht="14.4" thickTop="1">
      <c r="A97" s="367"/>
      <c r="B97" s="469">
        <f>B31</f>
        <v>111</v>
      </c>
      <c r="C97" s="485"/>
      <c r="D97" s="485"/>
      <c r="E97" s="485"/>
      <c r="F97" s="485"/>
      <c r="G97" s="513"/>
      <c r="H97" s="513"/>
      <c r="I97" s="513"/>
      <c r="J97" s="513"/>
      <c r="K97" s="514"/>
      <c r="L97" s="515"/>
      <c r="M97" s="516"/>
      <c r="N97" s="2519"/>
      <c r="O97" s="2519"/>
      <c r="P97" s="2528"/>
      <c r="Q97" s="2506"/>
      <c r="R97" s="2485"/>
      <c r="S97" s="2485"/>
      <c r="T97" s="2485"/>
      <c r="U97" s="2485"/>
      <c r="V97" s="2485"/>
      <c r="W97" s="2485"/>
      <c r="X97" s="2485"/>
      <c r="Y97" s="2485"/>
      <c r="Z97" s="2485"/>
      <c r="AA97" s="2485"/>
      <c r="AB97" s="2485"/>
      <c r="AC97" s="2485"/>
    </row>
    <row r="98" spans="1:29" ht="14.4" thickBot="1">
      <c r="A98" s="367"/>
      <c r="B98" s="474"/>
      <c r="C98" s="491"/>
      <c r="D98" s="467"/>
      <c r="E98" s="467"/>
      <c r="F98" s="467"/>
      <c r="G98" s="467"/>
      <c r="H98" s="467"/>
      <c r="I98" s="467"/>
      <c r="J98" s="467"/>
      <c r="K98" s="467"/>
      <c r="L98" s="467"/>
      <c r="M98" s="468"/>
      <c r="N98" s="2520"/>
      <c r="O98" s="2520"/>
      <c r="P98" s="2528"/>
      <c r="Q98" s="2506"/>
      <c r="R98" s="2485"/>
      <c r="S98" s="2485"/>
      <c r="T98" s="2485"/>
      <c r="U98" s="2485"/>
      <c r="V98" s="2485"/>
      <c r="W98" s="2485"/>
      <c r="X98" s="2485"/>
      <c r="Y98" s="2485"/>
      <c r="Z98" s="2485"/>
      <c r="AA98" s="2485"/>
      <c r="AB98" s="2485"/>
      <c r="AC98" s="2485"/>
    </row>
    <row r="99" spans="1:29" ht="14.4" thickTop="1">
      <c r="A99" s="367"/>
      <c r="B99" s="477">
        <f>B32</f>
        <v>111</v>
      </c>
      <c r="C99" s="31"/>
      <c r="D99" s="31"/>
      <c r="E99" s="31"/>
      <c r="F99" s="31"/>
      <c r="G99" s="517"/>
      <c r="H99" s="517"/>
      <c r="I99" s="517"/>
      <c r="J99" s="517"/>
      <c r="K99" s="518"/>
      <c r="L99" s="519"/>
      <c r="M99" s="520"/>
      <c r="N99" s="2519"/>
      <c r="O99" s="2519"/>
      <c r="P99" s="2528"/>
      <c r="Q99" s="2506"/>
      <c r="R99" s="2485"/>
      <c r="S99" s="2485"/>
      <c r="T99" s="2485"/>
      <c r="U99" s="2485"/>
      <c r="V99" s="2485"/>
      <c r="W99" s="2485"/>
      <c r="X99" s="2485"/>
      <c r="Y99" s="2485"/>
      <c r="Z99" s="2485"/>
      <c r="AA99" s="2485"/>
      <c r="AB99" s="2485"/>
      <c r="AC99" s="2485"/>
    </row>
    <row r="100" spans="1:29" ht="14.4" thickBot="1">
      <c r="A100" s="375"/>
      <c r="B100" s="500"/>
      <c r="C100" s="501"/>
      <c r="D100" s="501"/>
      <c r="E100" s="501"/>
      <c r="F100" s="501"/>
      <c r="G100" s="521"/>
      <c r="H100" s="521"/>
      <c r="I100" s="521"/>
      <c r="J100" s="521"/>
      <c r="K100" s="521"/>
      <c r="L100" s="521"/>
      <c r="M100" s="522"/>
      <c r="N100" s="2520"/>
      <c r="O100" s="2520"/>
      <c r="P100" s="2528"/>
      <c r="Q100" s="2506"/>
      <c r="R100" s="2485"/>
      <c r="S100" s="2485"/>
      <c r="T100" s="2485"/>
      <c r="U100" s="2485"/>
      <c r="V100" s="2485"/>
      <c r="W100" s="2485"/>
      <c r="X100" s="2485"/>
      <c r="Y100" s="2485"/>
      <c r="Z100" s="2485"/>
      <c r="AA100" s="2485"/>
      <c r="AB100" s="2485"/>
      <c r="AC100" s="2485"/>
    </row>
    <row r="101" spans="1:29" ht="14.4">
      <c r="A101" s="379" t="s">
        <v>1694</v>
      </c>
      <c r="B101" s="460" t="s">
        <v>1736</v>
      </c>
      <c r="C101" s="462"/>
      <c r="D101" s="462"/>
      <c r="E101" s="462"/>
      <c r="F101" s="462"/>
      <c r="G101" s="462"/>
      <c r="H101" s="462"/>
      <c r="I101" s="462"/>
      <c r="J101" s="462"/>
      <c r="K101" s="463"/>
      <c r="L101" s="464"/>
      <c r="M101" s="465"/>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0"/>
      <c r="O102" s="2520"/>
      <c r="P102" s="2528"/>
      <c r="Q102" s="2506"/>
      <c r="R102" s="2485"/>
      <c r="S102" s="2485"/>
      <c r="T102" s="2485"/>
      <c r="U102" s="2485"/>
      <c r="V102" s="2485"/>
      <c r="W102" s="2485"/>
      <c r="X102" s="2485"/>
      <c r="Y102" s="2485"/>
      <c r="Z102" s="2485"/>
      <c r="AA102" s="2485"/>
      <c r="AB102" s="2485"/>
      <c r="AC102" s="2485"/>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8" customFormat="1">
      <c r="A104" s="406"/>
      <c r="B104" s="523"/>
      <c r="C104" s="6"/>
      <c r="D104" s="6"/>
      <c r="E104" s="6"/>
      <c r="F104" s="6"/>
      <c r="G104" s="6"/>
      <c r="H104" s="6"/>
      <c r="I104" s="6"/>
      <c r="J104" s="524"/>
      <c r="K104" s="524"/>
      <c r="L104" s="525"/>
      <c r="M104" s="526"/>
      <c r="N104" s="2521"/>
      <c r="O104" s="2521"/>
      <c r="P104" s="2529"/>
      <c r="Q104" s="2513"/>
      <c r="R104" s="2491"/>
      <c r="S104" s="2491"/>
      <c r="T104" s="2491"/>
      <c r="U104" s="2491"/>
      <c r="V104" s="2491"/>
      <c r="W104" s="2491"/>
      <c r="X104" s="2491"/>
      <c r="Y104" s="2491"/>
      <c r="Z104" s="2491"/>
      <c r="AA104" s="2491"/>
      <c r="AB104" s="2491"/>
      <c r="AC104" s="2491"/>
    </row>
    <row r="105" spans="1:29" s="408" customFormat="1" ht="14.4" thickBot="1">
      <c r="A105" s="484"/>
      <c r="B105" s="474"/>
      <c r="C105" s="491"/>
      <c r="D105" s="467"/>
      <c r="E105" s="467"/>
      <c r="F105" s="467"/>
      <c r="G105" s="467"/>
      <c r="H105" s="467"/>
      <c r="I105" s="467"/>
      <c r="J105" s="467"/>
      <c r="K105" s="467"/>
      <c r="L105" s="467"/>
      <c r="M105" s="468"/>
      <c r="N105" s="2520"/>
      <c r="O105" s="2520"/>
      <c r="P105" s="2529"/>
      <c r="Q105" s="2513"/>
      <c r="R105" s="2491"/>
      <c r="S105" s="2491"/>
      <c r="T105" s="2491"/>
      <c r="U105" s="2491"/>
      <c r="V105" s="2491"/>
      <c r="W105" s="2491"/>
      <c r="X105" s="2491"/>
      <c r="Y105" s="2491"/>
      <c r="Z105" s="2491"/>
      <c r="AA105" s="2491"/>
      <c r="AB105" s="2491"/>
      <c r="AC105" s="2491"/>
    </row>
    <row r="106" spans="1:29" ht="15" thickTop="1">
      <c r="A106" s="409"/>
      <c r="B106" s="469" t="s">
        <v>1738</v>
      </c>
      <c r="C106" s="485"/>
      <c r="D106" s="485"/>
      <c r="E106" s="513"/>
      <c r="F106" s="513"/>
      <c r="G106" s="513"/>
      <c r="H106" s="513"/>
      <c r="I106" s="513"/>
      <c r="J106" s="513"/>
      <c r="K106" s="514"/>
      <c r="L106" s="515"/>
      <c r="M106" s="516"/>
      <c r="N106" s="2519"/>
      <c r="O106" s="2519"/>
      <c r="P106" s="2528"/>
      <c r="Q106" s="2506"/>
      <c r="R106" s="2485"/>
      <c r="S106" s="2485"/>
      <c r="T106" s="2485"/>
      <c r="U106" s="2485"/>
      <c r="V106" s="2485"/>
      <c r="W106" s="2485"/>
      <c r="X106" s="2485"/>
      <c r="Y106" s="2485"/>
      <c r="Z106" s="2485"/>
      <c r="AA106" s="2485"/>
      <c r="AB106" s="2485"/>
      <c r="AC106" s="2485"/>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9"/>
      <c r="B108" s="469" t="s">
        <v>1740</v>
      </c>
      <c r="C108" s="485"/>
      <c r="D108" s="485"/>
      <c r="E108" s="485"/>
      <c r="F108" s="513"/>
      <c r="G108" s="513"/>
      <c r="H108" s="513"/>
      <c r="I108" s="513"/>
      <c r="J108" s="513"/>
      <c r="K108" s="514"/>
      <c r="L108" s="515"/>
      <c r="M108" s="516"/>
      <c r="N108" s="2519"/>
      <c r="O108" s="2519"/>
      <c r="P108" s="2528"/>
      <c r="Q108" s="2506"/>
      <c r="R108" s="2485"/>
      <c r="S108" s="2485"/>
      <c r="T108" s="2485"/>
      <c r="U108" s="2485"/>
      <c r="V108" s="2485"/>
      <c r="W108" s="2485"/>
      <c r="X108" s="2485"/>
      <c r="Y108" s="2485"/>
      <c r="Z108" s="2485"/>
      <c r="AA108" s="2485"/>
      <c r="AB108" s="2485"/>
      <c r="AC108" s="2485"/>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9"/>
      <c r="O110" s="2519"/>
      <c r="P110" s="2528"/>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9"/>
      <c r="O111" s="2519"/>
      <c r="P111" s="2528"/>
      <c r="Q111" s="2506"/>
      <c r="R111" s="2485"/>
      <c r="S111" s="2485"/>
      <c r="T111" s="2485"/>
      <c r="U111" s="2485"/>
      <c r="V111" s="2485"/>
      <c r="W111" s="2485"/>
      <c r="X111" s="2485"/>
      <c r="Y111" s="2485"/>
      <c r="Z111" s="2485"/>
      <c r="AA111" s="2485"/>
      <c r="AB111" s="2485"/>
      <c r="AC111" s="2485"/>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0"/>
      <c r="O112" s="2520"/>
      <c r="P112" s="2528"/>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485"/>
      <c r="D113" s="485"/>
      <c r="E113" s="485"/>
      <c r="F113" s="485"/>
      <c r="G113" s="485"/>
      <c r="H113" s="513"/>
      <c r="I113" s="513"/>
      <c r="J113" s="513"/>
      <c r="K113" s="514"/>
      <c r="L113" s="515"/>
      <c r="M113" s="516"/>
      <c r="N113" s="2521"/>
      <c r="O113" s="2521"/>
      <c r="P113" s="2529"/>
      <c r="Q113" s="2513"/>
      <c r="R113" s="2491"/>
      <c r="S113" s="2491"/>
      <c r="T113" s="2491"/>
      <c r="U113" s="2491"/>
      <c r="V113" s="2491"/>
      <c r="W113" s="2491"/>
      <c r="X113" s="2491"/>
      <c r="Y113" s="2491"/>
      <c r="Z113" s="2491"/>
      <c r="AA113" s="2491"/>
      <c r="AB113" s="2491"/>
      <c r="AC113" s="2491"/>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9"/>
      <c r="B115" s="469" t="s">
        <v>1741</v>
      </c>
      <c r="C115" s="485"/>
      <c r="D115" s="485"/>
      <c r="E115" s="513"/>
      <c r="F115" s="513"/>
      <c r="G115" s="513"/>
      <c r="H115" s="513"/>
      <c r="I115" s="513"/>
      <c r="J115" s="513"/>
      <c r="K115" s="514"/>
      <c r="L115" s="515"/>
      <c r="M115" s="516"/>
      <c r="N115" s="2519"/>
      <c r="O115" s="2519"/>
      <c r="P115" s="2528"/>
      <c r="Q115" s="2506"/>
      <c r="R115" s="2485"/>
      <c r="S115" s="2485"/>
      <c r="T115" s="2485"/>
      <c r="U115" s="2485"/>
      <c r="V115" s="2485"/>
      <c r="W115" s="2485"/>
      <c r="X115" s="2485"/>
      <c r="Y115" s="2485"/>
      <c r="Z115" s="2485"/>
      <c r="AA115" s="2485"/>
      <c r="AB115" s="2485"/>
      <c r="AC115" s="2485"/>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9"/>
      <c r="B117" s="469" t="s">
        <v>1742</v>
      </c>
      <c r="C117" s="485"/>
      <c r="D117" s="485"/>
      <c r="E117" s="485"/>
      <c r="F117" s="485"/>
      <c r="G117" s="485"/>
      <c r="H117" s="513"/>
      <c r="I117" s="513"/>
      <c r="J117" s="513"/>
      <c r="K117" s="514"/>
      <c r="L117" s="515"/>
      <c r="M117" s="516"/>
      <c r="N117" s="2519"/>
      <c r="O117" s="2519"/>
      <c r="P117" s="2528"/>
      <c r="Q117" s="2506"/>
      <c r="R117" s="2485"/>
      <c r="S117" s="2485"/>
      <c r="T117" s="2485"/>
      <c r="U117" s="2485"/>
      <c r="V117" s="2485"/>
      <c r="W117" s="2485"/>
      <c r="X117" s="2485"/>
      <c r="Y117" s="2485"/>
      <c r="Z117" s="2485"/>
      <c r="AA117" s="2485"/>
      <c r="AB117" s="2485"/>
      <c r="AC117" s="2485"/>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0"/>
      <c r="O118" s="2520"/>
      <c r="P118" s="2528"/>
      <c r="Q118" s="2506"/>
      <c r="R118" s="2485"/>
      <c r="S118" s="2485"/>
      <c r="T118" s="2485"/>
      <c r="U118" s="2485"/>
      <c r="V118" s="2485"/>
      <c r="W118" s="2485"/>
      <c r="X118" s="2485"/>
      <c r="Y118" s="2485"/>
      <c r="Z118" s="2485"/>
      <c r="AA118" s="2485"/>
      <c r="AB118" s="2485"/>
      <c r="AC118" s="2485"/>
    </row>
    <row r="119" spans="1:29" ht="15" thickTop="1">
      <c r="A119" s="409"/>
      <c r="B119" s="560" t="s">
        <v>1825</v>
      </c>
      <c r="C119" s="513"/>
      <c r="D119" s="513"/>
      <c r="E119" s="513"/>
      <c r="F119" s="513"/>
      <c r="G119" s="513"/>
      <c r="H119" s="513"/>
      <c r="I119" s="513"/>
      <c r="J119" s="513"/>
      <c r="K119" s="513"/>
      <c r="L119" s="1813"/>
      <c r="M119" s="1814"/>
      <c r="N119" s="2520"/>
      <c r="O119" s="2520"/>
      <c r="P119" s="2533"/>
      <c r="Q119" s="2534"/>
      <c r="R119" s="2485"/>
      <c r="S119" s="2485"/>
      <c r="T119" s="2485"/>
      <c r="U119" s="2485"/>
      <c r="V119" s="2485"/>
      <c r="W119" s="2485"/>
      <c r="X119" s="2485"/>
      <c r="Y119" s="2485"/>
      <c r="Z119" s="2485"/>
      <c r="AA119" s="2485"/>
      <c r="AB119" s="2485"/>
      <c r="AC119" s="2485"/>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0"/>
      <c r="O120" s="2520"/>
      <c r="P120" s="2528"/>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1"/>
      <c r="O121" s="2521"/>
      <c r="P121" s="2529"/>
      <c r="Q121" s="2513"/>
      <c r="R121" s="2491"/>
      <c r="S121" s="2491"/>
      <c r="T121" s="2491"/>
      <c r="U121" s="2491"/>
      <c r="V121" s="2491"/>
      <c r="W121" s="2491"/>
      <c r="X121" s="2491"/>
      <c r="Y121" s="2491"/>
      <c r="Z121" s="2491"/>
      <c r="AA121" s="2491"/>
      <c r="AB121" s="2491"/>
      <c r="AC121" s="2491"/>
    </row>
    <row r="122" spans="1:29" s="408" customFormat="1" ht="14.4" thickBot="1">
      <c r="A122" s="484"/>
      <c r="B122" s="466"/>
      <c r="C122" s="491"/>
      <c r="D122" s="491"/>
      <c r="E122" s="491"/>
      <c r="F122" s="491"/>
      <c r="G122" s="491"/>
      <c r="H122" s="491"/>
      <c r="I122" s="491"/>
      <c r="J122" s="491"/>
      <c r="K122" s="491"/>
      <c r="L122" s="491"/>
      <c r="M122" s="491"/>
      <c r="N122" s="2521"/>
      <c r="O122" s="2521"/>
      <c r="P122" s="2529"/>
      <c r="Q122" s="2513"/>
      <c r="R122" s="2491"/>
      <c r="S122" s="2491"/>
      <c r="T122" s="2491"/>
      <c r="U122" s="2491"/>
      <c r="V122" s="2491"/>
      <c r="W122" s="2491"/>
      <c r="X122" s="2491"/>
      <c r="Y122" s="2491"/>
      <c r="Z122" s="2491"/>
      <c r="AA122" s="2491"/>
      <c r="AB122" s="2491"/>
      <c r="AC122" s="2491"/>
    </row>
    <row r="123" spans="1:29" ht="15" thickTop="1">
      <c r="A123" s="409"/>
      <c r="B123" s="469" t="s">
        <v>1744</v>
      </c>
      <c r="C123" s="485"/>
      <c r="D123" s="485"/>
      <c r="E123" s="485"/>
      <c r="F123" s="513"/>
      <c r="G123" s="513"/>
      <c r="H123" s="513"/>
      <c r="I123" s="513"/>
      <c r="J123" s="513"/>
      <c r="K123" s="514"/>
      <c r="L123" s="515"/>
      <c r="M123" s="516"/>
      <c r="N123" s="2519"/>
      <c r="O123" s="2519"/>
      <c r="P123" s="2528"/>
      <c r="Q123" s="2506"/>
      <c r="R123" s="2485"/>
      <c r="S123" s="2485"/>
      <c r="T123" s="2485"/>
      <c r="U123" s="2485"/>
      <c r="V123" s="2485"/>
      <c r="W123" s="2485"/>
      <c r="X123" s="2485"/>
      <c r="Y123" s="2485"/>
      <c r="Z123" s="2485"/>
      <c r="AA123" s="2485"/>
      <c r="AB123" s="2485"/>
      <c r="AC123" s="2485"/>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0"/>
      <c r="O124" s="2520"/>
      <c r="P124" s="2528"/>
      <c r="Q124" s="2506"/>
      <c r="R124" s="2485"/>
      <c r="S124" s="2485"/>
      <c r="T124" s="2485"/>
      <c r="U124" s="2485"/>
      <c r="V124" s="2485"/>
      <c r="W124" s="2485"/>
      <c r="X124" s="2485"/>
      <c r="Y124" s="2485"/>
      <c r="Z124" s="2485"/>
      <c r="AA124" s="2485"/>
      <c r="AB124" s="2485"/>
      <c r="AC124" s="2485"/>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19"/>
      <c r="O125" s="2519"/>
      <c r="P125" s="2529"/>
      <c r="Q125" s="2506"/>
      <c r="R125" s="2485"/>
      <c r="S125" s="2485"/>
      <c r="T125" s="2485"/>
      <c r="U125" s="2485"/>
      <c r="V125" s="2485"/>
      <c r="W125" s="2485"/>
      <c r="X125" s="2485"/>
      <c r="Y125" s="2485"/>
      <c r="Z125" s="2485"/>
      <c r="AA125" s="2485"/>
      <c r="AB125" s="2485"/>
      <c r="AC125" s="2485"/>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0"/>
      <c r="O126" s="2520"/>
      <c r="P126" s="2528"/>
      <c r="Q126" s="2506"/>
      <c r="R126" s="2485"/>
      <c r="S126" s="2485"/>
      <c r="T126" s="2485"/>
      <c r="U126" s="2485"/>
      <c r="V126" s="2485"/>
      <c r="W126" s="2485"/>
      <c r="X126" s="2485"/>
      <c r="Y126" s="2485"/>
      <c r="Z126" s="2485"/>
      <c r="AA126" s="2485"/>
      <c r="AB126" s="2485"/>
      <c r="AC126" s="2485"/>
    </row>
    <row r="127" spans="1:29" s="408" customFormat="1" ht="14.4" thickTop="1">
      <c r="A127" s="406"/>
      <c r="B127" s="469">
        <f>B45</f>
        <v>111</v>
      </c>
      <c r="C127" s="485"/>
      <c r="D127" s="485"/>
      <c r="E127" s="485"/>
      <c r="F127" s="485"/>
      <c r="G127" s="485"/>
      <c r="H127" s="486"/>
      <c r="I127" s="486"/>
      <c r="J127" s="486"/>
      <c r="K127" s="486"/>
      <c r="L127" s="487"/>
      <c r="M127" s="488"/>
      <c r="N127" s="2521"/>
      <c r="O127" s="2521"/>
      <c r="P127" s="2529"/>
      <c r="Q127" s="2513"/>
      <c r="R127" s="2491"/>
      <c r="S127" s="2491"/>
      <c r="T127" s="2491"/>
      <c r="U127" s="2491"/>
      <c r="V127" s="2491"/>
      <c r="W127" s="2491"/>
      <c r="X127" s="2491"/>
      <c r="Y127" s="2491"/>
      <c r="Z127" s="2491"/>
      <c r="AA127" s="2491"/>
      <c r="AB127" s="2491"/>
      <c r="AC127" s="2491"/>
    </row>
    <row r="128" spans="1:29" s="408" customFormat="1" ht="14.4" thickBot="1">
      <c r="A128" s="484"/>
      <c r="B128" s="474"/>
      <c r="C128" s="491"/>
      <c r="D128" s="467"/>
      <c r="E128" s="467"/>
      <c r="F128" s="467"/>
      <c r="G128" s="491"/>
      <c r="H128" s="493"/>
      <c r="I128" s="493"/>
      <c r="J128" s="493"/>
      <c r="K128" s="493"/>
      <c r="L128" s="493"/>
      <c r="M128" s="494"/>
      <c r="N128" s="2521"/>
      <c r="O128" s="2521"/>
      <c r="P128" s="2529"/>
      <c r="Q128" s="2513"/>
      <c r="R128" s="2491"/>
      <c r="S128" s="2491"/>
      <c r="T128" s="2491"/>
      <c r="U128" s="2491"/>
      <c r="V128" s="2491"/>
      <c r="W128" s="2491"/>
      <c r="X128" s="2491"/>
      <c r="Y128" s="2491"/>
      <c r="Z128" s="2491"/>
      <c r="AA128" s="2491"/>
      <c r="AB128" s="2491"/>
      <c r="AC128" s="2491"/>
    </row>
    <row r="129" spans="1:29" ht="14.4" thickTop="1">
      <c r="A129" s="409"/>
      <c r="B129" s="469">
        <f>B46</f>
        <v>111</v>
      </c>
      <c r="C129" s="485"/>
      <c r="D129" s="485"/>
      <c r="E129" s="485"/>
      <c r="F129" s="485"/>
      <c r="G129" s="513"/>
      <c r="H129" s="513"/>
      <c r="I129" s="513"/>
      <c r="J129" s="513"/>
      <c r="K129" s="514"/>
      <c r="L129" s="515"/>
      <c r="M129" s="516"/>
      <c r="N129" s="2519"/>
      <c r="O129" s="2519"/>
      <c r="P129" s="2528"/>
      <c r="Q129" s="2506"/>
      <c r="R129" s="2485"/>
      <c r="S129" s="2485"/>
      <c r="T129" s="2485"/>
      <c r="U129" s="2485"/>
      <c r="V129" s="2485"/>
      <c r="W129" s="2485"/>
      <c r="X129" s="2485"/>
      <c r="Y129" s="2485"/>
      <c r="Z129" s="2485"/>
      <c r="AA129" s="2485"/>
      <c r="AB129" s="2485"/>
      <c r="AC129" s="2485"/>
    </row>
    <row r="130" spans="1:29" ht="14.4" thickBot="1">
      <c r="A130" s="367"/>
      <c r="B130" s="474"/>
      <c r="C130" s="491"/>
      <c r="D130" s="491"/>
      <c r="E130" s="491"/>
      <c r="F130" s="491"/>
      <c r="G130" s="467"/>
      <c r="H130" s="467"/>
      <c r="I130" s="467"/>
      <c r="J130" s="467"/>
      <c r="K130" s="467"/>
      <c r="L130" s="467"/>
      <c r="M130" s="468"/>
      <c r="N130" s="2520"/>
      <c r="O130" s="2520"/>
      <c r="P130" s="2528"/>
      <c r="Q130" s="2506"/>
      <c r="R130" s="2485"/>
      <c r="S130" s="2485"/>
      <c r="T130" s="2485"/>
      <c r="U130" s="2485"/>
      <c r="V130" s="2485"/>
      <c r="W130" s="2485"/>
      <c r="X130" s="2485"/>
      <c r="Y130" s="2485"/>
      <c r="Z130" s="2485"/>
      <c r="AA130" s="2485"/>
      <c r="AB130" s="2485"/>
      <c r="AC130" s="2485"/>
    </row>
    <row r="131" spans="1:29" ht="14.4" thickTop="1">
      <c r="A131" s="409"/>
      <c r="B131" s="477">
        <f>B47</f>
        <v>111</v>
      </c>
      <c r="C131" s="31"/>
      <c r="D131" s="31"/>
      <c r="E131" s="31"/>
      <c r="F131" s="31"/>
      <c r="G131" s="517"/>
      <c r="H131" s="517"/>
      <c r="I131" s="517"/>
      <c r="J131" s="517"/>
      <c r="K131" s="31"/>
      <c r="L131" s="457"/>
      <c r="M131" s="520"/>
      <c r="N131" s="2519"/>
      <c r="O131" s="2519"/>
      <c r="P131" s="2528"/>
      <c r="Q131" s="2506"/>
      <c r="R131" s="2485"/>
      <c r="S131" s="2485"/>
      <c r="T131" s="2485"/>
      <c r="U131" s="2485"/>
      <c r="V131" s="2485"/>
      <c r="W131" s="2485"/>
      <c r="X131" s="2485"/>
      <c r="Y131" s="2485"/>
      <c r="Z131" s="2485"/>
      <c r="AA131" s="2485"/>
      <c r="AB131" s="2485"/>
      <c r="AC131" s="2485"/>
    </row>
    <row r="132" spans="1:29" ht="14.4" thickBot="1">
      <c r="A132" s="375"/>
      <c r="B132" s="500"/>
      <c r="C132" s="501"/>
      <c r="D132" s="501"/>
      <c r="E132" s="501"/>
      <c r="F132" s="501"/>
      <c r="G132" s="521"/>
      <c r="H132" s="521"/>
      <c r="I132" s="521"/>
      <c r="J132" s="521"/>
      <c r="K132" s="521"/>
      <c r="L132" s="521"/>
      <c r="M132" s="522"/>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5" t="s">
        <v>1826</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57.2</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417" t="s">
        <v>1770</v>
      </c>
      <c r="D4" s="3418"/>
      <c r="E4" s="3419" t="s">
        <v>1771</v>
      </c>
      <c r="F4" s="3420"/>
      <c r="G4" s="3417" t="s">
        <v>1772</v>
      </c>
      <c r="H4" s="3418"/>
      <c r="I4" s="3417" t="s">
        <v>1773</v>
      </c>
      <c r="J4" s="3418"/>
      <c r="K4" s="537" t="s">
        <v>1774</v>
      </c>
      <c r="L4" s="860"/>
      <c r="M4" s="861"/>
      <c r="N4" s="861"/>
      <c r="O4" s="861"/>
      <c r="P4" s="3421" t="s">
        <v>1775</v>
      </c>
      <c r="Q4" s="3422"/>
      <c r="R4" s="3404" t="s">
        <v>1771</v>
      </c>
      <c r="S4" s="3405"/>
      <c r="T4" s="3404" t="s">
        <v>1772</v>
      </c>
      <c r="U4" s="3405"/>
      <c r="V4" s="3429" t="s">
        <v>1773</v>
      </c>
      <c r="W4" s="3429"/>
      <c r="X4" s="1265"/>
      <c r="Y4" s="3404" t="s">
        <v>1775</v>
      </c>
      <c r="Z4" s="3405"/>
      <c r="AA4" s="3399" t="s">
        <v>1771</v>
      </c>
      <c r="AB4" s="3400" t="s">
        <v>1772</v>
      </c>
      <c r="AC4" s="3399" t="s">
        <v>1773</v>
      </c>
    </row>
    <row r="5" spans="1:29">
      <c r="A5" s="348"/>
      <c r="B5" s="349"/>
      <c r="C5" s="3410" t="s">
        <v>1673</v>
      </c>
      <c r="D5" s="3411"/>
      <c r="E5" s="3408" t="s">
        <v>1674</v>
      </c>
      <c r="F5" s="3409"/>
      <c r="G5" s="3410" t="s">
        <v>1675</v>
      </c>
      <c r="H5" s="3411"/>
      <c r="I5" s="3410" t="s">
        <v>1676</v>
      </c>
      <c r="J5" s="3411"/>
      <c r="K5" s="537"/>
      <c r="L5" s="860"/>
      <c r="M5" s="861"/>
      <c r="N5" s="861"/>
      <c r="O5" s="861"/>
      <c r="P5" s="3423"/>
      <c r="Q5" s="3424"/>
      <c r="R5" s="3406"/>
      <c r="S5" s="3407"/>
      <c r="T5" s="3406"/>
      <c r="U5" s="3407"/>
      <c r="V5" s="3429"/>
      <c r="W5" s="3429"/>
      <c r="X5" s="1265"/>
      <c r="Y5" s="3406"/>
      <c r="Z5" s="3407"/>
      <c r="AA5" s="3400"/>
      <c r="AB5" s="3400"/>
      <c r="AC5" s="3400"/>
    </row>
    <row r="6" spans="1:29" ht="15" thickBot="1">
      <c r="A6" s="350"/>
      <c r="B6" s="351"/>
      <c r="C6" s="3412" t="s">
        <v>1677</v>
      </c>
      <c r="D6" s="3413"/>
      <c r="E6" s="3414" t="s">
        <v>1677</v>
      </c>
      <c r="F6" s="3415"/>
      <c r="G6" s="3412" t="s">
        <v>1677</v>
      </c>
      <c r="H6" s="3413"/>
      <c r="I6" s="3412" t="s">
        <v>1677</v>
      </c>
      <c r="J6" s="3413"/>
      <c r="K6" s="537" t="s">
        <v>1678</v>
      </c>
      <c r="L6" s="860"/>
      <c r="M6" s="861"/>
      <c r="N6" s="861"/>
      <c r="O6" s="861"/>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c r="F7" s="357">
        <f>SUMIF(52:52,YEAR(E7)&amp;"-"&amp;MONTH(E7),53:53)</f>
        <v>0</v>
      </c>
      <c r="G7" s="356"/>
      <c r="H7" s="355">
        <f>SUMIF(52:52,YEAR(G7)&amp;"-"&amp;MONTH(G7),53:53)</f>
        <v>0</v>
      </c>
      <c r="I7" s="356"/>
      <c r="J7" s="355">
        <f>SUMIF(52:52,YEAR(I7)&amp;"-"&amp;MONTH(I7),53:53)</f>
        <v>0</v>
      </c>
      <c r="K7" s="38"/>
      <c r="L7" s="862"/>
      <c r="M7" s="863"/>
      <c r="N7" s="863"/>
      <c r="O7" s="863"/>
      <c r="P7" s="3402" t="s">
        <v>1680</v>
      </c>
      <c r="Q7" s="3430"/>
      <c r="R7" s="664" t="s">
        <v>14</v>
      </c>
      <c r="S7" s="665">
        <f t="shared" ref="S7:S15" si="0">F7</f>
        <v>0</v>
      </c>
      <c r="T7" s="664" t="s">
        <v>14</v>
      </c>
      <c r="U7" s="665">
        <f t="shared" ref="U7:U15" si="1">H7</f>
        <v>0</v>
      </c>
      <c r="V7" s="664" t="s">
        <v>14</v>
      </c>
      <c r="W7" s="665">
        <f t="shared" ref="W7:W15" si="2">J7</f>
        <v>0</v>
      </c>
      <c r="X7" s="666"/>
      <c r="Y7" s="3402" t="s">
        <v>1680</v>
      </c>
      <c r="Z7" s="3403"/>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02" t="s">
        <v>1683</v>
      </c>
      <c r="Q8" s="3403"/>
      <c r="R8" s="664" t="s">
        <v>14</v>
      </c>
      <c r="S8" s="665">
        <f t="shared" si="0"/>
        <v>100</v>
      </c>
      <c r="T8" s="664" t="s">
        <v>14</v>
      </c>
      <c r="U8" s="665">
        <f t="shared" si="1"/>
        <v>100</v>
      </c>
      <c r="V8" s="664" t="s">
        <v>14</v>
      </c>
      <c r="W8" s="665">
        <f t="shared" si="2"/>
        <v>100</v>
      </c>
      <c r="X8" s="666"/>
      <c r="Y8" s="3402" t="s">
        <v>1683</v>
      </c>
      <c r="Z8" s="3403"/>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34"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0"/>
      <c r="F10" s="119">
        <f>SUMIF(59:59,E10,60:60)-SUMIF(59:59,C10,60:60)+100</f>
        <v>100</v>
      </c>
      <c r="G10" s="3131"/>
      <c r="H10" s="119">
        <f>SUMIF(59:59,G10,60:60)-SUMIF(59:59,C10,60:60)+100</f>
        <v>100</v>
      </c>
      <c r="I10" s="3130"/>
      <c r="J10" s="119">
        <f>SUMIF(59:59,I10,60:60)-SUMIF(59:59,C10,60:60)+100</f>
        <v>100</v>
      </c>
      <c r="K10" s="38"/>
      <c r="L10" s="865"/>
      <c r="M10" s="866"/>
      <c r="N10" s="866"/>
      <c r="O10" s="867"/>
      <c r="P10" s="3434"/>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34"/>
      <c r="Q11" s="530" t="str">
        <f t="shared" si="6"/>
        <v>容积率</v>
      </c>
      <c r="R11" s="664" t="s">
        <v>14</v>
      </c>
      <c r="S11" s="665">
        <f t="shared" si="0"/>
        <v>100</v>
      </c>
      <c r="T11" s="664" t="s">
        <v>14</v>
      </c>
      <c r="U11" s="665">
        <f t="shared" si="1"/>
        <v>100</v>
      </c>
      <c r="V11" s="664" t="s">
        <v>14</v>
      </c>
      <c r="W11" s="665">
        <f t="shared" si="2"/>
        <v>100</v>
      </c>
      <c r="X11" s="666"/>
      <c r="Y11" s="334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5"/>
      <c r="H12" s="119">
        <f>SUMIF(64:64,G12,65:65)-SUMIF(64:64,C12,65:65)+100</f>
        <v>100</v>
      </c>
      <c r="I12" s="407"/>
      <c r="J12" s="119">
        <f>SUMIF(64:64,I12,65:65)-SUMIF(64:64,C12,65:65)+100</f>
        <v>100</v>
      </c>
      <c r="K12" s="539"/>
      <c r="L12" s="862"/>
      <c r="M12" s="863"/>
      <c r="N12" s="863"/>
      <c r="O12" s="864"/>
      <c r="P12" s="3434"/>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5"/>
      <c r="H13" s="374">
        <f>SUMIF(66:66,G13,67:67)-SUMIF(66:66,C13,67:67)+100</f>
        <v>100</v>
      </c>
      <c r="I13" s="407"/>
      <c r="J13" s="374">
        <f>SUMIF(66:66,I13,67:67)-SUMIF(66:66,C13,67:67)+100</f>
        <v>100</v>
      </c>
      <c r="K13" s="539"/>
      <c r="L13" s="870"/>
      <c r="M13" s="861"/>
      <c r="N13" s="861"/>
      <c r="O13" s="869"/>
      <c r="P13" s="3434"/>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50">
        <f t="shared" si="5"/>
        <v>1</v>
      </c>
    </row>
    <row r="14" spans="1:29" ht="15.6" thickBot="1">
      <c r="A14" s="375"/>
      <c r="B14" s="1748">
        <v>111</v>
      </c>
      <c r="C14" s="376"/>
      <c r="D14" s="377">
        <v>100</v>
      </c>
      <c r="E14" s="376"/>
      <c r="F14" s="377">
        <f>SUMIF(68:68,E14,69:69)-SUMIF(68:68,C14,69:69)+100</f>
        <v>100</v>
      </c>
      <c r="G14" s="1815"/>
      <c r="H14" s="377">
        <f>SUMIF(68:68,G14,69:69)-SUMIF(68:68,C14,69:69)+100</f>
        <v>100</v>
      </c>
      <c r="I14" s="407"/>
      <c r="J14" s="377">
        <f>SUMIF(68:68,I14,69:69)-SUMIF(68:68,C14,69:69)+100</f>
        <v>100</v>
      </c>
      <c r="K14" s="539"/>
      <c r="L14" s="870"/>
      <c r="M14" s="861"/>
      <c r="N14" s="861"/>
      <c r="O14" s="869"/>
      <c r="P14" s="3434"/>
      <c r="Q14" s="530">
        <f t="shared" si="6"/>
        <v>111</v>
      </c>
      <c r="R14" s="664" t="s">
        <v>14</v>
      </c>
      <c r="S14" s="665">
        <f t="shared" si="0"/>
        <v>100</v>
      </c>
      <c r="T14" s="664" t="s">
        <v>14</v>
      </c>
      <c r="U14" s="665">
        <f t="shared" si="1"/>
        <v>100</v>
      </c>
      <c r="V14" s="664" t="s">
        <v>14</v>
      </c>
      <c r="W14" s="665">
        <f t="shared" si="2"/>
        <v>100</v>
      </c>
      <c r="X14" s="666"/>
      <c r="Y14" s="3345"/>
      <c r="Z14" s="50">
        <f t="shared" si="7"/>
        <v>111</v>
      </c>
      <c r="AA14" s="50">
        <f t="shared" si="3"/>
        <v>1</v>
      </c>
      <c r="AB14" s="50">
        <f t="shared" si="4"/>
        <v>1</v>
      </c>
      <c r="AC14" s="50">
        <f t="shared" si="5"/>
        <v>1</v>
      </c>
    </row>
    <row r="15" spans="1:29" ht="69">
      <c r="A15" s="379" t="s">
        <v>1690</v>
      </c>
      <c r="B15" s="58" t="s">
        <v>1827</v>
      </c>
      <c r="C15" s="1816"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35" t="s">
        <v>1691</v>
      </c>
      <c r="Q15" s="1263" t="str">
        <f t="shared" si="6"/>
        <v>产业集聚程度</v>
      </c>
      <c r="R15" s="667" t="s">
        <v>14</v>
      </c>
      <c r="S15" s="668">
        <f t="shared" si="0"/>
        <v>100</v>
      </c>
      <c r="T15" s="667" t="s">
        <v>14</v>
      </c>
      <c r="U15" s="668">
        <f t="shared" si="1"/>
        <v>100</v>
      </c>
      <c r="V15" s="667" t="s">
        <v>14</v>
      </c>
      <c r="W15" s="668">
        <f t="shared" si="2"/>
        <v>100</v>
      </c>
      <c r="X15" s="1265"/>
      <c r="Y15" s="3435"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36"/>
      <c r="Q16" s="1263"/>
      <c r="R16" s="667"/>
      <c r="S16" s="668"/>
      <c r="T16" s="667"/>
      <c r="U16" s="668"/>
      <c r="V16" s="667"/>
      <c r="W16" s="668"/>
      <c r="X16" s="1265"/>
      <c r="Y16" s="3436"/>
      <c r="Z16" s="1264"/>
      <c r="AA16" s="1264">
        <v>1</v>
      </c>
      <c r="AB16" s="1264">
        <v>1</v>
      </c>
      <c r="AC16" s="1264">
        <v>1</v>
      </c>
    </row>
    <row r="17" spans="1:29" ht="96.6">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36"/>
      <c r="Q17" s="1263" t="str">
        <f>B17</f>
        <v>交通便捷度</v>
      </c>
      <c r="R17" s="667" t="s">
        <v>14</v>
      </c>
      <c r="S17" s="668">
        <f>F17</f>
        <v>100</v>
      </c>
      <c r="T17" s="667" t="s">
        <v>14</v>
      </c>
      <c r="U17" s="668">
        <f>H17</f>
        <v>100</v>
      </c>
      <c r="V17" s="667" t="s">
        <v>14</v>
      </c>
      <c r="W17" s="668">
        <f>J17</f>
        <v>100</v>
      </c>
      <c r="X17" s="1265"/>
      <c r="Y17" s="3436"/>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870"/>
      <c r="M18" s="861"/>
      <c r="N18" s="861"/>
      <c r="O18" s="869"/>
      <c r="P18" s="3436"/>
      <c r="Q18" s="1263"/>
      <c r="R18" s="667"/>
      <c r="S18" s="668"/>
      <c r="T18" s="667"/>
      <c r="U18" s="668"/>
      <c r="V18" s="667"/>
      <c r="W18" s="668"/>
      <c r="X18" s="1265"/>
      <c r="Y18" s="3436"/>
      <c r="Z18" s="1264"/>
      <c r="AA18" s="1264">
        <v>1</v>
      </c>
      <c r="AB18" s="1264">
        <v>1</v>
      </c>
      <c r="AC18" s="1264">
        <v>1</v>
      </c>
    </row>
    <row r="19" spans="1:29" ht="41.4">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36"/>
      <c r="Q19" s="1263" t="str">
        <f>B19</f>
        <v>公共配套设施</v>
      </c>
      <c r="R19" s="667" t="s">
        <v>14</v>
      </c>
      <c r="S19" s="668">
        <f>F19</f>
        <v>100</v>
      </c>
      <c r="T19" s="667" t="s">
        <v>14</v>
      </c>
      <c r="U19" s="668">
        <f>H19</f>
        <v>100</v>
      </c>
      <c r="V19" s="667" t="s">
        <v>14</v>
      </c>
      <c r="W19" s="668">
        <f>J19</f>
        <v>100</v>
      </c>
      <c r="X19" s="1265"/>
      <c r="Y19" s="3436"/>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870"/>
      <c r="M20" s="861"/>
      <c r="N20" s="861"/>
      <c r="O20" s="869"/>
      <c r="P20" s="3436"/>
      <c r="Q20" s="1263"/>
      <c r="R20" s="667"/>
      <c r="S20" s="668"/>
      <c r="T20" s="667"/>
      <c r="U20" s="668"/>
      <c r="V20" s="667"/>
      <c r="W20" s="668"/>
      <c r="X20" s="1265"/>
      <c r="Y20" s="3436"/>
      <c r="Z20" s="1264"/>
      <c r="AA20" s="1264">
        <v>1</v>
      </c>
      <c r="AB20" s="1264">
        <v>1</v>
      </c>
      <c r="AC20" s="1264">
        <v>1</v>
      </c>
    </row>
    <row r="21" spans="1:29" ht="41.4">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36"/>
      <c r="Q21" s="1263" t="str">
        <f>B21</f>
        <v>基础设施水平</v>
      </c>
      <c r="R21" s="667" t="s">
        <v>14</v>
      </c>
      <c r="S21" s="668">
        <f>F21</f>
        <v>100</v>
      </c>
      <c r="T21" s="667" t="s">
        <v>14</v>
      </c>
      <c r="U21" s="668">
        <f>H21</f>
        <v>100</v>
      </c>
      <c r="V21" s="667" t="s">
        <v>14</v>
      </c>
      <c r="W21" s="668">
        <f>J21</f>
        <v>100</v>
      </c>
      <c r="X21" s="1265"/>
      <c r="Y21" s="3436"/>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870"/>
      <c r="M22" s="861"/>
      <c r="N22" s="861"/>
      <c r="O22" s="869"/>
      <c r="P22" s="3436"/>
      <c r="Q22" s="1263"/>
      <c r="R22" s="667"/>
      <c r="S22" s="668"/>
      <c r="T22" s="667"/>
      <c r="U22" s="668"/>
      <c r="V22" s="667"/>
      <c r="W22" s="668"/>
      <c r="X22" s="1265"/>
      <c r="Y22" s="3436"/>
      <c r="Z22" s="1264"/>
      <c r="AA22" s="1264">
        <v>1</v>
      </c>
      <c r="AB22" s="1264">
        <v>1</v>
      </c>
      <c r="AC22" s="1264">
        <v>1</v>
      </c>
    </row>
    <row r="23" spans="1:29" ht="82.8">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36"/>
      <c r="Q23" s="1263" t="str">
        <f>B23</f>
        <v>环境质量</v>
      </c>
      <c r="R23" s="667" t="s">
        <v>14</v>
      </c>
      <c r="S23" s="668">
        <f>F23</f>
        <v>100</v>
      </c>
      <c r="T23" s="667" t="s">
        <v>14</v>
      </c>
      <c r="U23" s="668">
        <f>H23</f>
        <v>100</v>
      </c>
      <c r="V23" s="667" t="s">
        <v>14</v>
      </c>
      <c r="W23" s="668">
        <f>J23</f>
        <v>100</v>
      </c>
      <c r="X23" s="1265"/>
      <c r="Y23" s="3436"/>
      <c r="Z23" s="1264" t="str">
        <f>Q23</f>
        <v>环境质量</v>
      </c>
      <c r="AA23" s="1264">
        <f t="shared" si="3"/>
        <v>1</v>
      </c>
      <c r="AB23" s="1264">
        <f t="shared" si="4"/>
        <v>1</v>
      </c>
      <c r="AC23" s="1264">
        <f t="shared" si="5"/>
        <v>1</v>
      </c>
    </row>
    <row r="24" spans="1:29" ht="15">
      <c r="A24" s="367"/>
      <c r="B24" s="586"/>
      <c r="C24" s="386"/>
      <c r="D24" s="387"/>
      <c r="E24" s="1751"/>
      <c r="F24" s="388"/>
      <c r="G24" s="1750"/>
      <c r="H24" s="387"/>
      <c r="I24" s="1751"/>
      <c r="J24" s="387"/>
      <c r="K24" s="541"/>
      <c r="L24" s="870"/>
      <c r="M24" s="861"/>
      <c r="N24" s="861"/>
      <c r="O24" s="869"/>
      <c r="P24" s="3436"/>
      <c r="Q24" s="1263"/>
      <c r="R24" s="667"/>
      <c r="S24" s="668"/>
      <c r="T24" s="667"/>
      <c r="U24" s="668"/>
      <c r="V24" s="667"/>
      <c r="W24" s="668"/>
      <c r="X24" s="1265"/>
      <c r="Y24" s="3436"/>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36"/>
      <c r="Q25" s="1263">
        <f>B25</f>
        <v>111</v>
      </c>
      <c r="R25" s="667" t="s">
        <v>14</v>
      </c>
      <c r="S25" s="668">
        <f>F25</f>
        <v>100</v>
      </c>
      <c r="T25" s="667" t="s">
        <v>14</v>
      </c>
      <c r="U25" s="668">
        <f>H25</f>
        <v>100</v>
      </c>
      <c r="V25" s="667" t="s">
        <v>14</v>
      </c>
      <c r="W25" s="668">
        <f>J25</f>
        <v>100</v>
      </c>
      <c r="X25" s="1265"/>
      <c r="Y25" s="3436"/>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36"/>
      <c r="Q26" s="1263">
        <f t="shared" ref="Q26:Q40" si="11">B26</f>
        <v>111</v>
      </c>
      <c r="R26" s="667" t="s">
        <v>14</v>
      </c>
      <c r="S26" s="668">
        <f>F26</f>
        <v>100</v>
      </c>
      <c r="T26" s="667" t="s">
        <v>14</v>
      </c>
      <c r="U26" s="668">
        <f>H26</f>
        <v>100</v>
      </c>
      <c r="V26" s="667" t="s">
        <v>14</v>
      </c>
      <c r="W26" s="668">
        <f>J26</f>
        <v>100</v>
      </c>
      <c r="X26" s="1265"/>
      <c r="Y26" s="3436"/>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36"/>
      <c r="Q27" s="530">
        <f t="shared" si="11"/>
        <v>111</v>
      </c>
      <c r="R27" s="664" t="s">
        <v>14</v>
      </c>
      <c r="S27" s="665">
        <f>F27</f>
        <v>100</v>
      </c>
      <c r="T27" s="664" t="s">
        <v>14</v>
      </c>
      <c r="U27" s="665">
        <f>H27</f>
        <v>100</v>
      </c>
      <c r="V27" s="664" t="s">
        <v>14</v>
      </c>
      <c r="W27" s="665">
        <f>J27</f>
        <v>100</v>
      </c>
      <c r="X27" s="666"/>
      <c r="Y27" s="3436"/>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36"/>
      <c r="Q28" s="1263">
        <f t="shared" si="11"/>
        <v>111</v>
      </c>
      <c r="R28" s="667" t="s">
        <v>14</v>
      </c>
      <c r="S28" s="668">
        <f t="shared" ref="S28:S40" si="12">F28</f>
        <v>100</v>
      </c>
      <c r="T28" s="667" t="s">
        <v>14</v>
      </c>
      <c r="U28" s="668">
        <f t="shared" ref="U28:U40" si="13">H28</f>
        <v>100</v>
      </c>
      <c r="V28" s="667" t="s">
        <v>14</v>
      </c>
      <c r="W28" s="668">
        <f t="shared" ref="W28:W40" si="14">J28</f>
        <v>100</v>
      </c>
      <c r="X28" s="1265"/>
      <c r="Y28" s="3436"/>
      <c r="Z28" s="1264">
        <f t="shared" ref="Z28:Z40" si="15">Q28</f>
        <v>111</v>
      </c>
      <c r="AA28" s="1264">
        <f t="shared" si="3"/>
        <v>1</v>
      </c>
      <c r="AB28" s="1264">
        <f t="shared" si="4"/>
        <v>1</v>
      </c>
      <c r="AC28" s="1264">
        <f t="shared" si="5"/>
        <v>1</v>
      </c>
    </row>
    <row r="29" spans="1:29" ht="30">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459" t="s">
        <v>1696</v>
      </c>
      <c r="Q29" s="1263" t="str">
        <f t="shared" si="11"/>
        <v>建筑类型</v>
      </c>
      <c r="R29" s="667" t="s">
        <v>14</v>
      </c>
      <c r="S29" s="668">
        <f t="shared" si="12"/>
        <v>100</v>
      </c>
      <c r="T29" s="667" t="s">
        <v>14</v>
      </c>
      <c r="U29" s="668">
        <f t="shared" si="13"/>
        <v>100</v>
      </c>
      <c r="V29" s="667" t="s">
        <v>14</v>
      </c>
      <c r="W29" s="668">
        <f t="shared" si="14"/>
        <v>100</v>
      </c>
      <c r="X29" s="1265"/>
      <c r="Y29" s="3440"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40"/>
      <c r="Q30" s="531" t="str">
        <f t="shared" si="11"/>
        <v>项目建筑规模</v>
      </c>
      <c r="R30" s="669" t="s">
        <v>14</v>
      </c>
      <c r="S30" s="670" t="e">
        <f t="shared" si="12"/>
        <v>#N/A</v>
      </c>
      <c r="T30" s="669" t="s">
        <v>14</v>
      </c>
      <c r="U30" s="670" t="e">
        <f t="shared" si="13"/>
        <v>#N/A</v>
      </c>
      <c r="V30" s="669" t="s">
        <v>14</v>
      </c>
      <c r="W30" s="670" t="e">
        <f t="shared" si="14"/>
        <v>#N/A</v>
      </c>
      <c r="X30" s="671"/>
      <c r="Y30" s="3440"/>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40"/>
      <c r="Q31" s="1263" t="str">
        <f t="shared" si="11"/>
        <v>建筑结构</v>
      </c>
      <c r="R31" s="667" t="s">
        <v>14</v>
      </c>
      <c r="S31" s="668">
        <f t="shared" si="12"/>
        <v>100</v>
      </c>
      <c r="T31" s="667" t="s">
        <v>14</v>
      </c>
      <c r="U31" s="668">
        <f t="shared" si="13"/>
        <v>100</v>
      </c>
      <c r="V31" s="667" t="s">
        <v>14</v>
      </c>
      <c r="W31" s="668">
        <f t="shared" si="14"/>
        <v>100</v>
      </c>
      <c r="X31" s="1265"/>
      <c r="Y31" s="3440"/>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40"/>
      <c r="Q32" s="1263" t="str">
        <f t="shared" si="11"/>
        <v>公共部分装修</v>
      </c>
      <c r="R32" s="667" t="s">
        <v>14</v>
      </c>
      <c r="S32" s="668">
        <f t="shared" si="12"/>
        <v>100</v>
      </c>
      <c r="T32" s="667" t="s">
        <v>14</v>
      </c>
      <c r="U32" s="668">
        <f t="shared" si="13"/>
        <v>100</v>
      </c>
      <c r="V32" s="667" t="s">
        <v>14</v>
      </c>
      <c r="W32" s="668">
        <f t="shared" si="14"/>
        <v>100</v>
      </c>
      <c r="X32" s="1265"/>
      <c r="Y32" s="3440"/>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40"/>
      <c r="Q33" s="1263" t="str">
        <f t="shared" si="11"/>
        <v>成新度</v>
      </c>
      <c r="R33" s="667" t="s">
        <v>14</v>
      </c>
      <c r="S33" s="668" t="e">
        <f t="shared" si="12"/>
        <v>#N/A</v>
      </c>
      <c r="T33" s="667" t="s">
        <v>14</v>
      </c>
      <c r="U33" s="668" t="e">
        <f t="shared" si="13"/>
        <v>#N/A</v>
      </c>
      <c r="V33" s="667" t="s">
        <v>14</v>
      </c>
      <c r="W33" s="668" t="e">
        <f t="shared" si="14"/>
        <v>#N/A</v>
      </c>
      <c r="X33" s="1265"/>
      <c r="Y33" s="3440"/>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40"/>
      <c r="Q34" s="530" t="str">
        <f t="shared" si="11"/>
        <v>物业管理</v>
      </c>
      <c r="R34" s="664" t="s">
        <v>14</v>
      </c>
      <c r="S34" s="665">
        <f t="shared" si="12"/>
        <v>100</v>
      </c>
      <c r="T34" s="664" t="s">
        <v>14</v>
      </c>
      <c r="U34" s="665">
        <f t="shared" si="13"/>
        <v>100</v>
      </c>
      <c r="V34" s="664" t="s">
        <v>14</v>
      </c>
      <c r="W34" s="665">
        <f t="shared" si="14"/>
        <v>100</v>
      </c>
      <c r="X34" s="666"/>
      <c r="Y34" s="3440"/>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40" t="s">
        <v>1696</v>
      </c>
      <c r="Q35" s="1263" t="str">
        <f t="shared" si="11"/>
        <v>市政基础设施</v>
      </c>
      <c r="R35" s="667" t="s">
        <v>14</v>
      </c>
      <c r="S35" s="668">
        <f t="shared" si="12"/>
        <v>100</v>
      </c>
      <c r="T35" s="667" t="s">
        <v>14</v>
      </c>
      <c r="U35" s="668">
        <f t="shared" si="13"/>
        <v>100</v>
      </c>
      <c r="V35" s="667" t="s">
        <v>14</v>
      </c>
      <c r="W35" s="668">
        <f t="shared" si="14"/>
        <v>100</v>
      </c>
      <c r="X35" s="1265"/>
      <c r="Y35" s="3440"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40"/>
      <c r="Q36" s="1263" t="str">
        <f t="shared" si="11"/>
        <v>内部装修</v>
      </c>
      <c r="R36" s="667" t="s">
        <v>14</v>
      </c>
      <c r="S36" s="668">
        <f t="shared" si="12"/>
        <v>100</v>
      </c>
      <c r="T36" s="667" t="s">
        <v>14</v>
      </c>
      <c r="U36" s="668">
        <f t="shared" si="13"/>
        <v>100</v>
      </c>
      <c r="V36" s="667" t="s">
        <v>14</v>
      </c>
      <c r="W36" s="668">
        <f t="shared" si="14"/>
        <v>100</v>
      </c>
      <c r="X36" s="1265"/>
      <c r="Y36" s="3440"/>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40"/>
      <c r="Q37" s="1263" t="str">
        <f t="shared" si="11"/>
        <v>内部装修状况</v>
      </c>
      <c r="R37" s="667" t="s">
        <v>14</v>
      </c>
      <c r="S37" s="668">
        <f t="shared" si="12"/>
        <v>100</v>
      </c>
      <c r="T37" s="667" t="s">
        <v>14</v>
      </c>
      <c r="U37" s="668">
        <f t="shared" si="13"/>
        <v>100</v>
      </c>
      <c r="V37" s="667" t="s">
        <v>14</v>
      </c>
      <c r="W37" s="668">
        <f t="shared" si="14"/>
        <v>100</v>
      </c>
      <c r="X37" s="1265"/>
      <c r="Y37" s="3440"/>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40"/>
      <c r="Q38" s="531">
        <f t="shared" si="11"/>
        <v>111</v>
      </c>
      <c r="R38" s="669" t="s">
        <v>14</v>
      </c>
      <c r="S38" s="670">
        <f t="shared" si="12"/>
        <v>100</v>
      </c>
      <c r="T38" s="669" t="s">
        <v>14</v>
      </c>
      <c r="U38" s="670">
        <f t="shared" si="13"/>
        <v>100</v>
      </c>
      <c r="V38" s="669" t="s">
        <v>14</v>
      </c>
      <c r="W38" s="670">
        <f t="shared" si="14"/>
        <v>100</v>
      </c>
      <c r="X38" s="671"/>
      <c r="Y38" s="3440"/>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40"/>
      <c r="Q39" s="1263">
        <f t="shared" si="11"/>
        <v>111</v>
      </c>
      <c r="R39" s="667" t="s">
        <v>14</v>
      </c>
      <c r="S39" s="668">
        <f t="shared" si="12"/>
        <v>100</v>
      </c>
      <c r="T39" s="667" t="s">
        <v>14</v>
      </c>
      <c r="U39" s="668">
        <f t="shared" si="13"/>
        <v>100</v>
      </c>
      <c r="V39" s="667" t="s">
        <v>14</v>
      </c>
      <c r="W39" s="668">
        <f t="shared" si="14"/>
        <v>100</v>
      </c>
      <c r="X39" s="1265"/>
      <c r="Y39" s="3440"/>
      <c r="Z39" s="1264">
        <f t="shared" si="15"/>
        <v>111</v>
      </c>
      <c r="AA39" s="1264">
        <f t="shared" si="3"/>
        <v>1</v>
      </c>
      <c r="AB39" s="1264">
        <f t="shared" si="4"/>
        <v>1</v>
      </c>
      <c r="AC39" s="1264">
        <f t="shared" si="5"/>
        <v>1</v>
      </c>
    </row>
    <row r="40" spans="1:29" ht="15.6"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41"/>
      <c r="Q40" s="1263">
        <f t="shared" si="11"/>
        <v>111</v>
      </c>
      <c r="R40" s="667" t="s">
        <v>14</v>
      </c>
      <c r="S40" s="668">
        <f t="shared" si="12"/>
        <v>100</v>
      </c>
      <c r="T40" s="667" t="s">
        <v>14</v>
      </c>
      <c r="U40" s="668">
        <f t="shared" si="13"/>
        <v>100</v>
      </c>
      <c r="V40" s="667" t="s">
        <v>14</v>
      </c>
      <c r="W40" s="668">
        <f t="shared" si="14"/>
        <v>100</v>
      </c>
      <c r="X40" s="1265"/>
      <c r="Y40" s="3441"/>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434" t="str">
        <f>A41</f>
        <v>成交单价（元/平方米）</v>
      </c>
      <c r="Q41" s="3434"/>
      <c r="R41" s="3429">
        <f>E41</f>
        <v>0</v>
      </c>
      <c r="S41" s="3429"/>
      <c r="T41" s="3429">
        <f>G41</f>
        <v>0</v>
      </c>
      <c r="U41" s="3429"/>
      <c r="V41" s="3429">
        <f>I41</f>
        <v>0</v>
      </c>
      <c r="W41" s="3429"/>
      <c r="X41" s="385"/>
      <c r="Y41" s="673"/>
      <c r="Z41" s="385"/>
      <c r="AA41" s="385"/>
      <c r="AB41" s="385"/>
      <c r="AC41" s="385"/>
    </row>
    <row r="42" spans="1:29" ht="15" thickBot="1">
      <c r="A42" s="423" t="s">
        <v>1793</v>
      </c>
      <c r="B42" s="424"/>
      <c r="C42" s="1082" t="e">
        <f>R43</f>
        <v>#DIV/0!</v>
      </c>
      <c r="D42" s="2138" t="s">
        <v>2138</v>
      </c>
      <c r="E42" s="1083" t="e">
        <f>R42</f>
        <v>#DIV/0!</v>
      </c>
      <c r="F42" s="2139"/>
      <c r="G42" s="1082" t="e">
        <f>T42</f>
        <v>#DIV/0!</v>
      </c>
      <c r="H42" s="2139"/>
      <c r="I42" s="1083" t="e">
        <f>V42</f>
        <v>#DIV/0!</v>
      </c>
      <c r="J42" s="2139"/>
      <c r="K42" s="2141">
        <f>F42+H42+J42</f>
        <v>0</v>
      </c>
      <c r="L42" s="873"/>
      <c r="M42" s="861"/>
      <c r="N42" s="861"/>
      <c r="O42" s="861"/>
      <c r="P42" s="3434" t="str">
        <f>A42</f>
        <v>比较价值（元/平方米）</v>
      </c>
      <c r="Q42" s="3434"/>
      <c r="R42" s="3429" t="e">
        <f>IF(F1="售价",ROUND(PRODUCT(R41,AA7:AA40),0),ROUND(PRODUCT(R41,AA7:AA40),1))</f>
        <v>#DIV/0!</v>
      </c>
      <c r="S42" s="3429"/>
      <c r="T42" s="3429" t="e">
        <f>IF(F1="售价",ROUND(PRODUCT(T41,AB7:AB40),0),ROUND(PRODUCT(T41,AB7:AB40),1))</f>
        <v>#DIV/0!</v>
      </c>
      <c r="U42" s="3429"/>
      <c r="V42" s="3429" t="e">
        <f>IF(F1="售价",ROUND(PRODUCT(V41,AC7:AC40),0),ROUND(PRODUCT(V41,AC7:AC40),1))</f>
        <v>#DIV/0!</v>
      </c>
      <c r="W42" s="3429"/>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431" t="str">
        <f>A43</f>
        <v>估价对象XX用房的比较价值（楼面单价，元/平方米）</v>
      </c>
      <c r="Q43" s="3432"/>
      <c r="R43" s="3433" t="e">
        <f>IF(F1="售价",ROUND(IF(D42="简单平均",AVERAGE(R42:V42),R42*F42+T42*H42+V42*J42),0),ROUND(IF(D42="简单平均",AVERAGE(R42:V42),R42*F42+T42*H42+V42*J42),1))</f>
        <v>#DIV/0!</v>
      </c>
      <c r="S43" s="3433"/>
      <c r="T43" s="3433"/>
      <c r="U43" s="3433"/>
      <c r="V43" s="3433"/>
      <c r="W43" s="3433"/>
      <c r="X43" s="385"/>
      <c r="Y43" s="385"/>
      <c r="Z43" s="385"/>
      <c r="AA43" s="385"/>
      <c r="AB43" s="385"/>
      <c r="AC43" s="385"/>
    </row>
    <row r="44" spans="1:29">
      <c r="A44" s="2485"/>
      <c r="B44" s="2485"/>
      <c r="C44" s="2485"/>
      <c r="D44" s="2485"/>
      <c r="E44" s="2485"/>
      <c r="F44" s="2485"/>
      <c r="G44" s="2496"/>
      <c r="H44" s="2485"/>
      <c r="I44" s="2485"/>
      <c r="J44" s="2485"/>
      <c r="K44" s="2497"/>
      <c r="L44" s="836"/>
      <c r="M44" s="861"/>
      <c r="N44" s="861"/>
      <c r="O44" s="861"/>
    </row>
    <row r="45" spans="1:29">
      <c r="A45" s="2485"/>
      <c r="B45" s="2485"/>
      <c r="C45" s="2485"/>
      <c r="D45" s="2485"/>
      <c r="E45" s="2485"/>
      <c r="F45" s="2485"/>
      <c r="G45" s="2485"/>
      <c r="H45" s="2485"/>
      <c r="I45" s="2485"/>
      <c r="J45" s="2485"/>
      <c r="K45" s="2497"/>
      <c r="L45" s="836"/>
      <c r="M45" s="861"/>
      <c r="N45" s="861"/>
      <c r="O45" s="861"/>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6"/>
      <c r="M46" s="861"/>
      <c r="N46" s="861"/>
      <c r="O46" s="861"/>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6"/>
      <c r="M47" s="861"/>
      <c r="N47" s="861"/>
      <c r="O47" s="861"/>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6"/>
      <c r="M48" s="874"/>
      <c r="N48" s="874"/>
      <c r="O48" s="874"/>
    </row>
    <row r="49" spans="1:17" s="437" customFormat="1">
      <c r="A49" s="2495"/>
      <c r="B49" s="2498"/>
      <c r="C49" s="2499"/>
      <c r="D49" s="2495"/>
      <c r="E49" s="2495"/>
      <c r="F49" s="2495"/>
      <c r="G49" s="2495"/>
      <c r="H49" s="2495"/>
      <c r="I49" s="2495"/>
      <c r="J49" s="2495"/>
      <c r="K49" s="2500"/>
      <c r="L49" s="876"/>
      <c r="M49" s="874"/>
      <c r="N49" s="874"/>
      <c r="O49" s="874"/>
    </row>
    <row r="50" spans="1:17">
      <c r="A50" s="2485"/>
      <c r="B50" s="2498"/>
      <c r="C50" s="2499"/>
      <c r="D50" s="2485"/>
      <c r="E50" s="2485"/>
      <c r="F50" s="2485"/>
      <c r="G50" s="2485"/>
      <c r="H50" s="2485"/>
      <c r="I50" s="2485"/>
      <c r="J50" s="2485"/>
      <c r="K50" s="2497"/>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2025-4</v>
      </c>
      <c r="D52" s="1104">
        <f>EDATE(C52,-1)</f>
        <v>45717</v>
      </c>
      <c r="E52" s="1104">
        <f t="shared" ref="E52:O52" si="16">EDATE(D52,-1)</f>
        <v>45689</v>
      </c>
      <c r="F52" s="1104">
        <f t="shared" si="16"/>
        <v>45658</v>
      </c>
      <c r="G52" s="1104">
        <f t="shared" si="16"/>
        <v>45627</v>
      </c>
      <c r="H52" s="1104">
        <f t="shared" si="16"/>
        <v>45597</v>
      </c>
      <c r="I52" s="1104">
        <f t="shared" si="16"/>
        <v>45566</v>
      </c>
      <c r="J52" s="1104">
        <f t="shared" si="16"/>
        <v>45536</v>
      </c>
      <c r="K52" s="1104">
        <f t="shared" si="16"/>
        <v>45505</v>
      </c>
      <c r="L52" s="1104">
        <f t="shared" si="16"/>
        <v>45474</v>
      </c>
      <c r="M52" s="1104">
        <f t="shared" si="16"/>
        <v>45444</v>
      </c>
      <c r="N52" s="1104">
        <f t="shared" si="16"/>
        <v>45413</v>
      </c>
      <c r="O52" s="1104">
        <f t="shared" si="16"/>
        <v>45383</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6"/>
      <c r="O54" s="2537"/>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3332</v>
      </c>
      <c r="C1" s="1141" t="s">
        <v>1662</v>
      </c>
      <c r="D1" s="1142"/>
      <c r="E1" s="3129"/>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1"/>
      <c r="M3" s="2502" t="e">
        <f ca="1">IF(C2="——",IF(B37="元/平方米",ROUND(C39*D3/10000,0),ROUND(F3*C39/10000,0)),IF(B37="元/平方米",ROUND(C39*D3/10000,0),ROUND(F3*C39/10000,0))-D2)</f>
        <v>#DIV/0!</v>
      </c>
      <c r="N3" s="2502"/>
      <c r="O3" s="2502"/>
      <c r="P3" s="1086"/>
      <c r="Q3" s="341"/>
      <c r="R3" s="341"/>
      <c r="S3" s="341"/>
      <c r="T3" s="341"/>
      <c r="U3" s="341"/>
      <c r="V3" s="341"/>
      <c r="W3" s="341"/>
      <c r="X3" s="341"/>
      <c r="Y3" s="341"/>
      <c r="Z3" s="341"/>
      <c r="AA3" s="341"/>
      <c r="AB3" s="676"/>
      <c r="AC3" s="663"/>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04" t="s">
        <v>1771</v>
      </c>
      <c r="S4" s="3405"/>
      <c r="T4" s="3404" t="s">
        <v>1772</v>
      </c>
      <c r="U4" s="3405"/>
      <c r="V4" s="3429" t="s">
        <v>1773</v>
      </c>
      <c r="W4" s="3429"/>
      <c r="X4" s="1265"/>
      <c r="Y4" s="3404" t="s">
        <v>1775</v>
      </c>
      <c r="Z4" s="3405"/>
      <c r="AA4" s="3399" t="s">
        <v>1771</v>
      </c>
      <c r="AB4" s="3400" t="s">
        <v>1772</v>
      </c>
      <c r="AC4" s="3399" t="s">
        <v>1773</v>
      </c>
    </row>
    <row r="5" spans="1:29">
      <c r="A5" s="348"/>
      <c r="B5" s="349"/>
      <c r="C5" s="3410" t="s">
        <v>1673</v>
      </c>
      <c r="D5" s="3411"/>
      <c r="E5" s="3408" t="s">
        <v>1674</v>
      </c>
      <c r="F5" s="3409"/>
      <c r="G5" s="3410" t="s">
        <v>1675</v>
      </c>
      <c r="H5" s="3411"/>
      <c r="I5" s="3410" t="s">
        <v>1676</v>
      </c>
      <c r="J5" s="3411"/>
      <c r="K5" s="537"/>
      <c r="L5" s="2484"/>
      <c r="M5" s="2485"/>
      <c r="N5" s="2485"/>
      <c r="O5" s="2485"/>
      <c r="P5" s="3423"/>
      <c r="Q5" s="3424"/>
      <c r="R5" s="3406"/>
      <c r="S5" s="3407"/>
      <c r="T5" s="3406"/>
      <c r="U5" s="3407"/>
      <c r="V5" s="3429"/>
      <c r="W5" s="3429"/>
      <c r="X5" s="1265"/>
      <c r="Y5" s="3406"/>
      <c r="Z5" s="3407"/>
      <c r="AA5" s="3400"/>
      <c r="AB5" s="3400"/>
      <c r="AC5" s="3400"/>
    </row>
    <row r="6" spans="1:29" ht="15" thickBot="1">
      <c r="A6" s="350"/>
      <c r="B6" s="351"/>
      <c r="C6" s="3412" t="s">
        <v>1677</v>
      </c>
      <c r="D6" s="3413"/>
      <c r="E6" s="3414" t="s">
        <v>1677</v>
      </c>
      <c r="F6" s="3415"/>
      <c r="G6" s="3412" t="s">
        <v>1677</v>
      </c>
      <c r="H6" s="3413"/>
      <c r="I6" s="3412" t="s">
        <v>1677</v>
      </c>
      <c r="J6" s="3413"/>
      <c r="K6" s="537" t="s">
        <v>1678</v>
      </c>
      <c r="L6" s="2484"/>
      <c r="M6" s="2485"/>
      <c r="N6" s="2485"/>
      <c r="O6" s="2485"/>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c r="F7" s="357">
        <f>SUMIF(48:48,YEAR(E7)&amp;"-"&amp;MONTH(E7),49:49)</f>
        <v>0</v>
      </c>
      <c r="G7" s="356"/>
      <c r="H7" s="355">
        <f>SUMIF(48:48,YEAR(G7)&amp;"-"&amp;MONTH(G7),49:49)</f>
        <v>0</v>
      </c>
      <c r="I7" s="356"/>
      <c r="J7" s="355">
        <f>SUMIF(48:48,YEAR(I7)&amp;"-"&amp;MONTH(I7),49:49)</f>
        <v>0</v>
      </c>
      <c r="K7" s="38"/>
      <c r="L7" s="2486"/>
      <c r="M7" s="2437"/>
      <c r="N7" s="2437"/>
      <c r="O7" s="2437"/>
      <c r="P7" s="3402" t="s">
        <v>1680</v>
      </c>
      <c r="Q7" s="3430"/>
      <c r="R7" s="664" t="s">
        <v>14</v>
      </c>
      <c r="S7" s="665">
        <f t="shared" ref="S7:S14" si="0">F7</f>
        <v>0</v>
      </c>
      <c r="T7" s="664" t="s">
        <v>14</v>
      </c>
      <c r="U7" s="665">
        <f t="shared" ref="U7:U14" si="1">H7</f>
        <v>0</v>
      </c>
      <c r="V7" s="664" t="s">
        <v>14</v>
      </c>
      <c r="W7" s="665">
        <f t="shared" ref="W7:W14" si="2">J7</f>
        <v>0</v>
      </c>
      <c r="X7" s="666"/>
      <c r="Y7" s="3402" t="s">
        <v>1680</v>
      </c>
      <c r="Z7" s="3403"/>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7"/>
      <c r="N8" s="2437"/>
      <c r="O8" s="2437"/>
      <c r="P8" s="3402" t="s">
        <v>1683</v>
      </c>
      <c r="Q8" s="3403"/>
      <c r="R8" s="664" t="s">
        <v>14</v>
      </c>
      <c r="S8" s="665">
        <f t="shared" si="0"/>
        <v>100</v>
      </c>
      <c r="T8" s="664" t="s">
        <v>14</v>
      </c>
      <c r="U8" s="665">
        <f t="shared" si="1"/>
        <v>100</v>
      </c>
      <c r="V8" s="664" t="s">
        <v>14</v>
      </c>
      <c r="W8" s="665">
        <f t="shared" si="2"/>
        <v>100</v>
      </c>
      <c r="X8" s="666"/>
      <c r="Y8" s="3402" t="s">
        <v>1683</v>
      </c>
      <c r="Z8" s="3403"/>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7"/>
      <c r="N9" s="2437"/>
      <c r="O9" s="2437"/>
      <c r="P9" s="3434" t="s">
        <v>1686</v>
      </c>
      <c r="Q9" s="530" t="str">
        <f t="shared" ref="Q9:Q14" si="6">B9</f>
        <v>用途</v>
      </c>
      <c r="R9" s="664" t="s">
        <v>14</v>
      </c>
      <c r="S9" s="665">
        <f t="shared" si="0"/>
        <v>100</v>
      </c>
      <c r="T9" s="664" t="s">
        <v>14</v>
      </c>
      <c r="U9" s="665">
        <f t="shared" si="1"/>
        <v>100</v>
      </c>
      <c r="V9" s="664" t="s">
        <v>14</v>
      </c>
      <c r="W9" s="665">
        <f t="shared" si="2"/>
        <v>100</v>
      </c>
      <c r="X9" s="666"/>
      <c r="Y9" s="3345" t="s">
        <v>1687</v>
      </c>
      <c r="Z9" s="50" t="str">
        <f t="shared" ref="Z9:Z14" si="7">Q9</f>
        <v>用途</v>
      </c>
      <c r="AA9" s="50">
        <f t="shared" si="3"/>
        <v>1</v>
      </c>
      <c r="AB9" s="50">
        <f t="shared" si="4"/>
        <v>1</v>
      </c>
      <c r="AC9" s="50">
        <f t="shared" si="5"/>
        <v>1</v>
      </c>
    </row>
    <row r="10" spans="1:29" s="366" customFormat="1" ht="28.8">
      <c r="A10" s="565"/>
      <c r="B10" s="566" t="s">
        <v>1688</v>
      </c>
      <c r="C10" s="3130"/>
      <c r="D10" s="119">
        <v>100</v>
      </c>
      <c r="E10" s="3130"/>
      <c r="F10" s="119">
        <f>SUMIF(55:55,E10,56:56)-SUMIF(55:55,C10,56:56)+100</f>
        <v>100</v>
      </c>
      <c r="G10" s="3131"/>
      <c r="H10" s="119">
        <f>SUMIF(55:55,G10,56:56)-SUMIF(55:55,C10,56:56)+100</f>
        <v>100</v>
      </c>
      <c r="I10" s="3130"/>
      <c r="J10" s="119">
        <f>SUMIF(55:55,I10,56:56)-SUMIF(55:55,C10,56:56)+100</f>
        <v>100</v>
      </c>
      <c r="K10" s="38"/>
      <c r="L10" s="2487"/>
      <c r="M10" s="2488"/>
      <c r="N10" s="2488"/>
      <c r="O10" s="2488"/>
      <c r="P10" s="3434"/>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34"/>
      <c r="Q11" s="530">
        <f t="shared" si="6"/>
        <v>111</v>
      </c>
      <c r="R11" s="664" t="s">
        <v>14</v>
      </c>
      <c r="S11" s="665">
        <f t="shared" si="0"/>
        <v>100</v>
      </c>
      <c r="T11" s="664" t="s">
        <v>14</v>
      </c>
      <c r="U11" s="665">
        <f t="shared" si="1"/>
        <v>100</v>
      </c>
      <c r="V11" s="664" t="s">
        <v>14</v>
      </c>
      <c r="W11" s="665">
        <f t="shared" si="2"/>
        <v>100</v>
      </c>
      <c r="X11" s="666"/>
      <c r="Y11" s="334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7"/>
      <c r="N12" s="2437"/>
      <c r="O12" s="2437"/>
      <c r="P12" s="3434"/>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34"/>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50">
        <f t="shared" si="5"/>
        <v>1</v>
      </c>
    </row>
    <row r="14" spans="1:29" ht="96.6">
      <c r="A14" s="345" t="s">
        <v>1690</v>
      </c>
      <c r="B14" s="554" t="s">
        <v>1833</v>
      </c>
      <c r="C14" s="1816"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35" t="s">
        <v>1691</v>
      </c>
      <c r="Q14" s="1263" t="str">
        <f t="shared" si="6"/>
        <v>交通便捷度</v>
      </c>
      <c r="R14" s="667" t="s">
        <v>14</v>
      </c>
      <c r="S14" s="668">
        <f t="shared" si="0"/>
        <v>100</v>
      </c>
      <c r="T14" s="667" t="s">
        <v>14</v>
      </c>
      <c r="U14" s="668">
        <f t="shared" si="1"/>
        <v>100</v>
      </c>
      <c r="V14" s="667" t="s">
        <v>14</v>
      </c>
      <c r="W14" s="668">
        <f t="shared" si="2"/>
        <v>100</v>
      </c>
      <c r="X14" s="1265"/>
      <c r="Y14" s="3435"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0"/>
      <c r="M15" s="2485"/>
      <c r="N15" s="2485"/>
      <c r="O15" s="2485"/>
      <c r="P15" s="3436"/>
      <c r="Q15" s="1263"/>
      <c r="R15" s="667"/>
      <c r="S15" s="668"/>
      <c r="T15" s="667"/>
      <c r="U15" s="668"/>
      <c r="V15" s="667"/>
      <c r="W15" s="668"/>
      <c r="X15" s="1265"/>
      <c r="Y15" s="3436"/>
      <c r="Z15" s="1264"/>
      <c r="AA15" s="1264">
        <v>1</v>
      </c>
      <c r="AB15" s="1264">
        <v>1</v>
      </c>
      <c r="AC15" s="1264">
        <v>1</v>
      </c>
    </row>
    <row r="16" spans="1:29" ht="41.4">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36"/>
      <c r="Q16" s="1263" t="str">
        <f>B16</f>
        <v>公共配套设施</v>
      </c>
      <c r="R16" s="667" t="s">
        <v>14</v>
      </c>
      <c r="S16" s="668">
        <f>F16</f>
        <v>100</v>
      </c>
      <c r="T16" s="667" t="s">
        <v>14</v>
      </c>
      <c r="U16" s="668">
        <f>H16</f>
        <v>100</v>
      </c>
      <c r="V16" s="667" t="s">
        <v>14</v>
      </c>
      <c r="W16" s="668">
        <f>J16</f>
        <v>100</v>
      </c>
      <c r="X16" s="1265"/>
      <c r="Y16" s="3436"/>
      <c r="Z16" s="1264" t="str">
        <f>Q16</f>
        <v>公共配套设施</v>
      </c>
      <c r="AA16" s="1264">
        <f t="shared" si="3"/>
        <v>1</v>
      </c>
      <c r="AB16" s="1264">
        <f t="shared" si="4"/>
        <v>1</v>
      </c>
      <c r="AC16" s="1264">
        <f t="shared" si="5"/>
        <v>1</v>
      </c>
    </row>
    <row r="17" spans="1:29" ht="15">
      <c r="A17" s="348"/>
      <c r="B17" s="401"/>
      <c r="C17" s="1754"/>
      <c r="D17" s="387"/>
      <c r="E17" s="386"/>
      <c r="F17" s="388"/>
      <c r="G17" s="386"/>
      <c r="H17" s="387"/>
      <c r="I17" s="386"/>
      <c r="J17" s="387"/>
      <c r="K17" s="541"/>
      <c r="L17" s="2490"/>
      <c r="M17" s="2485"/>
      <c r="N17" s="2485"/>
      <c r="O17" s="2485"/>
      <c r="P17" s="3436"/>
      <c r="Q17" s="1263"/>
      <c r="R17" s="667"/>
      <c r="S17" s="668"/>
      <c r="T17" s="667"/>
      <c r="U17" s="668"/>
      <c r="V17" s="667"/>
      <c r="W17" s="668"/>
      <c r="X17" s="1265"/>
      <c r="Y17" s="3436"/>
      <c r="Z17" s="1264"/>
      <c r="AA17" s="1264">
        <v>1</v>
      </c>
      <c r="AB17" s="1264">
        <v>1</v>
      </c>
      <c r="AC17" s="1264">
        <v>1</v>
      </c>
    </row>
    <row r="18" spans="1:29" ht="41.4">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36"/>
      <c r="Q18" s="1263" t="str">
        <f>B18</f>
        <v>基础设施水平</v>
      </c>
      <c r="R18" s="667" t="s">
        <v>14</v>
      </c>
      <c r="S18" s="668">
        <f>F18</f>
        <v>100</v>
      </c>
      <c r="T18" s="667" t="s">
        <v>14</v>
      </c>
      <c r="U18" s="668">
        <f>H18</f>
        <v>100</v>
      </c>
      <c r="V18" s="667" t="s">
        <v>14</v>
      </c>
      <c r="W18" s="668">
        <f>J18</f>
        <v>100</v>
      </c>
      <c r="X18" s="1265"/>
      <c r="Y18" s="3436"/>
      <c r="Z18" s="1264" t="str">
        <f>Q18</f>
        <v>基础设施水平</v>
      </c>
      <c r="AA18" s="1264">
        <f t="shared" ref="AA18" si="8">D18/F18</f>
        <v>1</v>
      </c>
      <c r="AB18" s="1264">
        <f t="shared" ref="AB18" si="9">D18/H18</f>
        <v>1</v>
      </c>
      <c r="AC18" s="1264">
        <f t="shared" ref="AC18" si="10">D18/J18</f>
        <v>1</v>
      </c>
    </row>
    <row r="19" spans="1:29" ht="15">
      <c r="A19" s="348"/>
      <c r="B19" s="557"/>
      <c r="C19" s="1754"/>
      <c r="D19" s="389"/>
      <c r="E19" s="1754"/>
      <c r="F19" s="392"/>
      <c r="G19" s="1754"/>
      <c r="H19" s="387"/>
      <c r="I19" s="386"/>
      <c r="J19" s="387"/>
      <c r="K19" s="1064"/>
      <c r="L19" s="2490"/>
      <c r="M19" s="2485"/>
      <c r="N19" s="2485"/>
      <c r="O19" s="2485"/>
      <c r="P19" s="3436"/>
      <c r="Q19" s="1263"/>
      <c r="R19" s="667"/>
      <c r="S19" s="668"/>
      <c r="T19" s="667"/>
      <c r="U19" s="668"/>
      <c r="V19" s="667"/>
      <c r="W19" s="668"/>
      <c r="X19" s="1265"/>
      <c r="Y19" s="3436"/>
      <c r="Z19" s="1264"/>
      <c r="AA19" s="1264">
        <v>1</v>
      </c>
      <c r="AB19" s="1264">
        <v>1</v>
      </c>
      <c r="AC19" s="1264">
        <v>1</v>
      </c>
    </row>
    <row r="20" spans="1:29" ht="55.2">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36"/>
      <c r="Q20" s="1263" t="str">
        <f>B20</f>
        <v>自然及人文环境</v>
      </c>
      <c r="R20" s="667" t="s">
        <v>14</v>
      </c>
      <c r="S20" s="668">
        <f>F20</f>
        <v>100</v>
      </c>
      <c r="T20" s="667" t="s">
        <v>14</v>
      </c>
      <c r="U20" s="668">
        <f>H20</f>
        <v>100</v>
      </c>
      <c r="V20" s="667" t="s">
        <v>14</v>
      </c>
      <c r="W20" s="668">
        <f>J20</f>
        <v>100</v>
      </c>
      <c r="X20" s="1265"/>
      <c r="Y20" s="3436"/>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0"/>
      <c r="M21" s="2485"/>
      <c r="N21" s="2485"/>
      <c r="O21" s="2485"/>
      <c r="P21" s="3436"/>
      <c r="Q21" s="1263"/>
      <c r="R21" s="667"/>
      <c r="S21" s="668"/>
      <c r="T21" s="667"/>
      <c r="U21" s="668"/>
      <c r="V21" s="667"/>
      <c r="W21" s="668"/>
      <c r="X21" s="1265"/>
      <c r="Y21" s="3436"/>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36"/>
      <c r="Q22" s="1263" t="str">
        <f>B22</f>
        <v>楼层</v>
      </c>
      <c r="R22" s="667" t="s">
        <v>14</v>
      </c>
      <c r="S22" s="668">
        <f>F22</f>
        <v>100</v>
      </c>
      <c r="T22" s="667" t="s">
        <v>14</v>
      </c>
      <c r="U22" s="668">
        <f>H22</f>
        <v>100</v>
      </c>
      <c r="V22" s="667" t="s">
        <v>14</v>
      </c>
      <c r="W22" s="668">
        <f>J22</f>
        <v>100</v>
      </c>
      <c r="X22" s="1265"/>
      <c r="Y22" s="3436"/>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36"/>
      <c r="Q23" s="1263">
        <f>B23</f>
        <v>111</v>
      </c>
      <c r="R23" s="667" t="s">
        <v>14</v>
      </c>
      <c r="S23" s="668">
        <f>F23</f>
        <v>100</v>
      </c>
      <c r="T23" s="667" t="s">
        <v>14</v>
      </c>
      <c r="U23" s="668">
        <f>H23</f>
        <v>100</v>
      </c>
      <c r="V23" s="667" t="s">
        <v>14</v>
      </c>
      <c r="W23" s="668">
        <f>J23</f>
        <v>100</v>
      </c>
      <c r="X23" s="1265"/>
      <c r="Y23" s="3436"/>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36"/>
      <c r="Q24" s="1263">
        <f t="shared" ref="Q24:Q36" si="11">B24</f>
        <v>111</v>
      </c>
      <c r="R24" s="667" t="s">
        <v>14</v>
      </c>
      <c r="S24" s="668">
        <f>F24</f>
        <v>100</v>
      </c>
      <c r="T24" s="667" t="s">
        <v>14</v>
      </c>
      <c r="U24" s="668">
        <f>H24</f>
        <v>100</v>
      </c>
      <c r="V24" s="667" t="s">
        <v>14</v>
      </c>
      <c r="W24" s="668">
        <f>J24</f>
        <v>100</v>
      </c>
      <c r="X24" s="1265"/>
      <c r="Y24" s="3436"/>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7"/>
      <c r="N25" s="2437"/>
      <c r="O25" s="2437"/>
      <c r="P25" s="3436"/>
      <c r="Q25" s="530">
        <f t="shared" si="11"/>
        <v>111</v>
      </c>
      <c r="R25" s="664" t="s">
        <v>14</v>
      </c>
      <c r="S25" s="665">
        <f>F25</f>
        <v>100</v>
      </c>
      <c r="T25" s="664" t="s">
        <v>14</v>
      </c>
      <c r="U25" s="665">
        <f>H25</f>
        <v>100</v>
      </c>
      <c r="V25" s="664" t="s">
        <v>14</v>
      </c>
      <c r="W25" s="665">
        <f>J25</f>
        <v>100</v>
      </c>
      <c r="X25" s="666"/>
      <c r="Y25" s="3436"/>
      <c r="Z25" s="50">
        <f>Q25</f>
        <v>111</v>
      </c>
      <c r="AA25" s="1264">
        <f>D25/F25</f>
        <v>1</v>
      </c>
      <c r="AB25" s="1264">
        <f>D25/H25</f>
        <v>1</v>
      </c>
      <c r="AC25" s="1264">
        <f>D25/J25</f>
        <v>1</v>
      </c>
    </row>
    <row r="26" spans="1:29" ht="30">
      <c r="A26" s="574" t="s">
        <v>1694</v>
      </c>
      <c r="B26" s="59" t="s">
        <v>1836</v>
      </c>
      <c r="C26" s="1817"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459"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40"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40"/>
      <c r="Q27" s="531" t="str">
        <f t="shared" si="11"/>
        <v>项目停车位配比</v>
      </c>
      <c r="R27" s="669" t="s">
        <v>14</v>
      </c>
      <c r="S27" s="670">
        <f t="shared" si="12"/>
        <v>100</v>
      </c>
      <c r="T27" s="669" t="s">
        <v>14</v>
      </c>
      <c r="U27" s="670">
        <f t="shared" si="13"/>
        <v>100</v>
      </c>
      <c r="V27" s="669" t="s">
        <v>14</v>
      </c>
      <c r="W27" s="670">
        <f t="shared" si="14"/>
        <v>100</v>
      </c>
      <c r="X27" s="671"/>
      <c r="Y27" s="3440"/>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40"/>
      <c r="Q28" s="1263" t="str">
        <f t="shared" si="11"/>
        <v>公共部分装修</v>
      </c>
      <c r="R28" s="667" t="s">
        <v>14</v>
      </c>
      <c r="S28" s="668">
        <f t="shared" si="12"/>
        <v>100</v>
      </c>
      <c r="T28" s="667" t="s">
        <v>14</v>
      </c>
      <c r="U28" s="668">
        <f t="shared" si="13"/>
        <v>100</v>
      </c>
      <c r="V28" s="667" t="s">
        <v>14</v>
      </c>
      <c r="W28" s="668">
        <f t="shared" si="14"/>
        <v>100</v>
      </c>
      <c r="X28" s="1265"/>
      <c r="Y28" s="3440"/>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40"/>
      <c r="Q29" s="1263" t="str">
        <f t="shared" si="11"/>
        <v>成新率</v>
      </c>
      <c r="R29" s="667" t="s">
        <v>14</v>
      </c>
      <c r="S29" s="668" t="e">
        <f t="shared" si="12"/>
        <v>#N/A</v>
      </c>
      <c r="T29" s="667" t="s">
        <v>14</v>
      </c>
      <c r="U29" s="668" t="e">
        <f t="shared" si="13"/>
        <v>#N/A</v>
      </c>
      <c r="V29" s="667" t="s">
        <v>14</v>
      </c>
      <c r="W29" s="668" t="e">
        <f t="shared" si="14"/>
        <v>#N/A</v>
      </c>
      <c r="X29" s="1265"/>
      <c r="Y29" s="3440"/>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40"/>
      <c r="Q30" s="1263" t="str">
        <f t="shared" si="11"/>
        <v>物业等级</v>
      </c>
      <c r="R30" s="667" t="s">
        <v>14</v>
      </c>
      <c r="S30" s="668">
        <f t="shared" si="12"/>
        <v>100</v>
      </c>
      <c r="T30" s="667" t="s">
        <v>14</v>
      </c>
      <c r="U30" s="668">
        <f t="shared" si="13"/>
        <v>100</v>
      </c>
      <c r="V30" s="667" t="s">
        <v>14</v>
      </c>
      <c r="W30" s="668">
        <f t="shared" si="14"/>
        <v>100</v>
      </c>
      <c r="X30" s="1265"/>
      <c r="Y30" s="3440"/>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7"/>
      <c r="N31" s="2437"/>
      <c r="O31" s="2437"/>
      <c r="P31" s="3440"/>
      <c r="Q31" s="530" t="str">
        <f t="shared" si="11"/>
        <v>停车位面积</v>
      </c>
      <c r="R31" s="664" t="s">
        <v>14</v>
      </c>
      <c r="S31" s="665" t="e">
        <f t="shared" si="12"/>
        <v>#N/A</v>
      </c>
      <c r="T31" s="664" t="s">
        <v>14</v>
      </c>
      <c r="U31" s="665" t="e">
        <f t="shared" si="13"/>
        <v>#N/A</v>
      </c>
      <c r="V31" s="664" t="s">
        <v>14</v>
      </c>
      <c r="W31" s="665" t="e">
        <f t="shared" si="14"/>
        <v>#N/A</v>
      </c>
      <c r="X31" s="666"/>
      <c r="Y31" s="3440"/>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40" t="s">
        <v>1696</v>
      </c>
      <c r="Q32" s="1263" t="str">
        <f t="shared" si="11"/>
        <v>车位类型</v>
      </c>
      <c r="R32" s="667" t="s">
        <v>14</v>
      </c>
      <c r="S32" s="668">
        <f t="shared" si="12"/>
        <v>100</v>
      </c>
      <c r="T32" s="667" t="s">
        <v>14</v>
      </c>
      <c r="U32" s="668">
        <f t="shared" si="13"/>
        <v>100</v>
      </c>
      <c r="V32" s="667" t="s">
        <v>14</v>
      </c>
      <c r="W32" s="668">
        <f t="shared" si="14"/>
        <v>100</v>
      </c>
      <c r="X32" s="1265"/>
      <c r="Y32" s="3440"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40"/>
      <c r="Q33" s="1263" t="str">
        <f t="shared" si="11"/>
        <v>是否直接入户</v>
      </c>
      <c r="R33" s="667" t="s">
        <v>14</v>
      </c>
      <c r="S33" s="668">
        <f t="shared" si="12"/>
        <v>100</v>
      </c>
      <c r="T33" s="667" t="s">
        <v>14</v>
      </c>
      <c r="U33" s="668">
        <f t="shared" si="13"/>
        <v>100</v>
      </c>
      <c r="V33" s="667" t="s">
        <v>14</v>
      </c>
      <c r="W33" s="668">
        <f t="shared" si="14"/>
        <v>100</v>
      </c>
      <c r="X33" s="1265"/>
      <c r="Y33" s="3440"/>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40"/>
      <c r="Q34" s="1263">
        <f t="shared" si="11"/>
        <v>111</v>
      </c>
      <c r="R34" s="667" t="s">
        <v>14</v>
      </c>
      <c r="S34" s="668">
        <f t="shared" si="12"/>
        <v>100</v>
      </c>
      <c r="T34" s="667" t="s">
        <v>14</v>
      </c>
      <c r="U34" s="668">
        <f t="shared" si="13"/>
        <v>100</v>
      </c>
      <c r="V34" s="667" t="s">
        <v>14</v>
      </c>
      <c r="W34" s="668">
        <f t="shared" si="14"/>
        <v>100</v>
      </c>
      <c r="X34" s="1265"/>
      <c r="Y34" s="3440"/>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40"/>
      <c r="Q35" s="531">
        <f t="shared" si="11"/>
        <v>111</v>
      </c>
      <c r="R35" s="669" t="s">
        <v>14</v>
      </c>
      <c r="S35" s="670">
        <f t="shared" si="12"/>
        <v>100</v>
      </c>
      <c r="T35" s="669" t="s">
        <v>14</v>
      </c>
      <c r="U35" s="670">
        <f t="shared" si="13"/>
        <v>100</v>
      </c>
      <c r="V35" s="669" t="s">
        <v>14</v>
      </c>
      <c r="W35" s="670">
        <f t="shared" si="14"/>
        <v>100</v>
      </c>
      <c r="X35" s="671"/>
      <c r="Y35" s="3440"/>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40"/>
      <c r="Q36" s="1263">
        <f t="shared" si="11"/>
        <v>111</v>
      </c>
      <c r="R36" s="667" t="s">
        <v>14</v>
      </c>
      <c r="S36" s="668">
        <f t="shared" si="12"/>
        <v>100</v>
      </c>
      <c r="T36" s="667" t="s">
        <v>14</v>
      </c>
      <c r="U36" s="668">
        <f t="shared" si="13"/>
        <v>100</v>
      </c>
      <c r="V36" s="667" t="s">
        <v>14</v>
      </c>
      <c r="W36" s="668">
        <f t="shared" si="14"/>
        <v>100</v>
      </c>
      <c r="X36" s="1265"/>
      <c r="Y36" s="3440"/>
      <c r="Z36" s="1264">
        <f t="shared" si="15"/>
        <v>111</v>
      </c>
      <c r="AA36" s="1264">
        <f t="shared" si="3"/>
        <v>1</v>
      </c>
      <c r="AB36" s="1264">
        <f t="shared" si="4"/>
        <v>1</v>
      </c>
      <c r="AC36" s="1264">
        <f t="shared" si="5"/>
        <v>1</v>
      </c>
    </row>
    <row r="37" spans="1:29" ht="14.4">
      <c r="A37" s="416" t="s">
        <v>1844</v>
      </c>
      <c r="B37" s="1818" t="s">
        <v>3353</v>
      </c>
      <c r="C37" s="1081" t="s">
        <v>0</v>
      </c>
      <c r="D37" s="418"/>
      <c r="E37" s="419"/>
      <c r="F37" s="420"/>
      <c r="G37" s="421"/>
      <c r="H37" s="422"/>
      <c r="I37" s="419"/>
      <c r="J37" s="422"/>
      <c r="K37" s="545"/>
      <c r="L37" s="2492"/>
      <c r="M37" s="2485"/>
      <c r="N37" s="2485"/>
      <c r="O37" s="2485"/>
      <c r="P37" s="3434" t="str">
        <f>A37</f>
        <v>成交单价</v>
      </c>
      <c r="Q37" s="3434"/>
      <c r="R37" s="3429">
        <f>E37</f>
        <v>0</v>
      </c>
      <c r="S37" s="3429"/>
      <c r="T37" s="3429">
        <f>G37</f>
        <v>0</v>
      </c>
      <c r="U37" s="3429"/>
      <c r="V37" s="3429">
        <f>I37</f>
        <v>0</v>
      </c>
      <c r="W37" s="3429"/>
      <c r="X37" s="385"/>
      <c r="Y37" s="673"/>
      <c r="Z37" s="385"/>
      <c r="AA37" s="385"/>
      <c r="AB37" s="385"/>
      <c r="AC37" s="385"/>
    </row>
    <row r="38" spans="1:29" ht="15" thickBot="1">
      <c r="A38" s="423" t="s">
        <v>1845</v>
      </c>
      <c r="B38" s="424" t="str">
        <f>B37</f>
        <v>元/平方米</v>
      </c>
      <c r="C38" s="1082" t="e">
        <f>R39</f>
        <v>#DIV/0!</v>
      </c>
      <c r="D38" s="2138" t="s">
        <v>2138</v>
      </c>
      <c r="E38" s="1083" t="e">
        <f>R38</f>
        <v>#DIV/0!</v>
      </c>
      <c r="F38" s="2139"/>
      <c r="G38" s="1082" t="e">
        <f>T38</f>
        <v>#DIV/0!</v>
      </c>
      <c r="H38" s="2139"/>
      <c r="I38" s="1083" t="e">
        <f>V38</f>
        <v>#DIV/0!</v>
      </c>
      <c r="J38" s="2139"/>
      <c r="K38" s="2141">
        <f>F38+H38+J38</f>
        <v>0</v>
      </c>
      <c r="L38" s="2492"/>
      <c r="M38" s="2485"/>
      <c r="N38" s="2485"/>
      <c r="O38" s="2485"/>
      <c r="P38" s="3434" t="str">
        <f>A38</f>
        <v>比较价值（元/平方米）</v>
      </c>
      <c r="Q38" s="3434"/>
      <c r="R38" s="3429" t="e">
        <f>IF(F1="售价",ROUND(PRODUCT(R37,AA7:AA36),0),ROUND(PRODUCT(R37,AA7:AA36),1))</f>
        <v>#DIV/0!</v>
      </c>
      <c r="S38" s="3429"/>
      <c r="T38" s="3429" t="e">
        <f>IF(F1="售价",ROUND(PRODUCT(T37,AB7:AB36),0),ROUND(PRODUCT(T37,AB7:AB36),1))</f>
        <v>#DIV/0!</v>
      </c>
      <c r="U38" s="3429"/>
      <c r="V38" s="3429" t="e">
        <f>IF(F1="售价",ROUND(PRODUCT(V37,AC7:AC36),0),ROUND(PRODUCT(V37,AC7:AC36),1))</f>
        <v>#DIV/0!</v>
      </c>
      <c r="W38" s="3429"/>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2"/>
      <c r="M39" s="2485"/>
      <c r="N39" s="2485"/>
      <c r="O39" s="2485"/>
      <c r="P39" s="3431" t="str">
        <f>A39</f>
        <v>估价对象XX用房的比较价值（楼面单价，元/平方米）</v>
      </c>
      <c r="Q39" s="3432"/>
      <c r="R39" s="3460" t="e">
        <f>IF(F1="售价",ROUND(IF(D38="简单平均",AVERAGE(R38:W38),R38*F38+T38*H38+V38*J38),0),ROUND(IF(D38="简单平均",AVERAGE(R38:V38),R38*F38+T38*H38+V38*J38),1))</f>
        <v>#DIV/0!</v>
      </c>
      <c r="S39" s="3460"/>
      <c r="T39" s="3460"/>
      <c r="U39" s="3460"/>
      <c r="V39" s="3460"/>
      <c r="W39" s="3460"/>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2.2" thickBot="1">
      <c r="A47" s="1087" t="s">
        <v>1850</v>
      </c>
      <c r="B47" s="861"/>
      <c r="C47" s="886"/>
      <c r="D47" s="886"/>
      <c r="E47" s="886"/>
      <c r="F47" s="1088"/>
      <c r="G47" s="1088"/>
      <c r="H47" s="886"/>
      <c r="I47" s="886"/>
      <c r="J47" s="886"/>
      <c r="K47" s="887"/>
      <c r="L47" s="888"/>
      <c r="M47" s="886"/>
      <c r="N47" s="2535"/>
      <c r="O47" s="2535"/>
      <c r="P47" s="2524"/>
      <c r="Q47" s="2506"/>
      <c r="R47" s="2485"/>
      <c r="S47" s="2485"/>
      <c r="T47" s="2485"/>
      <c r="U47" s="2485"/>
      <c r="V47" s="2485"/>
      <c r="W47" s="2485"/>
      <c r="X47" s="2485"/>
      <c r="Y47" s="2485"/>
      <c r="Z47" s="2485"/>
      <c r="AA47" s="2485"/>
      <c r="AB47" s="2485"/>
      <c r="AC47" s="2485"/>
    </row>
    <row r="48" spans="1:29" s="442" customFormat="1" ht="14.4">
      <c r="A48" s="440" t="s">
        <v>1851</v>
      </c>
      <c r="B48" s="441"/>
      <c r="C48" s="1103" t="str">
        <f>YEAR(C7)&amp;"-"&amp;MONTH(C7)</f>
        <v>2025-4</v>
      </c>
      <c r="D48" s="1104">
        <f>EDATE(C48,-1)</f>
        <v>45717</v>
      </c>
      <c r="E48" s="1104">
        <f t="shared" ref="E48:O48" si="16">EDATE(D48,-1)</f>
        <v>45689</v>
      </c>
      <c r="F48" s="1104">
        <f t="shared" si="16"/>
        <v>45658</v>
      </c>
      <c r="G48" s="1104">
        <f t="shared" si="16"/>
        <v>45627</v>
      </c>
      <c r="H48" s="1104">
        <f t="shared" si="16"/>
        <v>45597</v>
      </c>
      <c r="I48" s="1104">
        <f t="shared" si="16"/>
        <v>45566</v>
      </c>
      <c r="J48" s="1104">
        <f t="shared" si="16"/>
        <v>45536</v>
      </c>
      <c r="K48" s="1104">
        <f t="shared" si="16"/>
        <v>45505</v>
      </c>
      <c r="L48" s="1104">
        <f t="shared" si="16"/>
        <v>45474</v>
      </c>
      <c r="M48" s="1104">
        <f t="shared" si="16"/>
        <v>45444</v>
      </c>
      <c r="N48" s="1104">
        <f t="shared" si="16"/>
        <v>45413</v>
      </c>
      <c r="O48" s="1104">
        <f t="shared" si="16"/>
        <v>45383</v>
      </c>
      <c r="P48" s="2525"/>
      <c r="Q48" s="2508"/>
      <c r="R48" s="2508"/>
      <c r="S48" s="2508"/>
      <c r="T48" s="2508"/>
      <c r="U48" s="2508"/>
      <c r="V48" s="2508"/>
      <c r="W48" s="2508"/>
      <c r="X48" s="2508"/>
      <c r="Y48" s="2508"/>
      <c r="Z48" s="2508"/>
      <c r="AA48" s="2508"/>
      <c r="AB48" s="2508"/>
      <c r="AC48" s="2508"/>
    </row>
    <row r="49" spans="1:29" s="102" customFormat="1">
      <c r="A49" s="443"/>
      <c r="B49" s="444"/>
      <c r="C49" s="1097">
        <v>100</v>
      </c>
      <c r="D49" s="446"/>
      <c r="E49" s="446"/>
      <c r="F49" s="446"/>
      <c r="G49" s="446"/>
      <c r="H49" s="446"/>
      <c r="I49" s="446"/>
      <c r="J49" s="446"/>
      <c r="K49" s="446"/>
      <c r="L49" s="446"/>
      <c r="M49" s="447"/>
      <c r="N49" s="446"/>
      <c r="O49" s="447"/>
      <c r="P49" s="2526"/>
      <c r="Q49" s="2437"/>
      <c r="R49" s="2437"/>
      <c r="S49" s="2437"/>
      <c r="T49" s="2437"/>
      <c r="U49" s="2437"/>
      <c r="V49" s="2437"/>
      <c r="W49" s="2437"/>
      <c r="X49" s="2437"/>
      <c r="Y49" s="2437"/>
      <c r="Z49" s="2437"/>
      <c r="AA49" s="2437"/>
      <c r="AB49" s="2437"/>
      <c r="AC49" s="2437"/>
    </row>
    <row r="50" spans="1:29" s="102" customFormat="1" ht="15" thickBot="1">
      <c r="A50" s="449" t="s">
        <v>1716</v>
      </c>
      <c r="B50" s="450"/>
      <c r="C50" s="451"/>
      <c r="D50" s="452"/>
      <c r="E50" s="452"/>
      <c r="F50" s="452"/>
      <c r="G50" s="452"/>
      <c r="H50" s="452"/>
      <c r="I50" s="452"/>
      <c r="J50" s="452"/>
      <c r="K50" s="452"/>
      <c r="L50" s="452"/>
      <c r="M50" s="453"/>
      <c r="N50" s="452"/>
      <c r="O50" s="453"/>
      <c r="P50" s="2526"/>
      <c r="Q50" s="2506"/>
      <c r="R50" s="2437"/>
      <c r="S50" s="2437"/>
      <c r="T50" s="2437"/>
      <c r="U50" s="2437"/>
      <c r="V50" s="2437"/>
      <c r="W50" s="2437"/>
      <c r="X50" s="2437"/>
      <c r="Y50" s="2437"/>
      <c r="Z50" s="2437"/>
      <c r="AA50" s="2437"/>
      <c r="AB50" s="2437"/>
      <c r="AC50" s="2437"/>
    </row>
    <row r="51" spans="1:29" s="102" customFormat="1" ht="14.4">
      <c r="A51" s="455" t="s">
        <v>1681</v>
      </c>
      <c r="B51" s="444"/>
      <c r="C51" s="456" t="s">
        <v>1776</v>
      </c>
      <c r="D51" s="31"/>
      <c r="E51" s="31"/>
      <c r="F51" s="31"/>
      <c r="G51" s="31"/>
      <c r="H51" s="31"/>
      <c r="I51" s="31"/>
      <c r="J51" s="31"/>
      <c r="K51" s="31"/>
      <c r="L51" s="457"/>
      <c r="M51" s="458"/>
      <c r="N51" s="2518"/>
      <c r="O51" s="2518"/>
      <c r="P51" s="2527"/>
      <c r="Q51" s="2506"/>
      <c r="R51" s="2437"/>
      <c r="S51" s="2437"/>
      <c r="T51" s="2437"/>
      <c r="U51" s="2437"/>
      <c r="V51" s="2437"/>
      <c r="W51" s="2437"/>
      <c r="X51" s="2437"/>
      <c r="Y51" s="2437"/>
      <c r="Z51" s="2437"/>
      <c r="AA51" s="2437"/>
      <c r="AB51" s="2437"/>
      <c r="AC51" s="2437"/>
    </row>
    <row r="52" spans="1:29" s="102" customFormat="1" ht="14.4" thickBot="1">
      <c r="A52" s="455"/>
      <c r="B52" s="444"/>
      <c r="C52" s="563">
        <v>100</v>
      </c>
      <c r="D52" s="446"/>
      <c r="E52" s="446"/>
      <c r="F52" s="446"/>
      <c r="G52" s="446"/>
      <c r="H52" s="446"/>
      <c r="I52" s="446"/>
      <c r="J52" s="446"/>
      <c r="K52" s="446"/>
      <c r="L52" s="446"/>
      <c r="M52" s="448"/>
      <c r="N52" s="2518"/>
      <c r="O52" s="2518"/>
      <c r="P52" s="2526"/>
      <c r="Q52" s="2506"/>
      <c r="R52" s="2437"/>
      <c r="S52" s="2437"/>
      <c r="T52" s="2437"/>
      <c r="U52" s="2437"/>
      <c r="V52" s="2437"/>
      <c r="W52" s="2437"/>
      <c r="X52" s="2437"/>
      <c r="Y52" s="2437"/>
      <c r="Z52" s="2437"/>
      <c r="AA52" s="2437"/>
      <c r="AB52" s="2437"/>
      <c r="AC52" s="2437"/>
    </row>
    <row r="53" spans="1:29" ht="14.4">
      <c r="A53" s="379" t="s">
        <v>1719</v>
      </c>
      <c r="B53" s="460" t="s">
        <v>1685</v>
      </c>
      <c r="C53" s="461">
        <f>C9</f>
        <v>0</v>
      </c>
      <c r="D53" s="462"/>
      <c r="E53" s="462"/>
      <c r="F53" s="462"/>
      <c r="G53" s="462"/>
      <c r="H53" s="462"/>
      <c r="I53" s="462"/>
      <c r="J53" s="462"/>
      <c r="K53" s="463"/>
      <c r="L53" s="464"/>
      <c r="M53" s="465"/>
      <c r="N53" s="2519"/>
      <c r="O53" s="2519"/>
      <c r="P53" s="2528"/>
      <c r="Q53" s="2506"/>
      <c r="R53" s="2485"/>
      <c r="S53" s="2485"/>
      <c r="T53" s="2485"/>
      <c r="U53" s="2485"/>
      <c r="V53" s="2485"/>
      <c r="W53" s="2485"/>
      <c r="X53" s="2485"/>
      <c r="Y53" s="2485"/>
      <c r="Z53" s="2485"/>
      <c r="AA53" s="2485"/>
      <c r="AB53" s="2485"/>
      <c r="AC53" s="2485"/>
    </row>
    <row r="54" spans="1:29" ht="14.4" thickBot="1">
      <c r="A54" s="367"/>
      <c r="B54" s="466"/>
      <c r="C54" s="467">
        <v>100</v>
      </c>
      <c r="D54" s="467"/>
      <c r="E54" s="467"/>
      <c r="F54" s="467"/>
      <c r="G54" s="467"/>
      <c r="H54" s="467"/>
      <c r="I54" s="467"/>
      <c r="J54" s="467"/>
      <c r="K54" s="467"/>
      <c r="L54" s="467"/>
      <c r="M54" s="468"/>
      <c r="N54" s="2520"/>
      <c r="O54" s="2520"/>
      <c r="P54" s="2528"/>
      <c r="Q54" s="2506"/>
      <c r="R54" s="2485"/>
      <c r="S54" s="2485"/>
      <c r="T54" s="2485"/>
      <c r="U54" s="2485"/>
      <c r="V54" s="2485"/>
      <c r="W54" s="2485"/>
      <c r="X54" s="2485"/>
      <c r="Y54" s="2485"/>
      <c r="Z54" s="2485"/>
      <c r="AA54" s="2485"/>
      <c r="AB54" s="2485"/>
      <c r="AC54" s="2485"/>
    </row>
    <row r="55" spans="1:29" ht="29.4" thickTop="1">
      <c r="A55" s="367"/>
      <c r="B55" s="469" t="s">
        <v>1688</v>
      </c>
      <c r="C55" s="513"/>
      <c r="D55" s="513"/>
      <c r="E55" s="513"/>
      <c r="F55" s="513"/>
      <c r="G55" s="513"/>
      <c r="H55" s="513"/>
      <c r="I55" s="513"/>
      <c r="J55" s="513"/>
      <c r="K55" s="514"/>
      <c r="L55" s="515"/>
      <c r="M55" s="516"/>
      <c r="N55" s="2519"/>
      <c r="O55" s="2519"/>
      <c r="P55" s="2528"/>
      <c r="Q55" s="2506"/>
      <c r="R55" s="2485"/>
      <c r="S55" s="2485"/>
      <c r="T55" s="2485"/>
      <c r="U55" s="2485"/>
      <c r="V55" s="2485"/>
      <c r="W55" s="2485"/>
      <c r="X55" s="2485"/>
      <c r="Y55" s="2485"/>
      <c r="Z55" s="2485"/>
      <c r="AA55" s="2485"/>
      <c r="AB55" s="2485"/>
      <c r="AC55" s="2485"/>
    </row>
    <row r="56" spans="1:29" ht="14.4" thickBot="1">
      <c r="A56" s="367"/>
      <c r="B56" s="474"/>
      <c r="C56" s="467"/>
      <c r="D56" s="467"/>
      <c r="E56" s="467"/>
      <c r="F56" s="467"/>
      <c r="G56" s="467"/>
      <c r="H56" s="467"/>
      <c r="I56" s="467"/>
      <c r="J56" s="467"/>
      <c r="K56" s="467"/>
      <c r="L56" s="467"/>
      <c r="M56" s="468"/>
      <c r="N56" s="2520"/>
      <c r="O56" s="2520"/>
      <c r="P56" s="2528"/>
      <c r="Q56" s="2506"/>
      <c r="R56" s="2485"/>
      <c r="S56" s="2485"/>
      <c r="T56" s="2485"/>
      <c r="U56" s="2485"/>
      <c r="V56" s="2485"/>
      <c r="W56" s="2485"/>
      <c r="X56" s="2485"/>
      <c r="Y56" s="2485"/>
      <c r="Z56" s="2485"/>
      <c r="AA56" s="2485"/>
      <c r="AB56" s="2485"/>
      <c r="AC56" s="2485"/>
    </row>
    <row r="57" spans="1:29" ht="14.4" thickTop="1">
      <c r="A57" s="367"/>
      <c r="B57" s="581">
        <f>B11</f>
        <v>111</v>
      </c>
      <c r="C57" s="480"/>
      <c r="D57" s="480"/>
      <c r="E57" s="480"/>
      <c r="F57" s="480"/>
      <c r="G57" s="480"/>
      <c r="H57" s="480"/>
      <c r="I57" s="480"/>
      <c r="J57" s="480"/>
      <c r="K57" s="481"/>
      <c r="L57" s="482"/>
      <c r="M57" s="483"/>
      <c r="N57" s="2519"/>
      <c r="O57" s="2519"/>
      <c r="P57" s="2528"/>
      <c r="Q57" s="2506"/>
      <c r="R57" s="2485"/>
      <c r="S57" s="2485"/>
      <c r="T57" s="2485"/>
      <c r="U57" s="2485"/>
      <c r="V57" s="2485"/>
      <c r="W57" s="2485"/>
      <c r="X57" s="2485"/>
      <c r="Y57" s="2485"/>
      <c r="Z57" s="2485"/>
      <c r="AA57" s="2485"/>
      <c r="AB57" s="2485"/>
      <c r="AC57" s="2485"/>
    </row>
    <row r="58" spans="1:29" ht="14.4" thickBot="1">
      <c r="A58" s="367"/>
      <c r="B58" s="466"/>
      <c r="C58" s="491"/>
      <c r="D58" s="467"/>
      <c r="E58" s="467"/>
      <c r="F58" s="467"/>
      <c r="G58" s="467"/>
      <c r="H58" s="467"/>
      <c r="I58" s="467"/>
      <c r="J58" s="467"/>
      <c r="K58" s="467"/>
      <c r="L58" s="467"/>
      <c r="M58" s="468"/>
      <c r="N58" s="2520"/>
      <c r="O58" s="2520"/>
      <c r="P58" s="2528"/>
      <c r="Q58" s="2506"/>
      <c r="R58" s="2485"/>
      <c r="S58" s="2485"/>
      <c r="T58" s="2485"/>
      <c r="U58" s="2485"/>
      <c r="V58" s="2485"/>
      <c r="W58" s="2485"/>
      <c r="X58" s="2485"/>
      <c r="Y58" s="2485"/>
      <c r="Z58" s="2485"/>
      <c r="AA58" s="2485"/>
      <c r="AB58" s="2485"/>
      <c r="AC58" s="2485"/>
    </row>
    <row r="59" spans="1:29" s="408" customFormat="1" ht="14.4" thickTop="1">
      <c r="A59" s="484"/>
      <c r="B59" s="469">
        <f>B12</f>
        <v>111</v>
      </c>
      <c r="C59" s="480"/>
      <c r="D59" s="480"/>
      <c r="E59" s="480"/>
      <c r="F59" s="480"/>
      <c r="G59" s="485"/>
      <c r="H59" s="486"/>
      <c r="I59" s="486"/>
      <c r="J59" s="486"/>
      <c r="K59" s="486"/>
      <c r="L59" s="487"/>
      <c r="M59" s="488"/>
      <c r="N59" s="2521"/>
      <c r="O59" s="2521"/>
      <c r="P59" s="2529"/>
      <c r="Q59" s="2513"/>
      <c r="R59" s="2491"/>
      <c r="S59" s="2491"/>
      <c r="T59" s="2491"/>
      <c r="U59" s="2491"/>
      <c r="V59" s="2491"/>
      <c r="W59" s="2491"/>
      <c r="X59" s="2491"/>
      <c r="Y59" s="2491"/>
      <c r="Z59" s="2491"/>
      <c r="AA59" s="2491"/>
      <c r="AB59" s="2491"/>
      <c r="AC59" s="2491"/>
    </row>
    <row r="60" spans="1:29" s="408" customFormat="1" ht="14.4" thickBot="1">
      <c r="A60" s="484"/>
      <c r="B60" s="474"/>
      <c r="C60" s="491"/>
      <c r="D60" s="467"/>
      <c r="E60" s="467"/>
      <c r="F60" s="467"/>
      <c r="G60" s="467"/>
      <c r="H60" s="467"/>
      <c r="I60" s="467"/>
      <c r="J60" s="467"/>
      <c r="K60" s="467"/>
      <c r="L60" s="467"/>
      <c r="M60" s="468"/>
      <c r="N60" s="2520"/>
      <c r="O60" s="2520"/>
      <c r="P60" s="2529"/>
      <c r="Q60" s="2513"/>
      <c r="R60" s="2491"/>
      <c r="S60" s="2491"/>
      <c r="T60" s="2491"/>
      <c r="U60" s="2491"/>
      <c r="V60" s="2491"/>
      <c r="W60" s="2491"/>
      <c r="X60" s="2491"/>
      <c r="Y60" s="2491"/>
      <c r="Z60" s="2491"/>
      <c r="AA60" s="2491"/>
      <c r="AB60" s="2491"/>
      <c r="AC60" s="2491"/>
    </row>
    <row r="61" spans="1:29" s="408" customFormat="1" ht="14.4" thickTop="1">
      <c r="A61" s="484"/>
      <c r="B61" s="469">
        <f>B13</f>
        <v>111</v>
      </c>
      <c r="C61" s="485"/>
      <c r="D61" s="485"/>
      <c r="E61" s="485"/>
      <c r="F61" s="485"/>
      <c r="G61" s="485"/>
      <c r="H61" s="486"/>
      <c r="I61" s="486"/>
      <c r="J61" s="486"/>
      <c r="K61" s="486"/>
      <c r="L61" s="487"/>
      <c r="M61" s="488"/>
      <c r="N61" s="2521"/>
      <c r="O61" s="2521"/>
      <c r="P61" s="2530"/>
      <c r="Q61" s="2515"/>
      <c r="R61" s="2491"/>
      <c r="S61" s="2491"/>
      <c r="T61" s="2491"/>
      <c r="U61" s="2491"/>
      <c r="V61" s="2491"/>
      <c r="W61" s="2491"/>
      <c r="X61" s="2491"/>
      <c r="Y61" s="2491"/>
      <c r="Z61" s="2491"/>
      <c r="AA61" s="2491"/>
      <c r="AB61" s="2491"/>
      <c r="AC61" s="2491"/>
    </row>
    <row r="62" spans="1:29" s="408" customFormat="1" ht="14.4" thickBot="1">
      <c r="A62" s="484"/>
      <c r="B62" s="474"/>
      <c r="C62" s="491"/>
      <c r="D62" s="491"/>
      <c r="E62" s="491"/>
      <c r="F62" s="491"/>
      <c r="G62" s="491"/>
      <c r="H62" s="493"/>
      <c r="I62" s="493"/>
      <c r="J62" s="493"/>
      <c r="K62" s="493"/>
      <c r="L62" s="493"/>
      <c r="M62" s="494"/>
      <c r="N62" s="2521"/>
      <c r="O62" s="2521"/>
      <c r="P62" s="2529"/>
      <c r="Q62" s="2513"/>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9"/>
      <c r="O63" s="2519"/>
      <c r="P63" s="2532"/>
      <c r="Q63" s="2506"/>
      <c r="R63" s="2485"/>
      <c r="S63" s="2485"/>
      <c r="T63" s="2485"/>
      <c r="U63" s="2485"/>
      <c r="V63" s="2485"/>
      <c r="W63" s="2485"/>
      <c r="X63" s="2485"/>
      <c r="Y63" s="2485"/>
      <c r="Z63" s="2485"/>
      <c r="AA63" s="2485"/>
      <c r="AB63" s="2485"/>
      <c r="AC63" s="2485"/>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0"/>
      <c r="O64" s="2520"/>
      <c r="P64" s="2528"/>
      <c r="Q64" s="2506"/>
      <c r="R64" s="2485"/>
      <c r="S64" s="2485"/>
      <c r="T64" s="2485"/>
      <c r="U64" s="2485"/>
      <c r="V64" s="2485"/>
      <c r="W64" s="2485"/>
      <c r="X64" s="2485"/>
      <c r="Y64" s="2485"/>
      <c r="Z64" s="2485"/>
      <c r="AA64" s="2485"/>
      <c r="AB64" s="2485"/>
      <c r="AC64" s="2485"/>
    </row>
    <row r="65" spans="1:29" ht="15" thickTop="1">
      <c r="A65" s="367"/>
      <c r="B65" s="469" t="s">
        <v>1727</v>
      </c>
      <c r="C65" s="509" t="s">
        <v>1721</v>
      </c>
      <c r="D65" s="509" t="s">
        <v>1722</v>
      </c>
      <c r="E65" s="509" t="s">
        <v>1723</v>
      </c>
      <c r="F65" s="509" t="s">
        <v>1724</v>
      </c>
      <c r="G65" s="509" t="s">
        <v>1725</v>
      </c>
      <c r="H65" s="470"/>
      <c r="I65" s="470"/>
      <c r="J65" s="470"/>
      <c r="K65" s="471"/>
      <c r="L65" s="472"/>
      <c r="M65" s="473"/>
      <c r="N65" s="2519"/>
      <c r="O65" s="2519"/>
      <c r="P65" s="2528"/>
      <c r="Q65" s="2506"/>
      <c r="R65" s="2485"/>
      <c r="S65" s="2485"/>
      <c r="T65" s="2485"/>
      <c r="U65" s="2485"/>
      <c r="V65" s="2485"/>
      <c r="W65" s="2485"/>
      <c r="X65" s="2485"/>
      <c r="Y65" s="2485"/>
      <c r="Z65" s="2485"/>
      <c r="AA65" s="2485"/>
      <c r="AB65" s="2485"/>
      <c r="AC65" s="2485"/>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0"/>
      <c r="O66" s="2520"/>
      <c r="P66" s="2528"/>
      <c r="Q66" s="2506"/>
      <c r="R66" s="2485"/>
      <c r="S66" s="2485"/>
      <c r="T66" s="2485"/>
      <c r="U66" s="2485"/>
      <c r="V66" s="2485"/>
      <c r="W66" s="2485"/>
      <c r="X66" s="2485"/>
      <c r="Y66" s="2485"/>
      <c r="Z66" s="2485"/>
      <c r="AA66" s="2485"/>
      <c r="AB66" s="2485"/>
      <c r="AC66" s="2485"/>
    </row>
    <row r="67" spans="1:29" ht="15" thickTop="1">
      <c r="A67" s="367"/>
      <c r="B67" s="477" t="s">
        <v>1813</v>
      </c>
      <c r="C67" s="581" t="s">
        <v>1799</v>
      </c>
      <c r="D67" s="581" t="s">
        <v>1800</v>
      </c>
      <c r="E67" s="581" t="s">
        <v>1801</v>
      </c>
      <c r="F67" s="581" t="s">
        <v>1802</v>
      </c>
      <c r="G67" s="581" t="s">
        <v>1803</v>
      </c>
      <c r="H67" s="470"/>
      <c r="I67" s="470"/>
      <c r="J67" s="470"/>
      <c r="K67" s="470"/>
      <c r="L67" s="470"/>
      <c r="M67" s="1063"/>
      <c r="N67" s="2520"/>
      <c r="O67" s="2520"/>
      <c r="P67" s="2528"/>
      <c r="Q67" s="2506"/>
      <c r="R67" s="2485"/>
      <c r="S67" s="2485"/>
      <c r="T67" s="2485"/>
      <c r="U67" s="2485"/>
      <c r="V67" s="2485"/>
      <c r="W67" s="2485"/>
      <c r="X67" s="2485"/>
      <c r="Y67" s="2485"/>
      <c r="Z67" s="2485"/>
      <c r="AA67" s="2485"/>
      <c r="AB67" s="2485"/>
      <c r="AC67" s="2485"/>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0"/>
      <c r="O68" s="2520"/>
      <c r="P68" s="2528"/>
      <c r="Q68" s="2506"/>
      <c r="R68" s="2485"/>
      <c r="S68" s="2485"/>
      <c r="T68" s="2485"/>
      <c r="U68" s="2485"/>
      <c r="V68" s="2485"/>
      <c r="W68" s="2485"/>
      <c r="X68" s="2485"/>
      <c r="Y68" s="2485"/>
      <c r="Z68" s="2485"/>
      <c r="AA68" s="2485"/>
      <c r="AB68" s="2485"/>
      <c r="AC68" s="2485"/>
    </row>
    <row r="69" spans="1:29" ht="15" thickTop="1">
      <c r="A69" s="367"/>
      <c r="B69" s="469" t="s">
        <v>1733</v>
      </c>
      <c r="C69" s="509" t="s">
        <v>1721</v>
      </c>
      <c r="D69" s="509" t="s">
        <v>1722</v>
      </c>
      <c r="E69" s="509" t="s">
        <v>1723</v>
      </c>
      <c r="F69" s="509" t="s">
        <v>1724</v>
      </c>
      <c r="G69" s="509" t="s">
        <v>1725</v>
      </c>
      <c r="H69" s="470"/>
      <c r="I69" s="470"/>
      <c r="J69" s="470"/>
      <c r="K69" s="471"/>
      <c r="L69" s="472"/>
      <c r="M69" s="473"/>
      <c r="N69" s="2519"/>
      <c r="O69" s="2519"/>
      <c r="P69" s="2528"/>
      <c r="Q69" s="2506"/>
      <c r="R69" s="2485"/>
      <c r="S69" s="2485"/>
      <c r="T69" s="2485"/>
      <c r="U69" s="2485"/>
      <c r="V69" s="2485"/>
      <c r="W69" s="2485"/>
      <c r="X69" s="2485"/>
      <c r="Y69" s="2485"/>
      <c r="Z69" s="2485"/>
      <c r="AA69" s="2485"/>
      <c r="AB69" s="2485"/>
      <c r="AC69" s="2485"/>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0"/>
      <c r="O70" s="2520"/>
      <c r="P70" s="2528"/>
      <c r="Q70" s="2506"/>
      <c r="R70" s="2485"/>
      <c r="S70" s="2485"/>
      <c r="T70" s="2485"/>
      <c r="U70" s="2485"/>
      <c r="V70" s="2485"/>
      <c r="W70" s="2485"/>
      <c r="X70" s="2485"/>
      <c r="Y70" s="2485"/>
      <c r="Z70" s="2485"/>
      <c r="AA70" s="2485"/>
      <c r="AB70" s="2485"/>
      <c r="AC70" s="2485"/>
    </row>
    <row r="71" spans="1:29" ht="15" thickTop="1">
      <c r="A71" s="367"/>
      <c r="B71" s="469" t="s">
        <v>1852</v>
      </c>
      <c r="C71" s="485"/>
      <c r="D71" s="485"/>
      <c r="E71" s="485"/>
      <c r="F71" s="485"/>
      <c r="G71" s="485"/>
      <c r="H71" s="513"/>
      <c r="I71" s="513"/>
      <c r="J71" s="513"/>
      <c r="K71" s="514"/>
      <c r="L71" s="515"/>
      <c r="M71" s="516"/>
      <c r="N71" s="2519"/>
      <c r="O71" s="2519"/>
      <c r="P71" s="2528"/>
      <c r="Q71" s="2506"/>
      <c r="R71" s="2485"/>
      <c r="S71" s="2485"/>
      <c r="T71" s="2485"/>
      <c r="U71" s="2485"/>
      <c r="V71" s="2485"/>
      <c r="W71" s="2485"/>
      <c r="X71" s="2485"/>
      <c r="Y71" s="2485"/>
      <c r="Z71" s="2485"/>
      <c r="AA71" s="2485"/>
      <c r="AB71" s="2485"/>
      <c r="AC71" s="2485"/>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0"/>
      <c r="O72" s="2520"/>
      <c r="P72" s="2528"/>
      <c r="Q72" s="2506"/>
      <c r="R72" s="2485"/>
      <c r="S72" s="2485"/>
      <c r="T72" s="2485"/>
      <c r="U72" s="2485"/>
      <c r="V72" s="2485"/>
      <c r="W72" s="2485"/>
      <c r="X72" s="2485"/>
      <c r="Y72" s="2485"/>
      <c r="Z72" s="2485"/>
      <c r="AA72" s="2485"/>
      <c r="AB72" s="2485"/>
      <c r="AC72" s="2485"/>
    </row>
    <row r="73" spans="1:29" s="102" customFormat="1" ht="14.4" thickTop="1">
      <c r="A73" s="370"/>
      <c r="B73" s="469">
        <f>B23</f>
        <v>111</v>
      </c>
      <c r="C73" s="480"/>
      <c r="D73" s="480"/>
      <c r="E73" s="480"/>
      <c r="F73" s="480"/>
      <c r="G73" s="485"/>
      <c r="H73" s="485"/>
      <c r="I73" s="485"/>
      <c r="J73" s="485"/>
      <c r="K73" s="485"/>
      <c r="L73" s="510"/>
      <c r="M73" s="511"/>
      <c r="N73" s="2518"/>
      <c r="O73" s="2518"/>
      <c r="P73" s="2528"/>
      <c r="Q73" s="2506"/>
      <c r="R73" s="2437"/>
      <c r="S73" s="2437"/>
      <c r="T73" s="2437"/>
      <c r="U73" s="2437"/>
      <c r="V73" s="2437"/>
      <c r="W73" s="2437"/>
      <c r="X73" s="2437"/>
      <c r="Y73" s="2437"/>
      <c r="Z73" s="2437"/>
      <c r="AA73" s="2437"/>
      <c r="AB73" s="2437"/>
      <c r="AC73" s="2437"/>
    </row>
    <row r="74" spans="1:29" s="102" customFormat="1" ht="14.4" thickBot="1">
      <c r="A74" s="370"/>
      <c r="B74" s="474"/>
      <c r="C74" s="491"/>
      <c r="D74" s="467"/>
      <c r="E74" s="467"/>
      <c r="F74" s="467"/>
      <c r="G74" s="467"/>
      <c r="H74" s="467"/>
      <c r="I74" s="467"/>
      <c r="J74" s="467"/>
      <c r="K74" s="467"/>
      <c r="L74" s="467"/>
      <c r="M74" s="468"/>
      <c r="N74" s="2520"/>
      <c r="O74" s="2520"/>
      <c r="P74" s="2528"/>
      <c r="Q74" s="2506"/>
      <c r="R74" s="2437"/>
      <c r="S74" s="2437"/>
      <c r="T74" s="2437"/>
      <c r="U74" s="2437"/>
      <c r="V74" s="2437"/>
      <c r="W74" s="2437"/>
      <c r="X74" s="2437"/>
      <c r="Y74" s="2437"/>
      <c r="Z74" s="2437"/>
      <c r="AA74" s="2437"/>
      <c r="AB74" s="2437"/>
      <c r="AC74" s="2437"/>
    </row>
    <row r="75" spans="1:29" s="102" customFormat="1" ht="14.4" thickTop="1">
      <c r="A75" s="370"/>
      <c r="B75" s="469">
        <f>B24</f>
        <v>111</v>
      </c>
      <c r="C75" s="480"/>
      <c r="D75" s="480"/>
      <c r="E75" s="480"/>
      <c r="F75" s="480"/>
      <c r="G75" s="485"/>
      <c r="H75" s="485"/>
      <c r="I75" s="485"/>
      <c r="J75" s="485"/>
      <c r="K75" s="485"/>
      <c r="L75" s="485"/>
      <c r="M75" s="511"/>
      <c r="N75" s="2518"/>
      <c r="O75" s="2518"/>
      <c r="P75" s="2528"/>
      <c r="Q75" s="2506"/>
      <c r="R75" s="2437"/>
      <c r="S75" s="2437"/>
      <c r="T75" s="2437"/>
      <c r="U75" s="2437"/>
      <c r="V75" s="2437"/>
      <c r="W75" s="2437"/>
      <c r="X75" s="2437"/>
      <c r="Y75" s="2437"/>
      <c r="Z75" s="2437"/>
      <c r="AA75" s="2437"/>
      <c r="AB75" s="2437"/>
      <c r="AC75" s="2437"/>
    </row>
    <row r="76" spans="1:29" s="102" customFormat="1" ht="14.4" thickBot="1">
      <c r="A76" s="370"/>
      <c r="B76" s="474"/>
      <c r="C76" s="491"/>
      <c r="D76" s="467"/>
      <c r="E76" s="467"/>
      <c r="F76" s="467"/>
      <c r="G76" s="467"/>
      <c r="H76" s="467"/>
      <c r="I76" s="467"/>
      <c r="J76" s="467"/>
      <c r="K76" s="467"/>
      <c r="L76" s="467"/>
      <c r="M76" s="468"/>
      <c r="N76" s="2520"/>
      <c r="O76" s="2520"/>
      <c r="P76" s="2528"/>
      <c r="Q76" s="2506"/>
      <c r="R76" s="2437"/>
      <c r="S76" s="2437"/>
      <c r="T76" s="2437"/>
      <c r="U76" s="2437"/>
      <c r="V76" s="2437"/>
      <c r="W76" s="2437"/>
      <c r="X76" s="2437"/>
      <c r="Y76" s="2437"/>
      <c r="Z76" s="2437"/>
      <c r="AA76" s="2437"/>
      <c r="AB76" s="2437"/>
      <c r="AC76" s="2437"/>
    </row>
    <row r="77" spans="1:29" s="408" customFormat="1" ht="14.4" thickTop="1">
      <c r="A77" s="484"/>
      <c r="B77" s="469">
        <f>B25</f>
        <v>111</v>
      </c>
      <c r="C77" s="485"/>
      <c r="D77" s="485"/>
      <c r="E77" s="485"/>
      <c r="F77" s="485"/>
      <c r="G77" s="485"/>
      <c r="H77" s="486"/>
      <c r="I77" s="486"/>
      <c r="J77" s="486"/>
      <c r="K77" s="486"/>
      <c r="L77" s="487"/>
      <c r="M77" s="488"/>
      <c r="N77" s="2521"/>
      <c r="O77" s="2521"/>
      <c r="P77" s="2529"/>
      <c r="Q77" s="2513"/>
      <c r="R77" s="2491"/>
      <c r="S77" s="2491"/>
      <c r="T77" s="2491"/>
      <c r="U77" s="2491"/>
      <c r="V77" s="2491"/>
      <c r="W77" s="2491"/>
      <c r="X77" s="2491"/>
      <c r="Y77" s="2491"/>
      <c r="Z77" s="2491"/>
      <c r="AA77" s="2491"/>
      <c r="AB77" s="2491"/>
      <c r="AC77" s="2491"/>
    </row>
    <row r="78" spans="1:29" s="408" customFormat="1" ht="14.4" thickBot="1">
      <c r="A78" s="484"/>
      <c r="B78" s="474"/>
      <c r="C78" s="491"/>
      <c r="D78" s="491"/>
      <c r="E78" s="491"/>
      <c r="F78" s="491"/>
      <c r="G78" s="467"/>
      <c r="H78" s="467"/>
      <c r="I78" s="467"/>
      <c r="J78" s="467"/>
      <c r="K78" s="467"/>
      <c r="L78" s="467"/>
      <c r="M78" s="468"/>
      <c r="N78" s="2521"/>
      <c r="O78" s="2521"/>
      <c r="P78" s="2529"/>
      <c r="Q78" s="2513"/>
      <c r="R78" s="2491"/>
      <c r="S78" s="2491"/>
      <c r="T78" s="2491"/>
      <c r="U78" s="2491"/>
      <c r="V78" s="2491"/>
      <c r="W78" s="2491"/>
      <c r="X78" s="2491"/>
      <c r="Y78" s="2491"/>
      <c r="Z78" s="2491"/>
      <c r="AA78" s="2491"/>
      <c r="AB78" s="2491"/>
      <c r="AC78" s="2491"/>
    </row>
    <row r="79" spans="1:29" ht="29.4" thickTop="1">
      <c r="A79" s="379" t="s">
        <v>1694</v>
      </c>
      <c r="B79" s="460" t="s">
        <v>1853</v>
      </c>
      <c r="C79" s="461" t="str">
        <f>C26</f>
        <v>车库</v>
      </c>
      <c r="D79" s="462"/>
      <c r="E79" s="462"/>
      <c r="F79" s="462"/>
      <c r="G79" s="462"/>
      <c r="H79" s="462"/>
      <c r="I79" s="462"/>
      <c r="J79" s="462"/>
      <c r="K79" s="463"/>
      <c r="L79" s="464"/>
      <c r="M79" s="465"/>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0"/>
      <c r="O80" s="2520"/>
      <c r="P80" s="2528"/>
      <c r="Q80" s="2506"/>
      <c r="R80" s="2485"/>
      <c r="S80" s="2485"/>
      <c r="T80" s="2485"/>
      <c r="U80" s="2485"/>
      <c r="V80" s="2485"/>
      <c r="W80" s="2485"/>
      <c r="X80" s="2485"/>
      <c r="Y80" s="2485"/>
      <c r="Z80" s="2485"/>
      <c r="AA80" s="2485"/>
      <c r="AB80" s="2485"/>
      <c r="AC80" s="2485"/>
    </row>
    <row r="81" spans="1:29" ht="15" thickTop="1">
      <c r="A81" s="367"/>
      <c r="B81" s="469" t="s">
        <v>1854</v>
      </c>
      <c r="C81" s="582"/>
      <c r="D81" s="582"/>
      <c r="E81" s="582"/>
      <c r="F81" s="582"/>
      <c r="G81" s="582"/>
      <c r="H81" s="582"/>
      <c r="I81" s="582"/>
      <c r="J81" s="582"/>
      <c r="K81" s="583"/>
      <c r="L81" s="584"/>
      <c r="M81" s="585"/>
      <c r="N81" s="2518"/>
      <c r="O81" s="2518"/>
      <c r="P81" s="2528"/>
      <c r="Q81" s="2506"/>
      <c r="R81" s="2485"/>
      <c r="S81" s="2485"/>
      <c r="T81" s="2485"/>
      <c r="U81" s="2485"/>
      <c r="V81" s="2485"/>
      <c r="W81" s="2485"/>
      <c r="X81" s="2485"/>
      <c r="Y81" s="2485"/>
      <c r="Z81" s="2485"/>
      <c r="AA81" s="2485"/>
      <c r="AB81" s="2485"/>
      <c r="AC81" s="2485"/>
    </row>
    <row r="82" spans="1:29" s="408" customFormat="1" ht="14.4" thickBot="1">
      <c r="A82" s="484"/>
      <c r="B82" s="474"/>
      <c r="C82" s="491"/>
      <c r="D82" s="467"/>
      <c r="E82" s="467"/>
      <c r="F82" s="467"/>
      <c r="G82" s="467"/>
      <c r="H82" s="467"/>
      <c r="I82" s="467"/>
      <c r="J82" s="467"/>
      <c r="K82" s="467"/>
      <c r="L82" s="467"/>
      <c r="M82" s="468"/>
      <c r="N82" s="2520"/>
      <c r="O82" s="2520"/>
      <c r="P82" s="2529"/>
      <c r="Q82" s="2513"/>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9"/>
      <c r="O83" s="2519"/>
      <c r="P83" s="2528"/>
      <c r="Q83" s="2506"/>
      <c r="R83" s="2485"/>
      <c r="S83" s="2485"/>
      <c r="T83" s="2485"/>
      <c r="U83" s="2485"/>
      <c r="V83" s="2485"/>
      <c r="W83" s="2485"/>
      <c r="X83" s="2485"/>
      <c r="Y83" s="2485"/>
      <c r="Z83" s="2485"/>
      <c r="AA83" s="2485"/>
      <c r="AB83" s="2485"/>
      <c r="AC83" s="2485"/>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9"/>
      <c r="O85" s="2519"/>
      <c r="P85" s="2528"/>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9"/>
      <c r="O86" s="2519"/>
      <c r="P86" s="2528"/>
      <c r="Q86" s="2506"/>
      <c r="R86" s="2485"/>
      <c r="S86" s="2485"/>
      <c r="T86" s="2485"/>
      <c r="U86" s="2485"/>
      <c r="V86" s="2485"/>
      <c r="W86" s="2485"/>
      <c r="X86" s="2485"/>
      <c r="Y86" s="2485"/>
      <c r="Z86" s="2485"/>
      <c r="AA86" s="2485"/>
      <c r="AB86" s="2485"/>
      <c r="AC86" s="2485"/>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9"/>
      <c r="O88" s="2519"/>
      <c r="P88" s="2528"/>
      <c r="Q88" s="2506"/>
      <c r="R88" s="2485"/>
      <c r="S88" s="2485"/>
      <c r="T88" s="2485"/>
      <c r="U88" s="2485"/>
      <c r="V88" s="2485"/>
      <c r="W88" s="2485"/>
      <c r="X88" s="2485"/>
      <c r="Y88" s="2485"/>
      <c r="Z88" s="2485"/>
      <c r="AA88" s="2485"/>
      <c r="AB88" s="2485"/>
      <c r="AC88" s="2485"/>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0"/>
      <c r="O89" s="2520"/>
      <c r="P89" s="2528"/>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1"/>
      <c r="O90" s="2521"/>
      <c r="P90" s="2529"/>
      <c r="Q90" s="2513"/>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491"/>
      <c r="D92" s="467"/>
      <c r="E92" s="467"/>
      <c r="F92" s="467"/>
      <c r="G92" s="467"/>
      <c r="H92" s="467"/>
      <c r="I92" s="467"/>
      <c r="J92" s="467"/>
      <c r="K92" s="467"/>
      <c r="L92" s="467"/>
      <c r="M92" s="468"/>
      <c r="N92" s="2521"/>
      <c r="O92" s="2521"/>
      <c r="P92" s="2529"/>
      <c r="Q92" s="2513"/>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0"/>
      <c r="O96" s="2520"/>
      <c r="P96" s="2528"/>
      <c r="Q96" s="2506"/>
      <c r="R96" s="2485"/>
      <c r="S96" s="2485"/>
      <c r="T96" s="2485"/>
      <c r="U96" s="2485"/>
      <c r="V96" s="2485"/>
      <c r="W96" s="2485"/>
      <c r="X96" s="2485"/>
      <c r="Y96" s="2485"/>
      <c r="Z96" s="2485"/>
      <c r="AA96" s="2485"/>
      <c r="AB96" s="2485"/>
      <c r="AC96" s="2485"/>
    </row>
    <row r="97" spans="1:29" ht="14.4" thickTop="1">
      <c r="A97" s="409"/>
      <c r="B97" s="560">
        <f>B34</f>
        <v>111</v>
      </c>
      <c r="C97" s="480"/>
      <c r="D97" s="480"/>
      <c r="E97" s="480"/>
      <c r="F97" s="480"/>
      <c r="G97" s="485"/>
      <c r="H97" s="486"/>
      <c r="I97" s="486"/>
      <c r="J97" s="486"/>
      <c r="K97" s="486"/>
      <c r="L97" s="487"/>
      <c r="M97" s="488"/>
      <c r="N97" s="2520"/>
      <c r="O97" s="2520"/>
      <c r="P97" s="2533"/>
      <c r="Q97" s="2534"/>
      <c r="R97" s="2485"/>
      <c r="S97" s="2485"/>
      <c r="T97" s="2485"/>
      <c r="U97" s="2485"/>
      <c r="V97" s="2485"/>
      <c r="W97" s="2485"/>
      <c r="X97" s="2485"/>
      <c r="Y97" s="2485"/>
      <c r="Z97" s="2485"/>
      <c r="AA97" s="2485"/>
      <c r="AB97" s="2485"/>
      <c r="AC97" s="2485"/>
    </row>
    <row r="98" spans="1:29" ht="14.4" thickBot="1">
      <c r="A98" s="367"/>
      <c r="B98" s="474"/>
      <c r="C98" s="491"/>
      <c r="D98" s="467"/>
      <c r="E98" s="467"/>
      <c r="F98" s="467"/>
      <c r="G98" s="491"/>
      <c r="H98" s="493"/>
      <c r="I98" s="493"/>
      <c r="J98" s="493"/>
      <c r="K98" s="493"/>
      <c r="L98" s="493"/>
      <c r="M98" s="494"/>
      <c r="N98" s="2520"/>
      <c r="O98" s="2520"/>
      <c r="P98" s="2528"/>
      <c r="Q98" s="2506"/>
      <c r="R98" s="2485"/>
      <c r="S98" s="2485"/>
      <c r="T98" s="2485"/>
      <c r="U98" s="2485"/>
      <c r="V98" s="2485"/>
      <c r="W98" s="2485"/>
      <c r="X98" s="2485"/>
      <c r="Y98" s="2485"/>
      <c r="Z98" s="2485"/>
      <c r="AA98" s="2485"/>
      <c r="AB98" s="2485"/>
      <c r="AC98" s="2485"/>
    </row>
    <row r="99" spans="1:29" s="408" customFormat="1" ht="14.4" thickTop="1">
      <c r="A99" s="406"/>
      <c r="B99" s="469">
        <f>B35</f>
        <v>111</v>
      </c>
      <c r="C99" s="480"/>
      <c r="D99" s="480"/>
      <c r="E99" s="480"/>
      <c r="F99" s="480"/>
      <c r="G99" s="485"/>
      <c r="H99" s="486"/>
      <c r="I99" s="486"/>
      <c r="J99" s="486"/>
      <c r="K99" s="486"/>
      <c r="L99" s="487"/>
      <c r="M99" s="488"/>
      <c r="N99" s="2521"/>
      <c r="O99" s="2521"/>
      <c r="P99" s="2529"/>
      <c r="Q99" s="2513"/>
      <c r="R99" s="2491"/>
      <c r="S99" s="2491"/>
      <c r="T99" s="2491"/>
      <c r="U99" s="2491"/>
      <c r="V99" s="2491"/>
      <c r="W99" s="2491"/>
      <c r="X99" s="2491"/>
      <c r="Y99" s="2491"/>
      <c r="Z99" s="2491"/>
      <c r="AA99" s="2491"/>
      <c r="AB99" s="2491"/>
      <c r="AC99" s="2491"/>
    </row>
    <row r="100" spans="1:29" s="408" customFormat="1" ht="14.4" thickBot="1">
      <c r="A100" s="484"/>
      <c r="B100" s="466"/>
      <c r="C100" s="491"/>
      <c r="D100" s="467"/>
      <c r="E100" s="467"/>
      <c r="F100" s="467"/>
      <c r="G100" s="491"/>
      <c r="H100" s="493"/>
      <c r="I100" s="493"/>
      <c r="J100" s="493"/>
      <c r="K100" s="493"/>
      <c r="L100" s="493"/>
      <c r="M100" s="494"/>
      <c r="N100" s="2521"/>
      <c r="O100" s="2521"/>
      <c r="P100" s="2529"/>
      <c r="Q100" s="2513"/>
      <c r="R100" s="2491"/>
      <c r="S100" s="2491"/>
      <c r="T100" s="2491"/>
      <c r="U100" s="2491"/>
      <c r="V100" s="2491"/>
      <c r="W100" s="2491"/>
      <c r="X100" s="2491"/>
      <c r="Y100" s="2491"/>
      <c r="Z100" s="2491"/>
      <c r="AA100" s="2491"/>
      <c r="AB100" s="2491"/>
      <c r="AC100" s="2491"/>
    </row>
    <row r="101" spans="1:29" ht="14.4" thickTop="1">
      <c r="A101" s="409"/>
      <c r="B101" s="469">
        <f>B36</f>
        <v>111</v>
      </c>
      <c r="C101" s="485"/>
      <c r="D101" s="485"/>
      <c r="E101" s="485"/>
      <c r="F101" s="485"/>
      <c r="G101" s="485"/>
      <c r="H101" s="486"/>
      <c r="I101" s="486"/>
      <c r="J101" s="486"/>
      <c r="K101" s="486"/>
      <c r="L101" s="487"/>
      <c r="M101" s="488"/>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91"/>
      <c r="D102" s="491"/>
      <c r="E102" s="491"/>
      <c r="F102" s="491"/>
      <c r="G102" s="491"/>
      <c r="H102" s="493"/>
      <c r="I102" s="493"/>
      <c r="J102" s="493"/>
      <c r="K102" s="493"/>
      <c r="L102" s="493"/>
      <c r="M102" s="494"/>
      <c r="N102" s="2520"/>
      <c r="O102" s="2520"/>
      <c r="P102" s="2528"/>
      <c r="Q102" s="2506"/>
      <c r="R102" s="2485"/>
      <c r="S102" s="2485"/>
      <c r="T102" s="2485"/>
      <c r="U102" s="2485"/>
      <c r="V102" s="2485"/>
      <c r="W102" s="2485"/>
      <c r="X102" s="2485"/>
      <c r="Y102" s="2485"/>
      <c r="Z102" s="2485"/>
      <c r="AA102" s="2485"/>
      <c r="AB102" s="2485"/>
      <c r="AC102" s="2485"/>
    </row>
    <row r="103" spans="1:29" ht="14.4"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3333</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04" t="s">
        <v>1771</v>
      </c>
      <c r="S4" s="3405"/>
      <c r="T4" s="3404" t="s">
        <v>1772</v>
      </c>
      <c r="U4" s="3405"/>
      <c r="V4" s="3429" t="s">
        <v>1773</v>
      </c>
      <c r="W4" s="3429"/>
      <c r="X4" s="1265"/>
      <c r="Y4" s="3404" t="s">
        <v>1775</v>
      </c>
      <c r="Z4" s="3405"/>
      <c r="AA4" s="3399" t="s">
        <v>1771</v>
      </c>
      <c r="AB4" s="3400" t="s">
        <v>1772</v>
      </c>
      <c r="AC4" s="3399" t="s">
        <v>1773</v>
      </c>
    </row>
    <row r="5" spans="1:29">
      <c r="A5" s="348"/>
      <c r="B5" s="349"/>
      <c r="C5" s="3410" t="s">
        <v>1673</v>
      </c>
      <c r="D5" s="3411"/>
      <c r="E5" s="3408" t="s">
        <v>1674</v>
      </c>
      <c r="F5" s="3409"/>
      <c r="G5" s="3410" t="s">
        <v>1675</v>
      </c>
      <c r="H5" s="3411"/>
      <c r="I5" s="3410" t="s">
        <v>1676</v>
      </c>
      <c r="J5" s="3411"/>
      <c r="K5" s="537"/>
      <c r="L5" s="2484"/>
      <c r="M5" s="2485"/>
      <c r="N5" s="2485"/>
      <c r="O5" s="2485"/>
      <c r="P5" s="3423"/>
      <c r="Q5" s="3424"/>
      <c r="R5" s="3406"/>
      <c r="S5" s="3407"/>
      <c r="T5" s="3406"/>
      <c r="U5" s="3407"/>
      <c r="V5" s="3429"/>
      <c r="W5" s="3429"/>
      <c r="X5" s="1265"/>
      <c r="Y5" s="3406"/>
      <c r="Z5" s="3407"/>
      <c r="AA5" s="3400"/>
      <c r="AB5" s="3400"/>
      <c r="AC5" s="3400"/>
    </row>
    <row r="6" spans="1:29" ht="15" thickBot="1">
      <c r="A6" s="350"/>
      <c r="B6" s="351"/>
      <c r="C6" s="3412" t="s">
        <v>1677</v>
      </c>
      <c r="D6" s="3413"/>
      <c r="E6" s="3414" t="s">
        <v>1677</v>
      </c>
      <c r="F6" s="3415"/>
      <c r="G6" s="3412" t="s">
        <v>1677</v>
      </c>
      <c r="H6" s="3413"/>
      <c r="I6" s="3412" t="s">
        <v>1677</v>
      </c>
      <c r="J6" s="3413"/>
      <c r="K6" s="537" t="s">
        <v>1678</v>
      </c>
      <c r="L6" s="2484"/>
      <c r="M6" s="2485"/>
      <c r="N6" s="2485"/>
      <c r="O6" s="2485"/>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c r="F7" s="357">
        <f>SUMIF(46:46,YEAR(E7)&amp;"-"&amp;MONTH(E7),47:47)</f>
        <v>0</v>
      </c>
      <c r="G7" s="1819"/>
      <c r="H7" s="355">
        <f>SUMIF(46:46,YEAR(G7)&amp;"-"&amp;MONTH(G7),47:47)</f>
        <v>0</v>
      </c>
      <c r="I7" s="356"/>
      <c r="J7" s="355">
        <f>SUMIF(46:46,YEAR(I7)&amp;"-"&amp;MONTH(I7),47:47)</f>
        <v>0</v>
      </c>
      <c r="K7" s="38"/>
      <c r="L7" s="2486"/>
      <c r="M7" s="2437"/>
      <c r="N7" s="2437"/>
      <c r="O7" s="2437"/>
      <c r="P7" s="3402" t="s">
        <v>1680</v>
      </c>
      <c r="Q7" s="3430"/>
      <c r="R7" s="664" t="s">
        <v>14</v>
      </c>
      <c r="S7" s="665">
        <f t="shared" ref="S7:S14" si="0">F7</f>
        <v>0</v>
      </c>
      <c r="T7" s="664" t="s">
        <v>14</v>
      </c>
      <c r="U7" s="665">
        <f t="shared" ref="U7:U14" si="1">H7</f>
        <v>0</v>
      </c>
      <c r="V7" s="664" t="s">
        <v>14</v>
      </c>
      <c r="W7" s="665">
        <f t="shared" ref="W7:W14" si="2">J7</f>
        <v>0</v>
      </c>
      <c r="X7" s="666"/>
      <c r="Y7" s="3402" t="s">
        <v>1680</v>
      </c>
      <c r="Z7" s="3403"/>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6"/>
      <c r="M8" s="2437"/>
      <c r="N8" s="2437"/>
      <c r="O8" s="2437"/>
      <c r="P8" s="3402" t="s">
        <v>1683</v>
      </c>
      <c r="Q8" s="3403"/>
      <c r="R8" s="664" t="s">
        <v>14</v>
      </c>
      <c r="S8" s="665">
        <f t="shared" si="0"/>
        <v>100</v>
      </c>
      <c r="T8" s="664" t="s">
        <v>14</v>
      </c>
      <c r="U8" s="665">
        <f t="shared" si="1"/>
        <v>100</v>
      </c>
      <c r="V8" s="664" t="s">
        <v>14</v>
      </c>
      <c r="W8" s="665">
        <f t="shared" si="2"/>
        <v>100</v>
      </c>
      <c r="X8" s="666"/>
      <c r="Y8" s="3402" t="s">
        <v>1683</v>
      </c>
      <c r="Z8" s="3403"/>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6"/>
      <c r="M9" s="2437"/>
      <c r="N9" s="2437"/>
      <c r="O9" s="2538"/>
      <c r="P9" s="3434" t="s">
        <v>1686</v>
      </c>
      <c r="Q9" s="530" t="str">
        <f t="shared" ref="Q9:Q14" si="6">B9</f>
        <v>用途</v>
      </c>
      <c r="R9" s="664" t="s">
        <v>14</v>
      </c>
      <c r="S9" s="665">
        <f t="shared" si="0"/>
        <v>100</v>
      </c>
      <c r="T9" s="664" t="s">
        <v>14</v>
      </c>
      <c r="U9" s="665">
        <f t="shared" si="1"/>
        <v>100</v>
      </c>
      <c r="V9" s="664" t="s">
        <v>14</v>
      </c>
      <c r="W9" s="665">
        <f t="shared" si="2"/>
        <v>100</v>
      </c>
      <c r="X9" s="666"/>
      <c r="Y9" s="3345" t="s">
        <v>1687</v>
      </c>
      <c r="Z9" s="50" t="str">
        <f t="shared" ref="Z9:Z14" si="7">Q9</f>
        <v>用途</v>
      </c>
      <c r="AA9" s="50">
        <f t="shared" si="3"/>
        <v>1</v>
      </c>
      <c r="AB9" s="50">
        <f t="shared" si="4"/>
        <v>1</v>
      </c>
      <c r="AC9" s="50">
        <f t="shared" si="5"/>
        <v>1</v>
      </c>
    </row>
    <row r="10" spans="1:29" s="366" customFormat="1" ht="28.8">
      <c r="A10" s="363"/>
      <c r="B10" s="364" t="s">
        <v>1688</v>
      </c>
      <c r="C10" s="3130"/>
      <c r="D10" s="119">
        <v>100</v>
      </c>
      <c r="E10" s="3130"/>
      <c r="F10" s="364">
        <f>SUMIF(53:53,E10,54:54)-SUMIF(53:53,C10,54:54)+100</f>
        <v>100</v>
      </c>
      <c r="G10" s="3130"/>
      <c r="H10" s="119">
        <f>SUMIF(53:53,G10,54:54)-SUMIF(53:53,C10,54:54)+100</f>
        <v>100</v>
      </c>
      <c r="I10" s="3130"/>
      <c r="J10" s="119">
        <f>SUMIF(53:53,I10,54:54)-SUMIF(53:53,C10,54:54)+100</f>
        <v>100</v>
      </c>
      <c r="K10" s="38"/>
      <c r="L10" s="2487"/>
      <c r="M10" s="2488"/>
      <c r="N10" s="2488"/>
      <c r="O10" s="2539"/>
      <c r="P10" s="3434"/>
      <c r="Q10" s="530" t="str">
        <f t="shared" si="6"/>
        <v>土地使用年限（年）</v>
      </c>
      <c r="R10" s="664" t="s">
        <v>14</v>
      </c>
      <c r="S10" s="665">
        <f t="shared" si="0"/>
        <v>100</v>
      </c>
      <c r="T10" s="664" t="s">
        <v>14</v>
      </c>
      <c r="U10" s="665">
        <f t="shared" si="1"/>
        <v>100</v>
      </c>
      <c r="V10" s="664" t="s">
        <v>14</v>
      </c>
      <c r="W10" s="665">
        <f t="shared" si="2"/>
        <v>100</v>
      </c>
      <c r="X10" s="666"/>
      <c r="Y10" s="334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40"/>
      <c r="P11" s="3434"/>
      <c r="Q11" s="530">
        <f t="shared" si="6"/>
        <v>111</v>
      </c>
      <c r="R11" s="664" t="s">
        <v>14</v>
      </c>
      <c r="S11" s="665">
        <f t="shared" si="0"/>
        <v>100</v>
      </c>
      <c r="T11" s="664" t="s">
        <v>14</v>
      </c>
      <c r="U11" s="665">
        <f t="shared" si="1"/>
        <v>100</v>
      </c>
      <c r="V11" s="664" t="s">
        <v>14</v>
      </c>
      <c r="W11" s="665">
        <f t="shared" si="2"/>
        <v>100</v>
      </c>
      <c r="X11" s="666"/>
      <c r="Y11" s="334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7"/>
      <c r="N12" s="2437"/>
      <c r="O12" s="2538"/>
      <c r="P12" s="3434"/>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0"/>
      <c r="H13" s="377">
        <f>SUMIF(59:59,G13,60:60)-SUMIF(59:59,C13,60:60)+100</f>
        <v>100</v>
      </c>
      <c r="I13" s="407"/>
      <c r="J13" s="374">
        <f>SUMIF(59:59,I13,60:60)-SUMIF(59:59,C13,60:60)+100</f>
        <v>100</v>
      </c>
      <c r="K13" s="539"/>
      <c r="L13" s="2490"/>
      <c r="M13" s="2485"/>
      <c r="N13" s="2485"/>
      <c r="O13" s="2540"/>
      <c r="P13" s="3434"/>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50">
        <f t="shared" si="5"/>
        <v>1</v>
      </c>
    </row>
    <row r="14" spans="1:29" ht="96.6">
      <c r="A14" s="379" t="s">
        <v>1690</v>
      </c>
      <c r="B14" s="58" t="s">
        <v>1833</v>
      </c>
      <c r="C14" s="1816"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0"/>
      <c r="M14" s="2485"/>
      <c r="N14" s="2485"/>
      <c r="O14" s="2540"/>
      <c r="P14" s="3435" t="s">
        <v>1691</v>
      </c>
      <c r="Q14" s="1263" t="str">
        <f t="shared" si="6"/>
        <v>交通便捷度</v>
      </c>
      <c r="R14" s="667" t="s">
        <v>14</v>
      </c>
      <c r="S14" s="668">
        <f t="shared" si="0"/>
        <v>100</v>
      </c>
      <c r="T14" s="667" t="s">
        <v>14</v>
      </c>
      <c r="U14" s="668">
        <f t="shared" si="1"/>
        <v>100</v>
      </c>
      <c r="V14" s="667" t="s">
        <v>14</v>
      </c>
      <c r="W14" s="668">
        <f t="shared" si="2"/>
        <v>100</v>
      </c>
      <c r="X14" s="1265"/>
      <c r="Y14" s="3435"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0"/>
      <c r="M15" s="2485"/>
      <c r="N15" s="2485"/>
      <c r="O15" s="2540"/>
      <c r="P15" s="3436"/>
      <c r="Q15" s="1263"/>
      <c r="R15" s="667"/>
      <c r="S15" s="668"/>
      <c r="T15" s="667"/>
      <c r="U15" s="668"/>
      <c r="V15" s="667"/>
      <c r="W15" s="668"/>
      <c r="X15" s="1265"/>
      <c r="Y15" s="3436"/>
      <c r="Z15" s="1264"/>
      <c r="AA15" s="1264">
        <v>1</v>
      </c>
      <c r="AB15" s="1264">
        <v>1</v>
      </c>
      <c r="AC15" s="1264">
        <v>1</v>
      </c>
    </row>
    <row r="16" spans="1:29" ht="41.4">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0"/>
      <c r="M16" s="2485"/>
      <c r="N16" s="2485"/>
      <c r="O16" s="2540"/>
      <c r="P16" s="3436"/>
      <c r="Q16" s="1263" t="str">
        <f>B16</f>
        <v>公共配套设施</v>
      </c>
      <c r="R16" s="667" t="s">
        <v>14</v>
      </c>
      <c r="S16" s="668">
        <f>F16</f>
        <v>100</v>
      </c>
      <c r="T16" s="667" t="s">
        <v>14</v>
      </c>
      <c r="U16" s="668">
        <f>H16</f>
        <v>100</v>
      </c>
      <c r="V16" s="667" t="s">
        <v>14</v>
      </c>
      <c r="W16" s="668">
        <f>J16</f>
        <v>100</v>
      </c>
      <c r="X16" s="1265"/>
      <c r="Y16" s="3436"/>
      <c r="Z16" s="1264" t="str">
        <f>Q16</f>
        <v>公共配套设施</v>
      </c>
      <c r="AA16" s="1264">
        <f t="shared" si="3"/>
        <v>1</v>
      </c>
      <c r="AB16" s="1264">
        <f t="shared" si="4"/>
        <v>1</v>
      </c>
      <c r="AC16" s="1264">
        <f t="shared" si="5"/>
        <v>1</v>
      </c>
    </row>
    <row r="17" spans="1:29" ht="15">
      <c r="A17" s="367"/>
      <c r="B17" s="395"/>
      <c r="C17" s="1754"/>
      <c r="D17" s="387"/>
      <c r="E17" s="386"/>
      <c r="F17" s="388"/>
      <c r="G17" s="386"/>
      <c r="H17" s="387"/>
      <c r="I17" s="386"/>
      <c r="J17" s="387"/>
      <c r="K17" s="541"/>
      <c r="L17" s="2490"/>
      <c r="M17" s="2485"/>
      <c r="N17" s="2485"/>
      <c r="O17" s="2540"/>
      <c r="P17" s="3436"/>
      <c r="Q17" s="1263"/>
      <c r="R17" s="667"/>
      <c r="S17" s="668"/>
      <c r="T17" s="667"/>
      <c r="U17" s="668"/>
      <c r="V17" s="667"/>
      <c r="W17" s="668"/>
      <c r="X17" s="1265"/>
      <c r="Y17" s="3436"/>
      <c r="Z17" s="1264"/>
      <c r="AA17" s="1264">
        <v>1</v>
      </c>
      <c r="AB17" s="1264">
        <v>1</v>
      </c>
      <c r="AC17" s="1264">
        <v>1</v>
      </c>
    </row>
    <row r="18" spans="1:29" ht="41.4">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40"/>
      <c r="P18" s="3436"/>
      <c r="Q18" s="1263" t="str">
        <f>B18</f>
        <v>基础设施水平</v>
      </c>
      <c r="R18" s="667" t="s">
        <v>14</v>
      </c>
      <c r="S18" s="668">
        <f>F18</f>
        <v>100</v>
      </c>
      <c r="T18" s="667" t="s">
        <v>14</v>
      </c>
      <c r="U18" s="668">
        <f>H18</f>
        <v>100</v>
      </c>
      <c r="V18" s="667" t="s">
        <v>14</v>
      </c>
      <c r="W18" s="668">
        <f>J18</f>
        <v>100</v>
      </c>
      <c r="X18" s="1265"/>
      <c r="Y18" s="3436"/>
      <c r="Z18" s="1264" t="str">
        <f>Q18</f>
        <v>基础设施水平</v>
      </c>
      <c r="AA18" s="1264">
        <f t="shared" ref="AA18" si="8">D18/F18</f>
        <v>1</v>
      </c>
      <c r="AB18" s="1264">
        <f t="shared" ref="AB18" si="9">D18/H18</f>
        <v>1</v>
      </c>
      <c r="AC18" s="1264">
        <f t="shared" ref="AC18" si="10">D18/J18</f>
        <v>1</v>
      </c>
    </row>
    <row r="19" spans="1:29" ht="15">
      <c r="A19" s="367"/>
      <c r="B19" s="586"/>
      <c r="C19" s="1754"/>
      <c r="D19" s="389"/>
      <c r="E19" s="1754"/>
      <c r="F19" s="392"/>
      <c r="G19" s="1754"/>
      <c r="H19" s="387"/>
      <c r="I19" s="386"/>
      <c r="J19" s="387"/>
      <c r="K19" s="1064"/>
      <c r="L19" s="2490"/>
      <c r="M19" s="2485"/>
      <c r="N19" s="2485"/>
      <c r="O19" s="2540"/>
      <c r="P19" s="3436"/>
      <c r="Q19" s="1263"/>
      <c r="R19" s="667"/>
      <c r="S19" s="668"/>
      <c r="T19" s="667"/>
      <c r="U19" s="668"/>
      <c r="V19" s="667"/>
      <c r="W19" s="668"/>
      <c r="X19" s="1265"/>
      <c r="Y19" s="3436"/>
      <c r="Z19" s="1264"/>
      <c r="AA19" s="1264">
        <v>1</v>
      </c>
      <c r="AB19" s="1264">
        <v>1</v>
      </c>
      <c r="AC19" s="1264">
        <v>1</v>
      </c>
    </row>
    <row r="20" spans="1:29" ht="55.2">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0"/>
      <c r="M20" s="2485"/>
      <c r="N20" s="2485"/>
      <c r="O20" s="2540"/>
      <c r="P20" s="3436"/>
      <c r="Q20" s="1263" t="str">
        <f>B20</f>
        <v>自然及人文环境</v>
      </c>
      <c r="R20" s="667" t="s">
        <v>14</v>
      </c>
      <c r="S20" s="668">
        <f>F20</f>
        <v>100</v>
      </c>
      <c r="T20" s="667" t="s">
        <v>14</v>
      </c>
      <c r="U20" s="668">
        <f>H20</f>
        <v>100</v>
      </c>
      <c r="V20" s="667" t="s">
        <v>14</v>
      </c>
      <c r="W20" s="668">
        <f>J20</f>
        <v>100</v>
      </c>
      <c r="X20" s="1265"/>
      <c r="Y20" s="3436"/>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0"/>
      <c r="M21" s="2485"/>
      <c r="N21" s="2485"/>
      <c r="O21" s="2540"/>
      <c r="P21" s="3436"/>
      <c r="Q21" s="1263"/>
      <c r="R21" s="667"/>
      <c r="S21" s="668"/>
      <c r="T21" s="667"/>
      <c r="U21" s="668"/>
      <c r="V21" s="667"/>
      <c r="W21" s="668"/>
      <c r="X21" s="1265"/>
      <c r="Y21" s="3436"/>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40"/>
      <c r="P22" s="3436"/>
      <c r="Q22" s="1263" t="str">
        <f>B22</f>
        <v>楼层</v>
      </c>
      <c r="R22" s="667" t="s">
        <v>14</v>
      </c>
      <c r="S22" s="668">
        <f>F22</f>
        <v>100</v>
      </c>
      <c r="T22" s="667" t="s">
        <v>14</v>
      </c>
      <c r="U22" s="668">
        <f>H22</f>
        <v>100</v>
      </c>
      <c r="V22" s="667" t="s">
        <v>14</v>
      </c>
      <c r="W22" s="668">
        <f>J22</f>
        <v>100</v>
      </c>
      <c r="X22" s="1265"/>
      <c r="Y22" s="3436"/>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40"/>
      <c r="P23" s="3436"/>
      <c r="Q23" s="1263">
        <f>B23</f>
        <v>111</v>
      </c>
      <c r="R23" s="667" t="s">
        <v>14</v>
      </c>
      <c r="S23" s="668">
        <f>F23</f>
        <v>100</v>
      </c>
      <c r="T23" s="667" t="s">
        <v>14</v>
      </c>
      <c r="U23" s="668">
        <f>H23</f>
        <v>100</v>
      </c>
      <c r="V23" s="667" t="s">
        <v>14</v>
      </c>
      <c r="W23" s="668">
        <f>J23</f>
        <v>100</v>
      </c>
      <c r="X23" s="1265"/>
      <c r="Y23" s="3436"/>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40"/>
      <c r="P24" s="3436"/>
      <c r="Q24" s="1263">
        <f t="shared" ref="Q24:Q34" si="11">B24</f>
        <v>111</v>
      </c>
      <c r="R24" s="667" t="s">
        <v>14</v>
      </c>
      <c r="S24" s="668">
        <f>F24</f>
        <v>100</v>
      </c>
      <c r="T24" s="667" t="s">
        <v>14</v>
      </c>
      <c r="U24" s="668">
        <f>H24</f>
        <v>100</v>
      </c>
      <c r="V24" s="667" t="s">
        <v>14</v>
      </c>
      <c r="W24" s="668">
        <f>J24</f>
        <v>100</v>
      </c>
      <c r="X24" s="1265"/>
      <c r="Y24" s="3436"/>
      <c r="Z24" s="1264">
        <f>Q24</f>
        <v>111</v>
      </c>
      <c r="AA24" s="1264">
        <f t="shared" si="3"/>
        <v>1</v>
      </c>
      <c r="AB24" s="1264">
        <f t="shared" si="4"/>
        <v>1</v>
      </c>
      <c r="AC24" s="1264">
        <f t="shared" si="5"/>
        <v>1</v>
      </c>
    </row>
    <row r="25" spans="1:29" s="102" customFormat="1" ht="15.6" thickBot="1">
      <c r="A25" s="370"/>
      <c r="B25" s="447">
        <v>111</v>
      </c>
      <c r="C25" s="1821"/>
      <c r="D25" s="557">
        <v>100</v>
      </c>
      <c r="E25" s="1821"/>
      <c r="F25" s="586">
        <f>SUMIF(75:75,E25,76:76)-SUMIF(75:75,C25,76:76)+100</f>
        <v>100</v>
      </c>
      <c r="G25" s="1821"/>
      <c r="H25" s="557">
        <f>SUMIF(75:75,G25,76:76)-SUMIF(75:75,C25,76:76)+100</f>
        <v>100</v>
      </c>
      <c r="I25" s="1821"/>
      <c r="J25" s="557">
        <f>SUMIF(75:75,I25,76:76)-SUMIF(75:75,C25,76:76)+100</f>
        <v>100</v>
      </c>
      <c r="K25" s="539"/>
      <c r="L25" s="2486"/>
      <c r="M25" s="2437"/>
      <c r="N25" s="2437"/>
      <c r="O25" s="2538"/>
      <c r="P25" s="3436"/>
      <c r="Q25" s="530">
        <f t="shared" si="11"/>
        <v>111</v>
      </c>
      <c r="R25" s="664" t="s">
        <v>14</v>
      </c>
      <c r="S25" s="665">
        <f>F25</f>
        <v>100</v>
      </c>
      <c r="T25" s="664" t="s">
        <v>14</v>
      </c>
      <c r="U25" s="665">
        <f>H25</f>
        <v>100</v>
      </c>
      <c r="V25" s="664" t="s">
        <v>14</v>
      </c>
      <c r="W25" s="665">
        <f>J25</f>
        <v>100</v>
      </c>
      <c r="X25" s="666"/>
      <c r="Y25" s="3436"/>
      <c r="Z25" s="50">
        <f>Q25</f>
        <v>111</v>
      </c>
      <c r="AA25" s="1264">
        <f>D25/F25</f>
        <v>1</v>
      </c>
      <c r="AB25" s="1264">
        <f>D25/H25</f>
        <v>1</v>
      </c>
      <c r="AC25" s="1264">
        <f>D25/J25</f>
        <v>1</v>
      </c>
    </row>
    <row r="26" spans="1:29" ht="30">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0"/>
      <c r="M26" s="2485"/>
      <c r="N26" s="2485"/>
      <c r="O26" s="2540"/>
      <c r="P26" s="3459"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40"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9"/>
      <c r="M27" s="2491"/>
      <c r="N27" s="2491"/>
      <c r="O27" s="2541"/>
      <c r="P27" s="3440"/>
      <c r="Q27" s="531" t="str">
        <f t="shared" si="11"/>
        <v>成新率</v>
      </c>
      <c r="R27" s="669" t="s">
        <v>14</v>
      </c>
      <c r="S27" s="670" t="e">
        <f t="shared" si="12"/>
        <v>#N/A</v>
      </c>
      <c r="T27" s="669" t="s">
        <v>14</v>
      </c>
      <c r="U27" s="670" t="e">
        <f t="shared" si="13"/>
        <v>#N/A</v>
      </c>
      <c r="V27" s="669" t="s">
        <v>14</v>
      </c>
      <c r="W27" s="670" t="e">
        <f t="shared" si="14"/>
        <v>#N/A</v>
      </c>
      <c r="X27" s="671"/>
      <c r="Y27" s="3440"/>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0"/>
      <c r="M28" s="2485"/>
      <c r="N28" s="2485"/>
      <c r="O28" s="2540"/>
      <c r="P28" s="3440"/>
      <c r="Q28" s="1263" t="str">
        <f t="shared" si="11"/>
        <v>物业等级</v>
      </c>
      <c r="R28" s="667" t="s">
        <v>14</v>
      </c>
      <c r="S28" s="668">
        <f t="shared" si="12"/>
        <v>100</v>
      </c>
      <c r="T28" s="667" t="s">
        <v>14</v>
      </c>
      <c r="U28" s="668">
        <f t="shared" si="13"/>
        <v>100</v>
      </c>
      <c r="V28" s="667" t="s">
        <v>14</v>
      </c>
      <c r="W28" s="668">
        <f t="shared" si="14"/>
        <v>100</v>
      </c>
      <c r="X28" s="1265"/>
      <c r="Y28" s="3440"/>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0"/>
      <c r="M29" s="2485"/>
      <c r="N29" s="2485"/>
      <c r="O29" s="2540"/>
      <c r="P29" s="3440"/>
      <c r="Q29" s="1263" t="str">
        <f t="shared" si="11"/>
        <v>有无电梯</v>
      </c>
      <c r="R29" s="667" t="s">
        <v>14</v>
      </c>
      <c r="S29" s="668">
        <f t="shared" si="12"/>
        <v>100</v>
      </c>
      <c r="T29" s="667" t="s">
        <v>14</v>
      </c>
      <c r="U29" s="668">
        <f t="shared" si="13"/>
        <v>100</v>
      </c>
      <c r="V29" s="667" t="s">
        <v>14</v>
      </c>
      <c r="W29" s="668">
        <f t="shared" si="14"/>
        <v>100</v>
      </c>
      <c r="X29" s="1265"/>
      <c r="Y29" s="3440"/>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0"/>
      <c r="M30" s="2485"/>
      <c r="N30" s="2485"/>
      <c r="O30" s="2540"/>
      <c r="P30" s="3440"/>
      <c r="Q30" s="1263" t="str">
        <f t="shared" si="11"/>
        <v>建筑面积</v>
      </c>
      <c r="R30" s="667" t="s">
        <v>14</v>
      </c>
      <c r="S30" s="668" t="e">
        <f t="shared" si="12"/>
        <v>#N/A</v>
      </c>
      <c r="T30" s="667" t="s">
        <v>14</v>
      </c>
      <c r="U30" s="668" t="e">
        <f t="shared" si="13"/>
        <v>#N/A</v>
      </c>
      <c r="V30" s="667" t="s">
        <v>14</v>
      </c>
      <c r="W30" s="668" t="e">
        <f t="shared" si="14"/>
        <v>#N/A</v>
      </c>
      <c r="X30" s="1265"/>
      <c r="Y30" s="3440"/>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6"/>
      <c r="M31" s="2437"/>
      <c r="N31" s="2437"/>
      <c r="O31" s="2538"/>
      <c r="P31" s="3440"/>
      <c r="Q31" s="530" t="str">
        <f t="shared" si="11"/>
        <v>是否封闭</v>
      </c>
      <c r="R31" s="664" t="s">
        <v>14</v>
      </c>
      <c r="S31" s="665">
        <f t="shared" si="12"/>
        <v>100</v>
      </c>
      <c r="T31" s="664" t="s">
        <v>14</v>
      </c>
      <c r="U31" s="665">
        <f t="shared" si="13"/>
        <v>100</v>
      </c>
      <c r="V31" s="664" t="s">
        <v>14</v>
      </c>
      <c r="W31" s="665">
        <f t="shared" si="14"/>
        <v>100</v>
      </c>
      <c r="X31" s="666"/>
      <c r="Y31" s="3440"/>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0"/>
      <c r="M32" s="2485"/>
      <c r="N32" s="2485"/>
      <c r="O32" s="2540"/>
      <c r="P32" s="3440" t="s">
        <v>1696</v>
      </c>
      <c r="Q32" s="1263">
        <f t="shared" si="11"/>
        <v>111</v>
      </c>
      <c r="R32" s="667" t="s">
        <v>14</v>
      </c>
      <c r="S32" s="668">
        <f t="shared" si="12"/>
        <v>100</v>
      </c>
      <c r="T32" s="667" t="s">
        <v>14</v>
      </c>
      <c r="U32" s="668">
        <f t="shared" si="13"/>
        <v>100</v>
      </c>
      <c r="V32" s="667" t="s">
        <v>14</v>
      </c>
      <c r="W32" s="668">
        <f t="shared" si="14"/>
        <v>100</v>
      </c>
      <c r="X32" s="1265"/>
      <c r="Y32" s="3440"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0"/>
      <c r="M33" s="2485"/>
      <c r="N33" s="2485"/>
      <c r="O33" s="2540"/>
      <c r="P33" s="3440"/>
      <c r="Q33" s="1263">
        <f t="shared" si="11"/>
        <v>111</v>
      </c>
      <c r="R33" s="667" t="s">
        <v>14</v>
      </c>
      <c r="S33" s="668">
        <f t="shared" si="12"/>
        <v>100</v>
      </c>
      <c r="T33" s="667" t="s">
        <v>14</v>
      </c>
      <c r="U33" s="668">
        <f t="shared" si="13"/>
        <v>100</v>
      </c>
      <c r="V33" s="667" t="s">
        <v>14</v>
      </c>
      <c r="W33" s="668">
        <f t="shared" si="14"/>
        <v>100</v>
      </c>
      <c r="X33" s="1265"/>
      <c r="Y33" s="3440"/>
      <c r="Z33" s="1264">
        <f t="shared" si="15"/>
        <v>111</v>
      </c>
      <c r="AA33" s="1264">
        <f t="shared" si="3"/>
        <v>1</v>
      </c>
      <c r="AB33" s="1264">
        <f t="shared" si="4"/>
        <v>1</v>
      </c>
      <c r="AC33" s="1264">
        <f t="shared" si="5"/>
        <v>1</v>
      </c>
    </row>
    <row r="34" spans="1:30" ht="15.6" thickBot="1">
      <c r="A34" s="415"/>
      <c r="B34" s="1748">
        <v>111</v>
      </c>
      <c r="C34" s="376"/>
      <c r="D34" s="377">
        <v>100</v>
      </c>
      <c r="E34" s="1820"/>
      <c r="F34" s="378">
        <f>SUMIF(95:95,E34,96:96)-SUMIF(95:95,C34,96:96)+100</f>
        <v>100</v>
      </c>
      <c r="G34" s="1820"/>
      <c r="H34" s="377">
        <f>SUMIF(95:95,G34,96:96)-SUMIF(95:95,C34,96:96)+100</f>
        <v>100</v>
      </c>
      <c r="I34" s="1820"/>
      <c r="J34" s="377">
        <f>SUMIF(95:95,I34,96:96)-SUMIF(95:95,C34,96:96)+100</f>
        <v>100</v>
      </c>
      <c r="K34" s="539"/>
      <c r="L34" s="2490"/>
      <c r="M34" s="2485"/>
      <c r="N34" s="2485"/>
      <c r="O34" s="2540"/>
      <c r="P34" s="3440"/>
      <c r="Q34" s="1263">
        <f t="shared" si="11"/>
        <v>111</v>
      </c>
      <c r="R34" s="667" t="s">
        <v>14</v>
      </c>
      <c r="S34" s="668">
        <f t="shared" si="12"/>
        <v>100</v>
      </c>
      <c r="T34" s="667" t="s">
        <v>14</v>
      </c>
      <c r="U34" s="668">
        <f t="shared" si="13"/>
        <v>100</v>
      </c>
      <c r="V34" s="667" t="s">
        <v>14</v>
      </c>
      <c r="W34" s="668">
        <f t="shared" si="14"/>
        <v>100</v>
      </c>
      <c r="X34" s="1265"/>
      <c r="Y34" s="3440"/>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2"/>
      <c r="M35" s="2485"/>
      <c r="N35" s="2485"/>
      <c r="O35" s="2485"/>
      <c r="P35" s="3434" t="str">
        <f>A35</f>
        <v>成交单价（元/平方米）</v>
      </c>
      <c r="Q35" s="3434"/>
      <c r="R35" s="3429">
        <f>E35</f>
        <v>0</v>
      </c>
      <c r="S35" s="3429"/>
      <c r="T35" s="3429">
        <f>G35</f>
        <v>0</v>
      </c>
      <c r="U35" s="3429"/>
      <c r="V35" s="3429">
        <f>I35</f>
        <v>0</v>
      </c>
      <c r="W35" s="3429"/>
      <c r="X35" s="385"/>
      <c r="Y35" s="673"/>
      <c r="Z35" s="385"/>
      <c r="AA35" s="385"/>
      <c r="AB35" s="385"/>
      <c r="AC35" s="385"/>
    </row>
    <row r="36" spans="1:30" ht="15" thickBot="1">
      <c r="A36" s="423" t="s">
        <v>1793</v>
      </c>
      <c r="B36" s="424"/>
      <c r="C36" s="1082" t="e">
        <f>R37</f>
        <v>#DIV/0!</v>
      </c>
      <c r="D36" s="2138" t="s">
        <v>2138</v>
      </c>
      <c r="E36" s="1083" t="e">
        <f>R36</f>
        <v>#DIV/0!</v>
      </c>
      <c r="F36" s="2139"/>
      <c r="G36" s="1082" t="e">
        <f>T36</f>
        <v>#DIV/0!</v>
      </c>
      <c r="H36" s="2139"/>
      <c r="I36" s="1083" t="e">
        <f>V36</f>
        <v>#DIV/0!</v>
      </c>
      <c r="J36" s="2139"/>
      <c r="K36" s="2141">
        <f>F36+H36+J36</f>
        <v>0</v>
      </c>
      <c r="L36" s="2492"/>
      <c r="M36" s="2485"/>
      <c r="N36" s="2485"/>
      <c r="O36" s="2485"/>
      <c r="P36" s="3434" t="str">
        <f>A36</f>
        <v>比较价值（元/平方米）</v>
      </c>
      <c r="Q36" s="3434"/>
      <c r="R36" s="3429" t="e">
        <f>IF(F1="售价",ROUND(PRODUCT(R35,AA7:AA34),0),ROUND(PRODUCT(R35,AA7:AA34),1))</f>
        <v>#DIV/0!</v>
      </c>
      <c r="S36" s="3429"/>
      <c r="T36" s="3429" t="e">
        <f>IF(F1="售价",ROUND(PRODUCT(T35,AB7:AB34),0),ROUND(PRODUCT(T35,AB7:AB34),1))</f>
        <v>#DIV/0!</v>
      </c>
      <c r="U36" s="3429"/>
      <c r="V36" s="3429" t="e">
        <f>IF(F1="售价",ROUND(PRODUCT(V35,AC7:AC34),0),ROUND(PRODUCT(V35,AC7:AC34),1))</f>
        <v>#DIV/0!</v>
      </c>
      <c r="W36" s="3429"/>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2"/>
      <c r="M37" s="2485"/>
      <c r="N37" s="2485"/>
      <c r="O37" s="2485"/>
      <c r="P37" s="3431" t="str">
        <f>A37</f>
        <v>估价对象XX用房的比较价值（楼面单价，元/平方米）</v>
      </c>
      <c r="Q37" s="3432"/>
      <c r="R37" s="3460" t="e">
        <f>IF(F1="售价",ROUND(IF(D36="简单平均",AVERAGE(R36:W36),R36*F36+T36*H36+V36*J36),0),ROUND(IF(D36="简单平均",AVERAGE(R36:V36),R36*F36+T36*H36+V36*J36),1))</f>
        <v>#DIV/0!</v>
      </c>
      <c r="S37" s="3460"/>
      <c r="T37" s="3460"/>
      <c r="U37" s="3460"/>
      <c r="V37" s="3460"/>
      <c r="W37" s="3460"/>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2.2" thickBot="1">
      <c r="A45" s="658" t="s">
        <v>1798</v>
      </c>
      <c r="B45" s="385"/>
      <c r="C45" s="659"/>
      <c r="D45" s="659"/>
      <c r="E45" s="659"/>
      <c r="F45" s="660"/>
      <c r="G45" s="660"/>
      <c r="H45" s="659"/>
      <c r="I45" s="659"/>
      <c r="J45" s="659"/>
      <c r="K45" s="661"/>
      <c r="L45" s="662"/>
      <c r="M45" s="659"/>
      <c r="N45" s="2535"/>
      <c r="O45" s="2535"/>
      <c r="P45" s="2535"/>
      <c r="Q45" s="2506"/>
      <c r="R45" s="2485"/>
      <c r="S45" s="2485"/>
      <c r="T45" s="2485"/>
      <c r="U45" s="2485"/>
      <c r="V45" s="2485"/>
      <c r="W45" s="2485"/>
      <c r="X45" s="2485"/>
      <c r="Y45" s="2485"/>
      <c r="Z45" s="2485"/>
      <c r="AA45" s="2485"/>
      <c r="AB45" s="2485"/>
      <c r="AC45" s="2485"/>
      <c r="AD45" s="2485"/>
    </row>
    <row r="46" spans="1:30" s="442" customFormat="1" ht="14.4">
      <c r="A46" s="440" t="s">
        <v>1679</v>
      </c>
      <c r="B46" s="441"/>
      <c r="C46" s="1103" t="str">
        <f>YEAR(C7)&amp;"-"&amp;MONTH(C7)</f>
        <v>2025-4</v>
      </c>
      <c r="D46" s="1104">
        <f>EDATE(C46,-1)</f>
        <v>45717</v>
      </c>
      <c r="E46" s="1104">
        <f t="shared" ref="E46:O46" si="16">EDATE(D46,-1)</f>
        <v>45689</v>
      </c>
      <c r="F46" s="1104">
        <f t="shared" si="16"/>
        <v>45658</v>
      </c>
      <c r="G46" s="1104">
        <f t="shared" si="16"/>
        <v>45627</v>
      </c>
      <c r="H46" s="1104">
        <f t="shared" si="16"/>
        <v>45597</v>
      </c>
      <c r="I46" s="1104">
        <f t="shared" si="16"/>
        <v>45566</v>
      </c>
      <c r="J46" s="1104">
        <f t="shared" si="16"/>
        <v>45536</v>
      </c>
      <c r="K46" s="1104">
        <f t="shared" si="16"/>
        <v>45505</v>
      </c>
      <c r="L46" s="1104">
        <f t="shared" si="16"/>
        <v>45474</v>
      </c>
      <c r="M46" s="1104">
        <f t="shared" si="16"/>
        <v>45444</v>
      </c>
      <c r="N46" s="1104">
        <f t="shared" si="16"/>
        <v>45413</v>
      </c>
      <c r="O46" s="1104">
        <f t="shared" si="16"/>
        <v>45383</v>
      </c>
      <c r="P46" s="2508"/>
      <c r="Q46" s="2508"/>
      <c r="R46" s="2508"/>
      <c r="S46" s="2508"/>
      <c r="T46" s="2508"/>
      <c r="U46" s="2508"/>
      <c r="V46" s="2508"/>
      <c r="W46" s="2508"/>
      <c r="X46" s="2508"/>
      <c r="Y46" s="2508"/>
      <c r="Z46" s="2508"/>
      <c r="AA46" s="2508"/>
      <c r="AB46" s="2508"/>
      <c r="AC46" s="2508"/>
      <c r="AD46" s="2508"/>
    </row>
    <row r="47" spans="1:30" s="102" customFormat="1">
      <c r="A47" s="443"/>
      <c r="B47" s="444"/>
      <c r="C47" s="1102">
        <v>100</v>
      </c>
      <c r="D47" s="446"/>
      <c r="E47" s="446"/>
      <c r="F47" s="446"/>
      <c r="G47" s="446"/>
      <c r="H47" s="446"/>
      <c r="I47" s="446"/>
      <c r="J47" s="446"/>
      <c r="K47" s="446"/>
      <c r="L47" s="446"/>
      <c r="M47" s="447"/>
      <c r="N47" s="446"/>
      <c r="O47" s="448"/>
      <c r="P47" s="2506"/>
      <c r="Q47" s="2437"/>
      <c r="R47" s="2437"/>
      <c r="S47" s="2437"/>
      <c r="T47" s="2437"/>
      <c r="U47" s="2437"/>
      <c r="V47" s="2437"/>
      <c r="W47" s="2437"/>
      <c r="X47" s="2437"/>
      <c r="Y47" s="2437"/>
      <c r="Z47" s="2437"/>
      <c r="AA47" s="2437"/>
      <c r="AB47" s="2437"/>
      <c r="AC47" s="2437"/>
      <c r="AD47" s="2437"/>
    </row>
    <row r="48" spans="1:30" s="102" customFormat="1" ht="15" thickBot="1">
      <c r="A48" s="449" t="s">
        <v>1716</v>
      </c>
      <c r="B48" s="450"/>
      <c r="C48" s="451"/>
      <c r="D48" s="452"/>
      <c r="E48" s="452"/>
      <c r="F48" s="452"/>
      <c r="G48" s="452"/>
      <c r="H48" s="452"/>
      <c r="I48" s="452"/>
      <c r="J48" s="452"/>
      <c r="K48" s="452"/>
      <c r="L48" s="452"/>
      <c r="M48" s="453"/>
      <c r="N48" s="452"/>
      <c r="O48" s="454"/>
      <c r="P48" s="2506"/>
      <c r="Q48" s="2506"/>
      <c r="R48" s="2437"/>
      <c r="S48" s="2437"/>
      <c r="T48" s="2437"/>
      <c r="U48" s="2437"/>
      <c r="V48" s="2437"/>
      <c r="W48" s="2437"/>
      <c r="X48" s="2437"/>
      <c r="Y48" s="2437"/>
      <c r="Z48" s="2437"/>
      <c r="AA48" s="2437"/>
      <c r="AB48" s="2437"/>
      <c r="AC48" s="2437"/>
      <c r="AD48" s="2437"/>
    </row>
    <row r="49" spans="1:30" s="102" customFormat="1" ht="14.4">
      <c r="A49" s="455" t="s">
        <v>1681</v>
      </c>
      <c r="B49" s="444"/>
      <c r="C49" s="456" t="s">
        <v>1776</v>
      </c>
      <c r="D49" s="31"/>
      <c r="E49" s="31"/>
      <c r="F49" s="31"/>
      <c r="G49" s="31"/>
      <c r="H49" s="31"/>
      <c r="I49" s="31"/>
      <c r="J49" s="31"/>
      <c r="K49" s="31"/>
      <c r="L49" s="457"/>
      <c r="M49" s="458"/>
      <c r="N49" s="2518"/>
      <c r="O49" s="2518"/>
      <c r="P49" s="2542"/>
      <c r="Q49" s="2506"/>
      <c r="R49" s="2437"/>
      <c r="S49" s="2437"/>
      <c r="T49" s="2437"/>
      <c r="U49" s="2437"/>
      <c r="V49" s="2437"/>
      <c r="W49" s="2437"/>
      <c r="X49" s="2437"/>
      <c r="Y49" s="2437"/>
      <c r="Z49" s="2437"/>
      <c r="AA49" s="2437"/>
      <c r="AB49" s="2437"/>
      <c r="AC49" s="2437"/>
      <c r="AD49" s="2437"/>
    </row>
    <row r="50" spans="1:30" s="102" customFormat="1" ht="14.4" thickBot="1">
      <c r="A50" s="455"/>
      <c r="B50" s="444"/>
      <c r="C50" s="563">
        <v>100</v>
      </c>
      <c r="D50" s="446"/>
      <c r="E50" s="446"/>
      <c r="F50" s="446"/>
      <c r="G50" s="446"/>
      <c r="H50" s="446"/>
      <c r="I50" s="446"/>
      <c r="J50" s="446"/>
      <c r="K50" s="446"/>
      <c r="L50" s="446"/>
      <c r="M50" s="448"/>
      <c r="N50" s="2518"/>
      <c r="O50" s="2518"/>
      <c r="P50" s="2506"/>
      <c r="Q50" s="2506"/>
      <c r="R50" s="2437"/>
      <c r="S50" s="2437"/>
      <c r="T50" s="2437"/>
      <c r="U50" s="2437"/>
      <c r="V50" s="2437"/>
      <c r="W50" s="2437"/>
      <c r="X50" s="2437"/>
      <c r="Y50" s="2437"/>
      <c r="Z50" s="2437"/>
      <c r="AA50" s="2437"/>
      <c r="AB50" s="2437"/>
      <c r="AC50" s="2437"/>
      <c r="AD50" s="2437"/>
    </row>
    <row r="51" spans="1:30" ht="14.4">
      <c r="A51" s="379" t="s">
        <v>1719</v>
      </c>
      <c r="B51" s="460" t="s">
        <v>1685</v>
      </c>
      <c r="C51" s="461">
        <f>C9</f>
        <v>0</v>
      </c>
      <c r="D51" s="462"/>
      <c r="E51" s="462"/>
      <c r="F51" s="462"/>
      <c r="G51" s="462"/>
      <c r="H51" s="462"/>
      <c r="I51" s="462"/>
      <c r="J51" s="462"/>
      <c r="K51" s="463"/>
      <c r="L51" s="464"/>
      <c r="M51" s="465"/>
      <c r="N51" s="2519"/>
      <c r="O51" s="2519"/>
      <c r="P51" s="2518"/>
      <c r="Q51" s="2506"/>
      <c r="R51" s="2485"/>
      <c r="S51" s="2485"/>
      <c r="T51" s="2485"/>
      <c r="U51" s="2485"/>
      <c r="V51" s="2485"/>
      <c r="W51" s="2485"/>
      <c r="X51" s="2485"/>
      <c r="Y51" s="2485"/>
      <c r="Z51" s="2485"/>
      <c r="AA51" s="2485"/>
      <c r="AB51" s="2485"/>
      <c r="AC51" s="2485"/>
      <c r="AD51" s="2485"/>
    </row>
    <row r="52" spans="1:30" ht="14.4" thickBot="1">
      <c r="A52" s="367"/>
      <c r="B52" s="466"/>
      <c r="C52" s="467">
        <v>100</v>
      </c>
      <c r="D52" s="467"/>
      <c r="E52" s="467"/>
      <c r="F52" s="467"/>
      <c r="G52" s="467"/>
      <c r="H52" s="467"/>
      <c r="I52" s="467"/>
      <c r="J52" s="467"/>
      <c r="K52" s="467"/>
      <c r="L52" s="467"/>
      <c r="M52" s="468"/>
      <c r="N52" s="2520"/>
      <c r="O52" s="2520"/>
      <c r="P52" s="2518"/>
      <c r="Q52" s="2506"/>
      <c r="R52" s="2485"/>
      <c r="S52" s="2485"/>
      <c r="T52" s="2485"/>
      <c r="U52" s="2485"/>
      <c r="V52" s="2485"/>
      <c r="W52" s="2485"/>
      <c r="X52" s="2485"/>
      <c r="Y52" s="2485"/>
      <c r="Z52" s="2485"/>
      <c r="AA52" s="2485"/>
      <c r="AB52" s="2485"/>
      <c r="AC52" s="2485"/>
      <c r="AD52" s="2485"/>
    </row>
    <row r="53" spans="1:30" ht="29.4" thickTop="1">
      <c r="A53" s="367"/>
      <c r="B53" s="469" t="s">
        <v>1688</v>
      </c>
      <c r="C53" s="513"/>
      <c r="D53" s="513"/>
      <c r="E53" s="513"/>
      <c r="F53" s="513"/>
      <c r="G53" s="513"/>
      <c r="H53" s="513"/>
      <c r="I53" s="513"/>
      <c r="J53" s="513"/>
      <c r="K53" s="514"/>
      <c r="L53" s="515"/>
      <c r="M53" s="516"/>
      <c r="N53" s="2519"/>
      <c r="O53" s="2519"/>
      <c r="P53" s="2518"/>
      <c r="Q53" s="2506"/>
      <c r="R53" s="2485"/>
      <c r="S53" s="2485"/>
      <c r="T53" s="2485"/>
      <c r="U53" s="2485"/>
      <c r="V53" s="2485"/>
      <c r="W53" s="2485"/>
      <c r="X53" s="2485"/>
      <c r="Y53" s="2485"/>
      <c r="Z53" s="2485"/>
      <c r="AA53" s="2485"/>
      <c r="AB53" s="2485"/>
      <c r="AC53" s="2485"/>
      <c r="AD53" s="2485"/>
    </row>
    <row r="54" spans="1:30" ht="14.4" thickBot="1">
      <c r="A54" s="367"/>
      <c r="B54" s="474"/>
      <c r="C54" s="467"/>
      <c r="D54" s="467"/>
      <c r="E54" s="467"/>
      <c r="F54" s="467"/>
      <c r="G54" s="467"/>
      <c r="H54" s="467"/>
      <c r="I54" s="467"/>
      <c r="J54" s="467"/>
      <c r="K54" s="467"/>
      <c r="L54" s="467"/>
      <c r="M54" s="468"/>
      <c r="N54" s="2520"/>
      <c r="O54" s="2520"/>
      <c r="P54" s="2518"/>
      <c r="Q54" s="2506"/>
      <c r="R54" s="2485"/>
      <c r="S54" s="2485"/>
      <c r="T54" s="2485"/>
      <c r="U54" s="2485"/>
      <c r="V54" s="2485"/>
      <c r="W54" s="2485"/>
      <c r="X54" s="2485"/>
      <c r="Y54" s="2485"/>
      <c r="Z54" s="2485"/>
      <c r="AA54" s="2485"/>
      <c r="AB54" s="2485"/>
      <c r="AC54" s="2485"/>
      <c r="AD54" s="2485"/>
    </row>
    <row r="55" spans="1:30" ht="14.4" thickTop="1">
      <c r="A55" s="367"/>
      <c r="B55" s="581">
        <f>B11</f>
        <v>111</v>
      </c>
      <c r="C55" s="480"/>
      <c r="D55" s="480"/>
      <c r="E55" s="480"/>
      <c r="F55" s="480"/>
      <c r="G55" s="480"/>
      <c r="H55" s="480"/>
      <c r="I55" s="480"/>
      <c r="J55" s="480"/>
      <c r="K55" s="481"/>
      <c r="L55" s="482"/>
      <c r="M55" s="483"/>
      <c r="N55" s="2519"/>
      <c r="O55" s="2519"/>
      <c r="P55" s="2518"/>
      <c r="Q55" s="2506"/>
      <c r="R55" s="2485"/>
      <c r="S55" s="2485"/>
      <c r="T55" s="2485"/>
      <c r="U55" s="2485"/>
      <c r="V55" s="2485"/>
      <c r="W55" s="2485"/>
      <c r="X55" s="2485"/>
      <c r="Y55" s="2485"/>
      <c r="Z55" s="2485"/>
      <c r="AA55" s="2485"/>
      <c r="AB55" s="2485"/>
      <c r="AC55" s="2485"/>
      <c r="AD55" s="2485"/>
    </row>
    <row r="56" spans="1:30" ht="14.4" thickBot="1">
      <c r="A56" s="367"/>
      <c r="B56" s="466"/>
      <c r="C56" s="491"/>
      <c r="D56" s="467"/>
      <c r="E56" s="467"/>
      <c r="F56" s="467"/>
      <c r="G56" s="467"/>
      <c r="H56" s="467"/>
      <c r="I56" s="467"/>
      <c r="J56" s="467"/>
      <c r="K56" s="467"/>
      <c r="L56" s="467"/>
      <c r="M56" s="468"/>
      <c r="N56" s="2520"/>
      <c r="O56" s="2520"/>
      <c r="P56" s="2518"/>
      <c r="Q56" s="2506"/>
      <c r="R56" s="2485"/>
      <c r="S56" s="2485"/>
      <c r="T56" s="2485"/>
      <c r="U56" s="2485"/>
      <c r="V56" s="2485"/>
      <c r="W56" s="2485"/>
      <c r="X56" s="2485"/>
      <c r="Y56" s="2485"/>
      <c r="Z56" s="2485"/>
      <c r="AA56" s="2485"/>
      <c r="AB56" s="2485"/>
      <c r="AC56" s="2485"/>
      <c r="AD56" s="2485"/>
    </row>
    <row r="57" spans="1:30" s="408" customFormat="1" ht="14.4" thickTop="1">
      <c r="A57" s="484"/>
      <c r="B57" s="469">
        <f>B12</f>
        <v>111</v>
      </c>
      <c r="C57" s="480"/>
      <c r="D57" s="480"/>
      <c r="E57" s="480"/>
      <c r="F57" s="480"/>
      <c r="G57" s="485"/>
      <c r="H57" s="486"/>
      <c r="I57" s="486"/>
      <c r="J57" s="486"/>
      <c r="K57" s="486"/>
      <c r="L57" s="487"/>
      <c r="M57" s="488"/>
      <c r="N57" s="2521"/>
      <c r="O57" s="2521"/>
      <c r="P57" s="2521"/>
      <c r="Q57" s="2513"/>
      <c r="R57" s="2491"/>
      <c r="S57" s="2491"/>
      <c r="T57" s="2491"/>
      <c r="U57" s="2491"/>
      <c r="V57" s="2491"/>
      <c r="W57" s="2491"/>
      <c r="X57" s="2491"/>
      <c r="Y57" s="2491"/>
      <c r="Z57" s="2491"/>
      <c r="AA57" s="2491"/>
      <c r="AB57" s="2491"/>
      <c r="AC57" s="2491"/>
      <c r="AD57" s="2491"/>
    </row>
    <row r="58" spans="1:30" s="408" customFormat="1" ht="14.4" thickBot="1">
      <c r="A58" s="484"/>
      <c r="B58" s="474"/>
      <c r="C58" s="491"/>
      <c r="D58" s="467"/>
      <c r="E58" s="467"/>
      <c r="F58" s="467"/>
      <c r="G58" s="467"/>
      <c r="H58" s="467"/>
      <c r="I58" s="467"/>
      <c r="J58" s="467"/>
      <c r="K58" s="467"/>
      <c r="L58" s="467"/>
      <c r="M58" s="468"/>
      <c r="N58" s="2520"/>
      <c r="O58" s="2520"/>
      <c r="P58" s="2521"/>
      <c r="Q58" s="2513"/>
      <c r="R58" s="2491"/>
      <c r="S58" s="2491"/>
      <c r="T58" s="2491"/>
      <c r="U58" s="2491"/>
      <c r="V58" s="2491"/>
      <c r="W58" s="2491"/>
      <c r="X58" s="2491"/>
      <c r="Y58" s="2491"/>
      <c r="Z58" s="2491"/>
      <c r="AA58" s="2491"/>
      <c r="AB58" s="2491"/>
      <c r="AC58" s="2491"/>
      <c r="AD58" s="2491"/>
    </row>
    <row r="59" spans="1:30" s="408" customFormat="1" ht="14.4" thickTop="1">
      <c r="A59" s="484"/>
      <c r="B59" s="469">
        <f>B13</f>
        <v>111</v>
      </c>
      <c r="C59" s="480"/>
      <c r="D59" s="480"/>
      <c r="E59" s="480"/>
      <c r="F59" s="480"/>
      <c r="G59" s="485"/>
      <c r="H59" s="486"/>
      <c r="I59" s="486"/>
      <c r="J59" s="486"/>
      <c r="K59" s="486"/>
      <c r="L59" s="487"/>
      <c r="M59" s="488"/>
      <c r="N59" s="2521"/>
      <c r="O59" s="2521"/>
      <c r="P59" s="2491"/>
      <c r="Q59" s="2515"/>
      <c r="R59" s="2491"/>
      <c r="S59" s="2491"/>
      <c r="T59" s="2491"/>
      <c r="U59" s="2491"/>
      <c r="V59" s="2491"/>
      <c r="W59" s="2491"/>
      <c r="X59" s="2491"/>
      <c r="Y59" s="2491"/>
      <c r="Z59" s="2491"/>
      <c r="AA59" s="2491"/>
      <c r="AB59" s="2491"/>
      <c r="AC59" s="2491"/>
      <c r="AD59" s="2491"/>
    </row>
    <row r="60" spans="1:30" s="408" customFormat="1" ht="14.4" thickBot="1">
      <c r="A60" s="484"/>
      <c r="B60" s="474"/>
      <c r="C60" s="491"/>
      <c r="D60" s="491"/>
      <c r="E60" s="491"/>
      <c r="F60" s="491"/>
      <c r="G60" s="491"/>
      <c r="H60" s="493"/>
      <c r="I60" s="493"/>
      <c r="J60" s="493"/>
      <c r="K60" s="493"/>
      <c r="L60" s="493"/>
      <c r="M60" s="494"/>
      <c r="N60" s="2521"/>
      <c r="O60" s="2521"/>
      <c r="P60" s="2521"/>
      <c r="Q60" s="2513"/>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9"/>
      <c r="O61" s="2519"/>
      <c r="P61" s="2543"/>
      <c r="Q61" s="2506"/>
      <c r="R61" s="2485"/>
      <c r="S61" s="2485"/>
      <c r="T61" s="2485"/>
      <c r="U61" s="2485"/>
      <c r="V61" s="2485"/>
      <c r="W61" s="2485"/>
      <c r="X61" s="2485"/>
      <c r="Y61" s="2485"/>
      <c r="Z61" s="2485"/>
      <c r="AA61" s="2485"/>
      <c r="AB61" s="2485"/>
      <c r="AC61" s="2485"/>
      <c r="AD61" s="2485"/>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0"/>
      <c r="O62" s="2520"/>
      <c r="P62" s="2518"/>
      <c r="Q62" s="2506"/>
      <c r="R62" s="2485"/>
      <c r="S62" s="2485"/>
      <c r="T62" s="2485"/>
      <c r="U62" s="2485"/>
      <c r="V62" s="2485"/>
      <c r="W62" s="2485"/>
      <c r="X62" s="2485"/>
      <c r="Y62" s="2485"/>
      <c r="Z62" s="2485"/>
      <c r="AA62" s="2485"/>
      <c r="AB62" s="2485"/>
      <c r="AC62" s="2485"/>
      <c r="AD62" s="2485"/>
    </row>
    <row r="63" spans="1:30" ht="29.4" thickTop="1">
      <c r="A63" s="367"/>
      <c r="B63" s="469" t="s">
        <v>1863</v>
      </c>
      <c r="C63" s="509" t="s">
        <v>1721</v>
      </c>
      <c r="D63" s="509" t="s">
        <v>1722</v>
      </c>
      <c r="E63" s="509" t="s">
        <v>1723</v>
      </c>
      <c r="F63" s="509" t="s">
        <v>1724</v>
      </c>
      <c r="G63" s="509" t="s">
        <v>1725</v>
      </c>
      <c r="H63" s="470"/>
      <c r="I63" s="470"/>
      <c r="J63" s="470"/>
      <c r="K63" s="471"/>
      <c r="L63" s="472"/>
      <c r="M63" s="473"/>
      <c r="N63" s="2519"/>
      <c r="O63" s="2519"/>
      <c r="P63" s="2518"/>
      <c r="Q63" s="2506"/>
      <c r="R63" s="2485"/>
      <c r="S63" s="2485"/>
      <c r="T63" s="2485"/>
      <c r="U63" s="2485"/>
      <c r="V63" s="2485"/>
      <c r="W63" s="2485"/>
      <c r="X63" s="2485"/>
      <c r="Y63" s="2485"/>
      <c r="Z63" s="2485"/>
      <c r="AA63" s="2485"/>
      <c r="AB63" s="2485"/>
      <c r="AC63" s="2485"/>
      <c r="AD63" s="2485"/>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0"/>
      <c r="O64" s="2520"/>
      <c r="P64" s="2518"/>
      <c r="Q64" s="2506"/>
      <c r="R64" s="2485"/>
      <c r="S64" s="2485"/>
      <c r="T64" s="2485"/>
      <c r="U64" s="2485"/>
      <c r="V64" s="2485"/>
      <c r="W64" s="2485"/>
      <c r="X64" s="2485"/>
      <c r="Y64" s="2485"/>
      <c r="Z64" s="2485"/>
      <c r="AA64" s="2485"/>
      <c r="AB64" s="2485"/>
      <c r="AC64" s="2485"/>
      <c r="AD64" s="2485"/>
    </row>
    <row r="65" spans="1:30" ht="15" thickTop="1">
      <c r="A65" s="367"/>
      <c r="B65" s="477" t="s">
        <v>1813</v>
      </c>
      <c r="C65" s="581" t="s">
        <v>1799</v>
      </c>
      <c r="D65" s="581" t="s">
        <v>1800</v>
      </c>
      <c r="E65" s="581" t="s">
        <v>1801</v>
      </c>
      <c r="F65" s="581" t="s">
        <v>1802</v>
      </c>
      <c r="G65" s="581" t="s">
        <v>1803</v>
      </c>
      <c r="H65" s="470"/>
      <c r="I65" s="470"/>
      <c r="J65" s="470"/>
      <c r="K65" s="470"/>
      <c r="L65" s="470"/>
      <c r="M65" s="1063"/>
      <c r="N65" s="2520"/>
      <c r="O65" s="2520"/>
      <c r="P65" s="2518"/>
      <c r="Q65" s="2506"/>
      <c r="R65" s="2485"/>
      <c r="S65" s="2485"/>
      <c r="T65" s="2485"/>
      <c r="U65" s="2485"/>
      <c r="V65" s="2485"/>
      <c r="W65" s="2485"/>
      <c r="X65" s="2485"/>
      <c r="Y65" s="2485"/>
      <c r="Z65" s="2485"/>
      <c r="AA65" s="2485"/>
      <c r="AB65" s="2485"/>
      <c r="AC65" s="2485"/>
      <c r="AD65" s="2485"/>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0"/>
      <c r="O66" s="2520"/>
      <c r="P66" s="2518"/>
      <c r="Q66" s="2506"/>
      <c r="R66" s="2485"/>
      <c r="S66" s="2485"/>
      <c r="T66" s="2485"/>
      <c r="U66" s="2485"/>
      <c r="V66" s="2485"/>
      <c r="W66" s="2485"/>
      <c r="X66" s="2485"/>
      <c r="Y66" s="2485"/>
      <c r="Z66" s="2485"/>
      <c r="AA66" s="2485"/>
      <c r="AB66" s="2485"/>
      <c r="AC66" s="2485"/>
      <c r="AD66" s="2485"/>
    </row>
    <row r="67" spans="1:30" ht="15" thickTop="1">
      <c r="A67" s="367"/>
      <c r="B67" s="469" t="s">
        <v>1733</v>
      </c>
      <c r="C67" s="509" t="s">
        <v>1721</v>
      </c>
      <c r="D67" s="509" t="s">
        <v>1722</v>
      </c>
      <c r="E67" s="509" t="s">
        <v>1723</v>
      </c>
      <c r="F67" s="509" t="s">
        <v>1724</v>
      </c>
      <c r="G67" s="509" t="s">
        <v>1725</v>
      </c>
      <c r="H67" s="470"/>
      <c r="I67" s="470"/>
      <c r="J67" s="470"/>
      <c r="K67" s="471"/>
      <c r="L67" s="472"/>
      <c r="M67" s="473"/>
      <c r="N67" s="2519"/>
      <c r="O67" s="2519"/>
      <c r="P67" s="2518"/>
      <c r="Q67" s="2506"/>
      <c r="R67" s="2485"/>
      <c r="S67" s="2485"/>
      <c r="T67" s="2485"/>
      <c r="U67" s="2485"/>
      <c r="V67" s="2485"/>
      <c r="W67" s="2485"/>
      <c r="X67" s="2485"/>
      <c r="Y67" s="2485"/>
      <c r="Z67" s="2485"/>
      <c r="AA67" s="2485"/>
      <c r="AB67" s="2485"/>
      <c r="AC67" s="2485"/>
      <c r="AD67" s="2485"/>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0"/>
      <c r="O68" s="2520"/>
      <c r="P68" s="2518"/>
      <c r="Q68" s="2506"/>
      <c r="R68" s="2485"/>
      <c r="S68" s="2485"/>
      <c r="T68" s="2485"/>
      <c r="U68" s="2485"/>
      <c r="V68" s="2485"/>
      <c r="W68" s="2485"/>
      <c r="X68" s="2485"/>
      <c r="Y68" s="2485"/>
      <c r="Z68" s="2485"/>
      <c r="AA68" s="2485"/>
      <c r="AB68" s="2485"/>
      <c r="AC68" s="2485"/>
      <c r="AD68" s="2485"/>
    </row>
    <row r="69" spans="1:30" ht="15" thickTop="1">
      <c r="A69" s="367"/>
      <c r="B69" s="469" t="s">
        <v>1852</v>
      </c>
      <c r="C69" s="485"/>
      <c r="D69" s="485"/>
      <c r="E69" s="485"/>
      <c r="F69" s="485"/>
      <c r="G69" s="485"/>
      <c r="H69" s="513"/>
      <c r="I69" s="513"/>
      <c r="J69" s="513"/>
      <c r="K69" s="514"/>
      <c r="L69" s="515"/>
      <c r="M69" s="516"/>
      <c r="N69" s="2519"/>
      <c r="O69" s="2519"/>
      <c r="P69" s="2518"/>
      <c r="Q69" s="2506"/>
      <c r="R69" s="2485"/>
      <c r="S69" s="2485"/>
      <c r="T69" s="2485"/>
      <c r="U69" s="2485"/>
      <c r="V69" s="2485"/>
      <c r="W69" s="2485"/>
      <c r="X69" s="2485"/>
      <c r="Y69" s="2485"/>
      <c r="Z69" s="2485"/>
      <c r="AA69" s="2485"/>
      <c r="AB69" s="2485"/>
      <c r="AC69" s="2485"/>
      <c r="AD69" s="2485"/>
    </row>
    <row r="70" spans="1:30" ht="14.4" thickBot="1">
      <c r="A70" s="367"/>
      <c r="B70" s="474"/>
      <c r="C70" s="475">
        <v>100</v>
      </c>
      <c r="D70" s="475">
        <f>C70-$K22</f>
        <v>100</v>
      </c>
      <c r="E70" s="475"/>
      <c r="F70" s="475"/>
      <c r="G70" s="475"/>
      <c r="H70" s="475"/>
      <c r="I70" s="475"/>
      <c r="J70" s="475"/>
      <c r="K70" s="475"/>
      <c r="L70" s="475"/>
      <c r="M70" s="476"/>
      <c r="N70" s="2520"/>
      <c r="O70" s="2520"/>
      <c r="P70" s="2518"/>
      <c r="Q70" s="2506"/>
      <c r="R70" s="2485"/>
      <c r="S70" s="2485"/>
      <c r="T70" s="2485"/>
      <c r="U70" s="2485"/>
      <c r="V70" s="2485"/>
      <c r="W70" s="2485"/>
      <c r="X70" s="2485"/>
      <c r="Y70" s="2485"/>
      <c r="Z70" s="2485"/>
      <c r="AA70" s="2485"/>
      <c r="AB70" s="2485"/>
      <c r="AC70" s="2485"/>
      <c r="AD70" s="2485"/>
    </row>
    <row r="71" spans="1:30" s="102" customFormat="1" ht="14.4" thickTop="1">
      <c r="A71" s="370"/>
      <c r="B71" s="469">
        <f>B23</f>
        <v>111</v>
      </c>
      <c r="C71" s="480"/>
      <c r="D71" s="480"/>
      <c r="E71" s="480"/>
      <c r="F71" s="480"/>
      <c r="G71" s="485"/>
      <c r="H71" s="485"/>
      <c r="I71" s="485"/>
      <c r="J71" s="485"/>
      <c r="K71" s="485"/>
      <c r="L71" s="510"/>
      <c r="M71" s="511"/>
      <c r="N71" s="2518"/>
      <c r="O71" s="2518"/>
      <c r="P71" s="2518"/>
      <c r="Q71" s="2506"/>
      <c r="R71" s="2437"/>
      <c r="S71" s="2437"/>
      <c r="T71" s="2437"/>
      <c r="U71" s="2437"/>
      <c r="V71" s="2437"/>
      <c r="W71" s="2437"/>
      <c r="X71" s="2437"/>
      <c r="Y71" s="2437"/>
      <c r="Z71" s="2437"/>
      <c r="AA71" s="2437"/>
      <c r="AB71" s="2437"/>
      <c r="AC71" s="2437"/>
      <c r="AD71" s="2437"/>
    </row>
    <row r="72" spans="1:30" s="102" customFormat="1" ht="14.4" thickBot="1">
      <c r="A72" s="370"/>
      <c r="B72" s="474"/>
      <c r="C72" s="491"/>
      <c r="D72" s="467"/>
      <c r="E72" s="467"/>
      <c r="F72" s="467"/>
      <c r="G72" s="467"/>
      <c r="H72" s="467"/>
      <c r="I72" s="467"/>
      <c r="J72" s="467"/>
      <c r="K72" s="467"/>
      <c r="L72" s="467"/>
      <c r="M72" s="468"/>
      <c r="N72" s="2520"/>
      <c r="O72" s="2520"/>
      <c r="P72" s="2518"/>
      <c r="Q72" s="2506"/>
      <c r="R72" s="2437"/>
      <c r="S72" s="2437"/>
      <c r="T72" s="2437"/>
      <c r="U72" s="2437"/>
      <c r="V72" s="2437"/>
      <c r="W72" s="2437"/>
      <c r="X72" s="2437"/>
      <c r="Y72" s="2437"/>
      <c r="Z72" s="2437"/>
      <c r="AA72" s="2437"/>
      <c r="AB72" s="2437"/>
      <c r="AC72" s="2437"/>
      <c r="AD72" s="2437"/>
    </row>
    <row r="73" spans="1:30" s="102" customFormat="1" ht="14.4" thickTop="1">
      <c r="A73" s="370"/>
      <c r="B73" s="469">
        <f>B24</f>
        <v>111</v>
      </c>
      <c r="C73" s="480"/>
      <c r="D73" s="480"/>
      <c r="E73" s="480"/>
      <c r="F73" s="480"/>
      <c r="G73" s="485"/>
      <c r="H73" s="485"/>
      <c r="I73" s="485"/>
      <c r="J73" s="485"/>
      <c r="K73" s="485"/>
      <c r="L73" s="485"/>
      <c r="M73" s="511"/>
      <c r="N73" s="2518"/>
      <c r="O73" s="2518"/>
      <c r="P73" s="2518"/>
      <c r="Q73" s="2506"/>
      <c r="R73" s="2437"/>
      <c r="S73" s="2437"/>
      <c r="T73" s="2437"/>
      <c r="U73" s="2437"/>
      <c r="V73" s="2437"/>
      <c r="W73" s="2437"/>
      <c r="X73" s="2437"/>
      <c r="Y73" s="2437"/>
      <c r="Z73" s="2437"/>
      <c r="AA73" s="2437"/>
      <c r="AB73" s="2437"/>
      <c r="AC73" s="2437"/>
      <c r="AD73" s="2437"/>
    </row>
    <row r="74" spans="1:30" s="102" customFormat="1" ht="14.4" thickBot="1">
      <c r="A74" s="370"/>
      <c r="B74" s="474"/>
      <c r="C74" s="491"/>
      <c r="D74" s="467"/>
      <c r="E74" s="467"/>
      <c r="F74" s="467"/>
      <c r="G74" s="467"/>
      <c r="H74" s="467"/>
      <c r="I74" s="467"/>
      <c r="J74" s="467"/>
      <c r="K74" s="467"/>
      <c r="L74" s="467"/>
      <c r="M74" s="468"/>
      <c r="N74" s="2520"/>
      <c r="O74" s="2520"/>
      <c r="P74" s="2518"/>
      <c r="Q74" s="2506"/>
      <c r="R74" s="2437"/>
      <c r="S74" s="2437"/>
      <c r="T74" s="2437"/>
      <c r="U74" s="2437"/>
      <c r="V74" s="2437"/>
      <c r="W74" s="2437"/>
      <c r="X74" s="2437"/>
      <c r="Y74" s="2437"/>
      <c r="Z74" s="2437"/>
      <c r="AA74" s="2437"/>
      <c r="AB74" s="2437"/>
      <c r="AC74" s="2437"/>
      <c r="AD74" s="2437"/>
    </row>
    <row r="75" spans="1:30" s="408" customFormat="1" ht="14.4" thickTop="1">
      <c r="A75" s="484"/>
      <c r="B75" s="469">
        <f>B25</f>
        <v>111</v>
      </c>
      <c r="C75" s="480"/>
      <c r="D75" s="480"/>
      <c r="E75" s="480"/>
      <c r="F75" s="480"/>
      <c r="G75" s="485"/>
      <c r="H75" s="486"/>
      <c r="I75" s="486"/>
      <c r="J75" s="486"/>
      <c r="K75" s="486"/>
      <c r="L75" s="487"/>
      <c r="M75" s="488"/>
      <c r="N75" s="2521"/>
      <c r="O75" s="2521"/>
      <c r="P75" s="2521"/>
      <c r="Q75" s="2513"/>
      <c r="R75" s="2491"/>
      <c r="S75" s="2491"/>
      <c r="T75" s="2491"/>
      <c r="U75" s="2491"/>
      <c r="V75" s="2491"/>
      <c r="W75" s="2491"/>
      <c r="X75" s="2491"/>
      <c r="Y75" s="2491"/>
      <c r="Z75" s="2491"/>
      <c r="AA75" s="2491"/>
      <c r="AB75" s="2491"/>
      <c r="AC75" s="2491"/>
      <c r="AD75" s="2491"/>
    </row>
    <row r="76" spans="1:30" s="408" customFormat="1" ht="14.4" thickBot="1">
      <c r="A76" s="484"/>
      <c r="B76" s="474"/>
      <c r="C76" s="491"/>
      <c r="D76" s="491"/>
      <c r="E76" s="491"/>
      <c r="F76" s="491"/>
      <c r="G76" s="467"/>
      <c r="H76" s="467"/>
      <c r="I76" s="467"/>
      <c r="J76" s="467"/>
      <c r="K76" s="467"/>
      <c r="L76" s="467"/>
      <c r="M76" s="468"/>
      <c r="N76" s="2521"/>
      <c r="O76" s="2521"/>
      <c r="P76" s="2521"/>
      <c r="Q76" s="2513"/>
      <c r="R76" s="2491"/>
      <c r="S76" s="2491"/>
      <c r="T76" s="2491"/>
      <c r="U76" s="2491"/>
      <c r="V76" s="2491"/>
      <c r="W76" s="2491"/>
      <c r="X76" s="2491"/>
      <c r="Y76" s="2491"/>
      <c r="Z76" s="2491"/>
      <c r="AA76" s="2491"/>
      <c r="AB76" s="2491"/>
      <c r="AC76" s="2491"/>
      <c r="AD76" s="2491"/>
    </row>
    <row r="77" spans="1:30" ht="15" thickTop="1">
      <c r="A77" s="379" t="s">
        <v>1694</v>
      </c>
      <c r="B77" s="460" t="s">
        <v>1740</v>
      </c>
      <c r="C77" s="485"/>
      <c r="D77" s="485"/>
      <c r="E77" s="462"/>
      <c r="F77" s="462"/>
      <c r="G77" s="462"/>
      <c r="H77" s="462"/>
      <c r="I77" s="462"/>
      <c r="J77" s="462"/>
      <c r="K77" s="463"/>
      <c r="L77" s="464"/>
      <c r="M77" s="465"/>
      <c r="N77" s="2519"/>
      <c r="O77" s="2519"/>
      <c r="P77" s="2518"/>
      <c r="Q77" s="2506"/>
      <c r="R77" s="2485"/>
      <c r="S77" s="2485"/>
      <c r="T77" s="2485"/>
      <c r="U77" s="2485"/>
      <c r="V77" s="2485"/>
      <c r="W77" s="2485"/>
      <c r="X77" s="2485"/>
      <c r="Y77" s="2485"/>
      <c r="Z77" s="2485"/>
      <c r="AA77" s="2485"/>
      <c r="AB77" s="2485"/>
      <c r="AC77" s="2485"/>
      <c r="AD77" s="2485"/>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0"/>
      <c r="O78" s="2520"/>
      <c r="P78" s="2518"/>
      <c r="Q78" s="2506"/>
      <c r="R78" s="2485"/>
      <c r="S78" s="2485"/>
      <c r="T78" s="2485"/>
      <c r="U78" s="2485"/>
      <c r="V78" s="2485"/>
      <c r="W78" s="2485"/>
      <c r="X78" s="2485"/>
      <c r="Y78" s="2485"/>
      <c r="Z78" s="2485"/>
      <c r="AA78" s="2485"/>
      <c r="AB78" s="2485"/>
      <c r="AC78" s="2485"/>
      <c r="AD78" s="2485"/>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8"/>
      <c r="O79" s="2518"/>
      <c r="P79" s="2518"/>
      <c r="Q79" s="2506"/>
      <c r="R79" s="2485"/>
      <c r="S79" s="2485"/>
      <c r="T79" s="2485"/>
      <c r="U79" s="2485"/>
      <c r="V79" s="2485"/>
      <c r="W79" s="2485"/>
      <c r="X79" s="2485"/>
      <c r="Y79" s="2485"/>
      <c r="Z79" s="2485"/>
      <c r="AA79" s="2485"/>
      <c r="AB79" s="2485"/>
      <c r="AC79" s="2485"/>
      <c r="AD79" s="2485"/>
    </row>
    <row r="80" spans="1:30">
      <c r="A80" s="367"/>
      <c r="B80" s="477"/>
      <c r="C80" s="530">
        <v>0.5</v>
      </c>
      <c r="D80" s="530">
        <v>0.6</v>
      </c>
      <c r="E80" s="530">
        <v>0.7</v>
      </c>
      <c r="F80" s="530">
        <v>0.8</v>
      </c>
      <c r="G80" s="530">
        <v>0.9</v>
      </c>
      <c r="H80" s="530">
        <v>1.0001</v>
      </c>
      <c r="I80" s="581"/>
      <c r="J80" s="581"/>
      <c r="K80" s="588"/>
      <c r="L80" s="589"/>
      <c r="M80" s="590"/>
      <c r="N80" s="2518"/>
      <c r="O80" s="2518"/>
      <c r="P80" s="2518"/>
      <c r="Q80" s="2506"/>
      <c r="R80" s="2485"/>
      <c r="S80" s="2485"/>
      <c r="T80" s="2485"/>
      <c r="U80" s="2485"/>
      <c r="V80" s="2485"/>
      <c r="W80" s="2485"/>
      <c r="X80" s="2485"/>
      <c r="Y80" s="2485"/>
      <c r="Z80" s="2485"/>
      <c r="AA80" s="2485"/>
      <c r="AB80" s="2485"/>
      <c r="AC80" s="2485"/>
      <c r="AD80" s="2485"/>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9"/>
      <c r="B82" s="477" t="s">
        <v>1856</v>
      </c>
      <c r="C82" s="485"/>
      <c r="D82" s="485"/>
      <c r="E82" s="513"/>
      <c r="F82" s="513"/>
      <c r="G82" s="513"/>
      <c r="H82" s="513"/>
      <c r="I82" s="513"/>
      <c r="J82" s="513"/>
      <c r="K82" s="514"/>
      <c r="L82" s="515"/>
      <c r="M82" s="516"/>
      <c r="N82" s="2519"/>
      <c r="O82" s="2519"/>
      <c r="P82" s="2518"/>
      <c r="Q82" s="2506"/>
      <c r="R82" s="2485"/>
      <c r="S82" s="2485"/>
      <c r="T82" s="2485"/>
      <c r="U82" s="2485"/>
      <c r="V82" s="2485"/>
      <c r="W82" s="2485"/>
      <c r="X82" s="2485"/>
      <c r="Y82" s="2485"/>
      <c r="Z82" s="2485"/>
      <c r="AA82" s="2485"/>
      <c r="AB82" s="2485"/>
      <c r="AC82" s="2485"/>
      <c r="AD82" s="2485"/>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9"/>
      <c r="B84" s="469" t="s">
        <v>1864</v>
      </c>
      <c r="C84" s="485"/>
      <c r="D84" s="485"/>
      <c r="E84" s="485"/>
      <c r="F84" s="485"/>
      <c r="G84" s="485"/>
      <c r="H84" s="485"/>
      <c r="I84" s="513"/>
      <c r="J84" s="513"/>
      <c r="K84" s="514"/>
      <c r="L84" s="515"/>
      <c r="M84" s="516"/>
      <c r="N84" s="2519"/>
      <c r="O84" s="2519"/>
      <c r="P84" s="2518"/>
      <c r="Q84" s="2506"/>
      <c r="R84" s="2485"/>
      <c r="S84" s="2485"/>
      <c r="T84" s="2485"/>
      <c r="U84" s="2485"/>
      <c r="V84" s="2485"/>
      <c r="W84" s="2485"/>
      <c r="X84" s="2485"/>
      <c r="Y84" s="2485"/>
      <c r="Z84" s="2485"/>
      <c r="AA84" s="2485"/>
      <c r="AB84" s="2485"/>
      <c r="AC84" s="2485"/>
      <c r="AD84" s="2485"/>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9"/>
      <c r="B87" s="477"/>
      <c r="C87" s="6"/>
      <c r="D87" s="6"/>
      <c r="E87" s="6"/>
      <c r="F87" s="6"/>
      <c r="G87" s="6"/>
      <c r="H87" s="6"/>
      <c r="I87" s="6"/>
      <c r="J87" s="524"/>
      <c r="K87" s="524"/>
      <c r="L87" s="525"/>
      <c r="M87" s="526"/>
      <c r="N87" s="2519"/>
      <c r="O87" s="2519"/>
      <c r="P87" s="2518"/>
      <c r="Q87" s="2506"/>
      <c r="R87" s="2485"/>
      <c r="S87" s="2485"/>
      <c r="T87" s="2485"/>
      <c r="U87" s="2485"/>
      <c r="V87" s="2485"/>
      <c r="W87" s="2485"/>
      <c r="X87" s="2485"/>
      <c r="Y87" s="2485"/>
      <c r="Z87" s="2485"/>
      <c r="AA87" s="2485"/>
      <c r="AB87" s="2485"/>
      <c r="AC87" s="2485"/>
      <c r="AD87" s="2485"/>
    </row>
    <row r="88" spans="1:30" ht="14.4" thickBot="1">
      <c r="A88" s="367"/>
      <c r="B88" s="474"/>
      <c r="C88" s="491"/>
      <c r="D88" s="467"/>
      <c r="E88" s="467"/>
      <c r="F88" s="467"/>
      <c r="G88" s="467"/>
      <c r="H88" s="467"/>
      <c r="I88" s="467"/>
      <c r="J88" s="467"/>
      <c r="K88" s="467"/>
      <c r="L88" s="467"/>
      <c r="M88" s="467"/>
      <c r="N88" s="2520"/>
      <c r="O88" s="2520"/>
      <c r="P88" s="2518"/>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485"/>
      <c r="D89" s="485"/>
      <c r="E89" s="485"/>
      <c r="F89" s="485"/>
      <c r="G89" s="485"/>
      <c r="H89" s="485"/>
      <c r="I89" s="485"/>
      <c r="J89" s="485"/>
      <c r="K89" s="485"/>
      <c r="L89" s="485"/>
      <c r="M89" s="511"/>
      <c r="N89" s="2521"/>
      <c r="O89" s="2521"/>
      <c r="P89" s="2521"/>
      <c r="Q89" s="2513"/>
      <c r="R89" s="2491"/>
      <c r="S89" s="2491"/>
      <c r="T89" s="2491"/>
      <c r="U89" s="2491"/>
      <c r="V89" s="2491"/>
      <c r="W89" s="2491"/>
      <c r="X89" s="2491"/>
      <c r="Y89" s="2491"/>
      <c r="Z89" s="2491"/>
      <c r="AA89" s="2491"/>
      <c r="AB89" s="2491"/>
      <c r="AC89" s="2491"/>
      <c r="AD89" s="2491"/>
    </row>
    <row r="90" spans="1:30" s="408" customFormat="1" ht="14.4" thickBot="1">
      <c r="A90" s="484"/>
      <c r="B90" s="474"/>
      <c r="C90" s="491"/>
      <c r="D90" s="467"/>
      <c r="E90" s="467"/>
      <c r="F90" s="467"/>
      <c r="G90" s="467"/>
      <c r="H90" s="467"/>
      <c r="I90" s="467"/>
      <c r="J90" s="467"/>
      <c r="K90" s="467"/>
      <c r="L90" s="467"/>
      <c r="M90" s="468"/>
      <c r="N90" s="2521"/>
      <c r="O90" s="2521"/>
      <c r="P90" s="2521"/>
      <c r="Q90" s="2513"/>
      <c r="R90" s="2491"/>
      <c r="S90" s="2491"/>
      <c r="T90" s="2491"/>
      <c r="U90" s="2491"/>
      <c r="V90" s="2491"/>
      <c r="W90" s="2491"/>
      <c r="X90" s="2491"/>
      <c r="Y90" s="2491"/>
      <c r="Z90" s="2491"/>
      <c r="AA90" s="2491"/>
      <c r="AB90" s="2491"/>
      <c r="AC90" s="2491"/>
      <c r="AD90" s="2491"/>
    </row>
    <row r="91" spans="1:30" ht="14.4" thickTop="1">
      <c r="A91" s="409"/>
      <c r="B91" s="469">
        <f>B32</f>
        <v>111</v>
      </c>
      <c r="C91" s="480"/>
      <c r="D91" s="480"/>
      <c r="E91" s="480"/>
      <c r="F91" s="480"/>
      <c r="G91" s="485"/>
      <c r="H91" s="486"/>
      <c r="I91" s="486"/>
      <c r="J91" s="486"/>
      <c r="K91" s="486"/>
      <c r="L91" s="487"/>
      <c r="M91" s="488"/>
      <c r="N91" s="2519"/>
      <c r="O91" s="2519"/>
      <c r="P91" s="2518"/>
      <c r="Q91" s="2506"/>
      <c r="R91" s="2485"/>
      <c r="S91" s="2485"/>
      <c r="T91" s="2485"/>
      <c r="U91" s="2485"/>
      <c r="V91" s="2485"/>
      <c r="W91" s="2485"/>
      <c r="X91" s="2485"/>
      <c r="Y91" s="2485"/>
      <c r="Z91" s="2485"/>
      <c r="AA91" s="2485"/>
      <c r="AB91" s="2485"/>
      <c r="AC91" s="2485"/>
      <c r="AD91" s="2485"/>
    </row>
    <row r="92" spans="1:30" ht="14.4" thickBot="1">
      <c r="A92" s="367"/>
      <c r="B92" s="474"/>
      <c r="C92" s="491"/>
      <c r="D92" s="467"/>
      <c r="E92" s="467"/>
      <c r="F92" s="467"/>
      <c r="G92" s="491"/>
      <c r="H92" s="493"/>
      <c r="I92" s="493"/>
      <c r="J92" s="493"/>
      <c r="K92" s="493"/>
      <c r="L92" s="493"/>
      <c r="M92" s="494"/>
      <c r="N92" s="2520"/>
      <c r="O92" s="2520"/>
      <c r="P92" s="2518"/>
      <c r="Q92" s="2506"/>
      <c r="R92" s="2485"/>
      <c r="S92" s="2485"/>
      <c r="T92" s="2485"/>
      <c r="U92" s="2485"/>
      <c r="V92" s="2485"/>
      <c r="W92" s="2485"/>
      <c r="X92" s="2485"/>
      <c r="Y92" s="2485"/>
      <c r="Z92" s="2485"/>
      <c r="AA92" s="2485"/>
      <c r="AB92" s="2485"/>
      <c r="AC92" s="2485"/>
      <c r="AD92" s="2485"/>
    </row>
    <row r="93" spans="1:30" ht="14.4" thickTop="1">
      <c r="A93" s="409"/>
      <c r="B93" s="469">
        <f>B33</f>
        <v>111</v>
      </c>
      <c r="C93" s="480"/>
      <c r="D93" s="480"/>
      <c r="E93" s="480"/>
      <c r="F93" s="480"/>
      <c r="G93" s="485"/>
      <c r="H93" s="486"/>
      <c r="I93" s="486"/>
      <c r="J93" s="486"/>
      <c r="K93" s="486"/>
      <c r="L93" s="487"/>
      <c r="M93" s="488"/>
      <c r="N93" s="2519"/>
      <c r="O93" s="2519"/>
      <c r="P93" s="2518"/>
      <c r="Q93" s="2506"/>
      <c r="R93" s="2485"/>
      <c r="S93" s="2485"/>
      <c r="T93" s="2485"/>
      <c r="U93" s="2485"/>
      <c r="V93" s="2485"/>
      <c r="W93" s="2485"/>
      <c r="X93" s="2485"/>
      <c r="Y93" s="2485"/>
      <c r="Z93" s="2485"/>
      <c r="AA93" s="2485"/>
      <c r="AB93" s="2485"/>
      <c r="AC93" s="2485"/>
      <c r="AD93" s="2485"/>
    </row>
    <row r="94" spans="1:30" ht="14.4" thickBot="1">
      <c r="A94" s="367"/>
      <c r="B94" s="474"/>
      <c r="C94" s="491"/>
      <c r="D94" s="467"/>
      <c r="E94" s="467"/>
      <c r="F94" s="467"/>
      <c r="G94" s="491"/>
      <c r="H94" s="493"/>
      <c r="I94" s="493"/>
      <c r="J94" s="493"/>
      <c r="K94" s="493"/>
      <c r="L94" s="493"/>
      <c r="M94" s="494"/>
      <c r="N94" s="2520"/>
      <c r="O94" s="2520"/>
      <c r="P94" s="2518"/>
      <c r="Q94" s="2506"/>
      <c r="R94" s="2485"/>
      <c r="S94" s="2485"/>
      <c r="T94" s="2485"/>
      <c r="U94" s="2485"/>
      <c r="V94" s="2485"/>
      <c r="W94" s="2485"/>
      <c r="X94" s="2485"/>
      <c r="Y94" s="2485"/>
      <c r="Z94" s="2485"/>
      <c r="AA94" s="2485"/>
      <c r="AB94" s="2485"/>
      <c r="AC94" s="2485"/>
      <c r="AD94" s="2485"/>
    </row>
    <row r="95" spans="1:30" ht="14.4" thickTop="1">
      <c r="A95" s="409"/>
      <c r="B95" s="560">
        <f>B34</f>
        <v>111</v>
      </c>
      <c r="C95" s="480"/>
      <c r="D95" s="480"/>
      <c r="E95" s="480"/>
      <c r="F95" s="480"/>
      <c r="G95" s="485"/>
      <c r="H95" s="486"/>
      <c r="I95" s="486"/>
      <c r="J95" s="486"/>
      <c r="K95" s="486"/>
      <c r="L95" s="487"/>
      <c r="M95" s="488"/>
      <c r="N95" s="2520"/>
      <c r="O95" s="2520"/>
      <c r="P95" s="2520"/>
      <c r="Q95" s="2534"/>
      <c r="R95" s="2485"/>
      <c r="S95" s="2485"/>
      <c r="T95" s="2485"/>
      <c r="U95" s="2485"/>
      <c r="V95" s="2485"/>
      <c r="W95" s="2485"/>
      <c r="X95" s="2485"/>
      <c r="Y95" s="2485"/>
      <c r="Z95" s="2485"/>
      <c r="AA95" s="2485"/>
      <c r="AB95" s="2485"/>
      <c r="AC95" s="2485"/>
      <c r="AD95" s="2485"/>
    </row>
    <row r="96" spans="1:30" ht="14.4" thickBot="1">
      <c r="A96" s="367"/>
      <c r="B96" s="474"/>
      <c r="C96" s="491"/>
      <c r="D96" s="491"/>
      <c r="E96" s="491"/>
      <c r="F96" s="491"/>
      <c r="G96" s="491"/>
      <c r="H96" s="493"/>
      <c r="I96" s="493"/>
      <c r="J96" s="493"/>
      <c r="K96" s="493"/>
      <c r="L96" s="493"/>
      <c r="M96" s="494"/>
      <c r="N96" s="2520"/>
      <c r="O96" s="2520"/>
      <c r="P96" s="2518"/>
      <c r="Q96" s="2506"/>
      <c r="R96" s="2485"/>
      <c r="S96" s="2485"/>
      <c r="T96" s="2485"/>
      <c r="U96" s="2485"/>
      <c r="V96" s="2485"/>
      <c r="W96" s="2485"/>
      <c r="X96" s="2485"/>
      <c r="Y96" s="2485"/>
      <c r="Z96" s="2485"/>
      <c r="AA96" s="2485"/>
      <c r="AB96" s="2485"/>
      <c r="AC96" s="2485"/>
      <c r="AD96" s="2485"/>
    </row>
    <row r="97" spans="1:30" ht="14.4" thickTop="1">
      <c r="N97" s="2485"/>
      <c r="O97" s="2485"/>
      <c r="P97" s="2485"/>
      <c r="Q97" s="2485"/>
      <c r="R97" s="2485"/>
      <c r="S97" s="2485"/>
      <c r="T97" s="2485"/>
      <c r="U97" s="2485"/>
      <c r="V97" s="2485"/>
      <c r="W97" s="2485"/>
      <c r="X97" s="2485"/>
      <c r="Y97" s="2485"/>
      <c r="Z97" s="2485"/>
      <c r="AA97" s="2485"/>
      <c r="AB97" s="2485"/>
      <c r="AC97" s="2485"/>
      <c r="AD97" s="2485"/>
    </row>
    <row r="98" spans="1:30">
      <c r="A98" s="882"/>
      <c r="B98" s="882"/>
      <c r="C98" s="882"/>
      <c r="D98" s="882"/>
      <c r="E98" s="882"/>
      <c r="F98" s="882"/>
      <c r="G98" s="882"/>
      <c r="H98" s="882"/>
      <c r="I98" s="882"/>
      <c r="J98" s="882"/>
      <c r="K98" s="883"/>
      <c r="L98" s="884"/>
      <c r="M98" s="882"/>
      <c r="N98" s="2485"/>
      <c r="O98" s="2485"/>
      <c r="P98" s="2485"/>
      <c r="Q98" s="2485"/>
      <c r="R98" s="2485"/>
      <c r="S98" s="2485"/>
      <c r="T98" s="2485"/>
      <c r="U98" s="2485"/>
      <c r="V98" s="2485"/>
      <c r="W98" s="2485"/>
      <c r="X98" s="2485"/>
      <c r="Y98" s="2485"/>
      <c r="Z98" s="2485"/>
      <c r="AA98" s="2485"/>
      <c r="AB98" s="2485"/>
      <c r="AC98" s="2485"/>
      <c r="AD98" s="2485"/>
    </row>
    <row r="99" spans="1:30">
      <c r="A99" s="882"/>
      <c r="B99" s="882"/>
      <c r="C99" s="882"/>
      <c r="D99" s="882"/>
      <c r="E99" s="882"/>
      <c r="F99" s="882"/>
      <c r="G99" s="882"/>
      <c r="H99" s="882"/>
      <c r="I99" s="882"/>
      <c r="J99" s="882"/>
      <c r="K99" s="883"/>
      <c r="L99" s="884"/>
      <c r="M99" s="882"/>
      <c r="N99" s="2485"/>
      <c r="O99" s="2485"/>
      <c r="P99" s="2485"/>
      <c r="Q99" s="2485"/>
      <c r="R99" s="2485"/>
      <c r="S99" s="2485"/>
      <c r="T99" s="2485"/>
      <c r="U99" s="2485"/>
      <c r="V99" s="2485"/>
      <c r="W99" s="2485"/>
      <c r="X99" s="2485"/>
      <c r="Y99" s="2485"/>
      <c r="Z99" s="2485"/>
      <c r="AA99" s="2485"/>
      <c r="AB99" s="2485"/>
      <c r="AC99" s="2485"/>
      <c r="AD99" s="2485"/>
    </row>
    <row r="100" spans="1:30">
      <c r="A100" s="882"/>
      <c r="B100" s="882"/>
      <c r="C100" s="882"/>
      <c r="D100" s="882"/>
      <c r="E100" s="882"/>
      <c r="F100" s="882"/>
      <c r="G100" s="882"/>
      <c r="H100" s="882"/>
      <c r="I100" s="882"/>
      <c r="J100" s="882"/>
      <c r="K100" s="883"/>
      <c r="L100" s="884"/>
      <c r="M100" s="882"/>
      <c r="N100" s="2485"/>
      <c r="O100" s="2485"/>
      <c r="P100" s="2485"/>
      <c r="Q100" s="2485"/>
      <c r="R100" s="2485"/>
      <c r="S100" s="2485"/>
      <c r="T100" s="2485"/>
      <c r="U100" s="2485"/>
      <c r="V100" s="2485"/>
      <c r="W100" s="2485"/>
      <c r="X100" s="2485"/>
      <c r="Y100" s="2485"/>
      <c r="Z100" s="2485"/>
      <c r="AA100" s="2485"/>
      <c r="AB100" s="2485"/>
      <c r="AC100" s="2485"/>
      <c r="AD100" s="2485"/>
    </row>
    <row r="101" spans="1:30">
      <c r="A101" s="882"/>
      <c r="B101" s="882"/>
      <c r="C101" s="882"/>
      <c r="D101" s="882"/>
      <c r="E101" s="882"/>
      <c r="F101" s="882"/>
      <c r="G101" s="882"/>
      <c r="H101" s="882"/>
      <c r="I101" s="882"/>
      <c r="J101" s="882"/>
      <c r="K101" s="883"/>
      <c r="L101" s="884"/>
      <c r="M101" s="882"/>
      <c r="N101" s="2485"/>
      <c r="O101" s="2485"/>
      <c r="P101" s="2485"/>
      <c r="Q101" s="2485"/>
      <c r="R101" s="2485"/>
      <c r="S101" s="2485"/>
      <c r="T101" s="2485"/>
      <c r="U101" s="2485"/>
      <c r="V101" s="2485"/>
      <c r="W101" s="2485"/>
      <c r="X101" s="2485"/>
      <c r="Y101" s="2485"/>
      <c r="Z101" s="2485"/>
      <c r="AA101" s="2485"/>
      <c r="AB101" s="2485"/>
      <c r="AC101" s="2485"/>
      <c r="AD101" s="2485"/>
    </row>
    <row r="102" spans="1:30">
      <c r="A102" s="882"/>
      <c r="B102" s="882"/>
      <c r="C102" s="882"/>
      <c r="D102" s="882"/>
      <c r="E102" s="882"/>
      <c r="F102" s="882"/>
      <c r="G102" s="882"/>
      <c r="H102" s="882"/>
      <c r="I102" s="882"/>
      <c r="J102" s="882"/>
      <c r="K102" s="883"/>
      <c r="L102" s="884"/>
      <c r="M102" s="882"/>
      <c r="N102" s="2485"/>
      <c r="O102" s="2485"/>
      <c r="P102" s="2485"/>
      <c r="Q102" s="2485"/>
      <c r="R102" s="2485"/>
      <c r="S102" s="2485"/>
      <c r="T102" s="2485"/>
      <c r="U102" s="2485"/>
      <c r="V102" s="2485"/>
      <c r="W102" s="2485"/>
      <c r="X102" s="2485"/>
      <c r="Y102" s="2485"/>
      <c r="Z102" s="2485"/>
      <c r="AA102" s="2485"/>
      <c r="AB102" s="2485"/>
      <c r="AC102" s="2485"/>
      <c r="AD102" s="2485"/>
    </row>
    <row r="103" spans="1:30">
      <c r="A103" s="882"/>
      <c r="B103" s="882"/>
      <c r="C103" s="882"/>
      <c r="D103" s="882"/>
      <c r="E103" s="882"/>
      <c r="F103" s="882"/>
      <c r="G103" s="882"/>
      <c r="H103" s="882"/>
      <c r="I103" s="882"/>
      <c r="J103" s="882"/>
      <c r="K103" s="883"/>
      <c r="L103" s="884"/>
      <c r="M103" s="882"/>
      <c r="N103" s="882"/>
      <c r="O103" s="882"/>
      <c r="P103" s="2485"/>
      <c r="Q103" s="2485"/>
      <c r="R103" s="2485"/>
      <c r="S103" s="2485"/>
      <c r="T103" s="2485"/>
      <c r="U103" s="2485"/>
      <c r="V103" s="2485"/>
      <c r="W103" s="2485"/>
      <c r="X103" s="2485"/>
      <c r="Y103" s="2485"/>
      <c r="Z103" s="2485"/>
      <c r="AA103" s="2485"/>
      <c r="AB103" s="2485"/>
      <c r="AC103" s="2485"/>
      <c r="AD103" s="2485"/>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F54" sqref="F54"/>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04" t="s">
        <v>1771</v>
      </c>
      <c r="S4" s="3405"/>
      <c r="T4" s="3404" t="s">
        <v>1772</v>
      </c>
      <c r="U4" s="3405"/>
      <c r="V4" s="3429" t="s">
        <v>1773</v>
      </c>
      <c r="W4" s="3429"/>
      <c r="X4" s="1265"/>
      <c r="Y4" s="3404" t="s">
        <v>1775</v>
      </c>
      <c r="Z4" s="3405"/>
      <c r="AA4" s="3399" t="s">
        <v>1771</v>
      </c>
      <c r="AB4" s="3400" t="s">
        <v>1772</v>
      </c>
      <c r="AC4" s="3399" t="s">
        <v>1773</v>
      </c>
    </row>
    <row r="5" spans="1:29">
      <c r="A5" s="348"/>
      <c r="B5" s="349"/>
      <c r="C5" s="3410" t="s">
        <v>1673</v>
      </c>
      <c r="D5" s="3411"/>
      <c r="E5" s="3408" t="s">
        <v>1674</v>
      </c>
      <c r="F5" s="3409"/>
      <c r="G5" s="3410" t="s">
        <v>1675</v>
      </c>
      <c r="H5" s="3411"/>
      <c r="I5" s="3410" t="s">
        <v>1676</v>
      </c>
      <c r="J5" s="3411"/>
      <c r="K5" s="537"/>
      <c r="L5" s="2484"/>
      <c r="M5" s="2485"/>
      <c r="N5" s="2485"/>
      <c r="O5" s="2485"/>
      <c r="P5" s="3423"/>
      <c r="Q5" s="3424"/>
      <c r="R5" s="3406"/>
      <c r="S5" s="3407"/>
      <c r="T5" s="3406"/>
      <c r="U5" s="3407"/>
      <c r="V5" s="3429"/>
      <c r="W5" s="3429"/>
      <c r="X5" s="1265"/>
      <c r="Y5" s="3406"/>
      <c r="Z5" s="3407"/>
      <c r="AA5" s="3400"/>
      <c r="AB5" s="3400"/>
      <c r="AC5" s="3400"/>
    </row>
    <row r="6" spans="1:29" ht="15" thickBot="1">
      <c r="A6" s="350"/>
      <c r="B6" s="351"/>
      <c r="C6" s="3412" t="s">
        <v>1677</v>
      </c>
      <c r="D6" s="3413"/>
      <c r="E6" s="3414" t="s">
        <v>1677</v>
      </c>
      <c r="F6" s="3415"/>
      <c r="G6" s="3412" t="s">
        <v>1677</v>
      </c>
      <c r="H6" s="3413"/>
      <c r="I6" s="3412" t="s">
        <v>1677</v>
      </c>
      <c r="J6" s="3413"/>
      <c r="K6" s="537" t="s">
        <v>1678</v>
      </c>
      <c r="L6" s="2484"/>
      <c r="M6" s="2485"/>
      <c r="N6" s="2485"/>
      <c r="O6" s="2485"/>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c r="F7" s="357">
        <f>SUMIF(69:69,YEAR(E7)&amp;"-"&amp;INT((MONTH(E7)+2)/3),70:70)</f>
        <v>0</v>
      </c>
      <c r="G7" s="1819"/>
      <c r="H7" s="355">
        <f>SUMIF(69:69,YEAR(G7)&amp;"-"&amp;INT((MONTH(G7)+2)/3),70:70)</f>
        <v>0</v>
      </c>
      <c r="I7" s="1819"/>
      <c r="J7" s="355">
        <f>SUMIF(69:69,YEAR(I7)&amp;"-"&amp;INT((MONTH(I7)+2)/3),70:70)</f>
        <v>0</v>
      </c>
      <c r="K7" s="38"/>
      <c r="L7" s="2486"/>
      <c r="M7" s="2437"/>
      <c r="N7" s="2437"/>
      <c r="O7" s="2437"/>
      <c r="P7" s="3402" t="s">
        <v>1680</v>
      </c>
      <c r="Q7" s="3430"/>
      <c r="R7" s="664" t="s">
        <v>14</v>
      </c>
      <c r="S7" s="665">
        <f t="shared" ref="S7:S15" si="0">F7</f>
        <v>0</v>
      </c>
      <c r="T7" s="664" t="s">
        <v>14</v>
      </c>
      <c r="U7" s="665">
        <f t="shared" ref="U7:U15" si="1">H7</f>
        <v>0</v>
      </c>
      <c r="V7" s="664" t="s">
        <v>14</v>
      </c>
      <c r="W7" s="665">
        <f t="shared" ref="W7:W15" si="2">J7</f>
        <v>0</v>
      </c>
      <c r="X7" s="666"/>
      <c r="Y7" s="3402" t="s">
        <v>1680</v>
      </c>
      <c r="Z7" s="3403"/>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7"/>
      <c r="N8" s="2437"/>
      <c r="O8" s="2437"/>
      <c r="P8" s="3402" t="s">
        <v>1683</v>
      </c>
      <c r="Q8" s="3403"/>
      <c r="R8" s="664" t="s">
        <v>14</v>
      </c>
      <c r="S8" s="665">
        <f t="shared" si="0"/>
        <v>0</v>
      </c>
      <c r="T8" s="664" t="s">
        <v>14</v>
      </c>
      <c r="U8" s="665">
        <f t="shared" si="1"/>
        <v>0</v>
      </c>
      <c r="V8" s="664" t="s">
        <v>14</v>
      </c>
      <c r="W8" s="665">
        <f t="shared" si="2"/>
        <v>0</v>
      </c>
      <c r="X8" s="666"/>
      <c r="Y8" s="3402" t="s">
        <v>1683</v>
      </c>
      <c r="Z8" s="3403"/>
      <c r="AA8" s="50" t="e">
        <f t="shared" ref="AA8:AA45" si="3">D8/F8</f>
        <v>#DIV/0!</v>
      </c>
      <c r="AB8" s="50" t="e">
        <f t="shared" ref="AB8:AB45" si="4">D8/H8</f>
        <v>#DIV/0!</v>
      </c>
      <c r="AC8" s="50" t="e">
        <f t="shared" ref="AC8:AC45" si="5">D8/J8</f>
        <v>#DIV/0!</v>
      </c>
    </row>
    <row r="9" spans="1:29" s="102" customFormat="1" ht="14.4">
      <c r="A9" s="359" t="s">
        <v>1684</v>
      </c>
      <c r="B9" s="60" t="s">
        <v>1685</v>
      </c>
      <c r="C9" s="1822"/>
      <c r="D9" s="59">
        <v>100</v>
      </c>
      <c r="E9" s="1822"/>
      <c r="F9" s="59">
        <f>SUMIF(74:74,E9,75:75)-SUMIF(74:74,C9,75:75)+100</f>
        <v>100</v>
      </c>
      <c r="G9" s="1822"/>
      <c r="H9" s="59">
        <f>SUMIF(74:74,G9,75:75)-SUMIF(74:74,C9,75:75)+100</f>
        <v>100</v>
      </c>
      <c r="I9" s="1822"/>
      <c r="J9" s="59">
        <f>SUMIF(74:74,I9,75:75)-SUMIF(74:74,C9,75:75)+100</f>
        <v>100</v>
      </c>
      <c r="K9" s="38"/>
      <c r="L9" s="2486"/>
      <c r="M9" s="2437"/>
      <c r="N9" s="2437"/>
      <c r="O9" s="2538"/>
      <c r="P9" s="3434"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f>ROUND(100/'数据-取费表'!G16,0)</f>
        <v>115</v>
      </c>
      <c r="G10" s="402"/>
      <c r="H10" s="119">
        <f>ROUND(100/'数据-取费表'!G16,0)</f>
        <v>115</v>
      </c>
      <c r="I10" s="402"/>
      <c r="J10" s="119">
        <f>ROUND(100/'数据-取费表'!G16,0)</f>
        <v>115</v>
      </c>
      <c r="K10" s="592"/>
      <c r="L10" s="2487"/>
      <c r="M10" s="2488"/>
      <c r="N10" s="2488"/>
      <c r="O10" s="2539"/>
      <c r="P10" s="3434"/>
      <c r="Q10" s="530" t="str">
        <f t="shared" si="6"/>
        <v>土地使用年限（年）</v>
      </c>
      <c r="R10" s="664" t="s">
        <v>14</v>
      </c>
      <c r="S10" s="665">
        <f t="shared" si="0"/>
        <v>115</v>
      </c>
      <c r="T10" s="664" t="s">
        <v>14</v>
      </c>
      <c r="U10" s="665">
        <f t="shared" si="1"/>
        <v>115</v>
      </c>
      <c r="V10" s="664" t="s">
        <v>14</v>
      </c>
      <c r="W10" s="665">
        <f t="shared" si="2"/>
        <v>115</v>
      </c>
      <c r="X10" s="666"/>
      <c r="Y10" s="3345"/>
      <c r="Z10" s="50" t="str">
        <f t="shared" si="7"/>
        <v>土地使用年限（年）</v>
      </c>
      <c r="AA10" s="50">
        <f t="shared" si="3"/>
        <v>0.86956521739130432</v>
      </c>
      <c r="AB10" s="50">
        <f t="shared" si="4"/>
        <v>0.86956521739130432</v>
      </c>
      <c r="AC10" s="50">
        <f t="shared" si="5"/>
        <v>0.86956521739130432</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40"/>
      <c r="P11" s="3434"/>
      <c r="Q11" s="530" t="str">
        <f t="shared" si="6"/>
        <v>容积率</v>
      </c>
      <c r="R11" s="664" t="s">
        <v>14</v>
      </c>
      <c r="S11" s="665" t="e">
        <f t="shared" si="0"/>
        <v>#N/A</v>
      </c>
      <c r="T11" s="664" t="s">
        <v>14</v>
      </c>
      <c r="U11" s="665" t="e">
        <f t="shared" si="1"/>
        <v>#N/A</v>
      </c>
      <c r="V11" s="664" t="s">
        <v>14</v>
      </c>
      <c r="W11" s="665" t="e">
        <f t="shared" si="2"/>
        <v>#N/A</v>
      </c>
      <c r="X11" s="666"/>
      <c r="Y11" s="334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7"/>
      <c r="N12" s="2437"/>
      <c r="O12" s="2538"/>
      <c r="P12" s="3434"/>
      <c r="Q12" s="530" t="str">
        <f t="shared" si="6"/>
        <v>配建</v>
      </c>
      <c r="R12" s="664" t="s">
        <v>14</v>
      </c>
      <c r="S12" s="665">
        <f t="shared" si="0"/>
        <v>100</v>
      </c>
      <c r="T12" s="664" t="s">
        <v>14</v>
      </c>
      <c r="U12" s="665">
        <f t="shared" si="1"/>
        <v>100</v>
      </c>
      <c r="V12" s="664" t="s">
        <v>14</v>
      </c>
      <c r="W12" s="665">
        <f t="shared" si="2"/>
        <v>100</v>
      </c>
      <c r="X12" s="666"/>
      <c r="Y12" s="334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40"/>
      <c r="P13" s="3434"/>
      <c r="Q13" s="530">
        <f t="shared" si="6"/>
        <v>111</v>
      </c>
      <c r="R13" s="664" t="s">
        <v>14</v>
      </c>
      <c r="S13" s="665">
        <f t="shared" si="0"/>
        <v>100</v>
      </c>
      <c r="T13" s="664" t="s">
        <v>14</v>
      </c>
      <c r="U13" s="665">
        <f t="shared" si="1"/>
        <v>100</v>
      </c>
      <c r="V13" s="664" t="s">
        <v>14</v>
      </c>
      <c r="W13" s="665">
        <f t="shared" si="2"/>
        <v>100</v>
      </c>
      <c r="X13" s="666"/>
      <c r="Y13" s="3345"/>
      <c r="Z13" s="50">
        <f t="shared" si="7"/>
        <v>111</v>
      </c>
      <c r="AA13" s="50">
        <f>D13/F13</f>
        <v>1</v>
      </c>
      <c r="AB13" s="50">
        <f>D13/H13</f>
        <v>1</v>
      </c>
      <c r="AC13" s="50">
        <f>D13/J13</f>
        <v>1</v>
      </c>
    </row>
    <row r="14" spans="1:29" ht="15.6"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40"/>
      <c r="P14" s="3434"/>
      <c r="Q14" s="530">
        <f t="shared" si="6"/>
        <v>111</v>
      </c>
      <c r="R14" s="664" t="s">
        <v>14</v>
      </c>
      <c r="S14" s="665">
        <f t="shared" si="0"/>
        <v>100</v>
      </c>
      <c r="T14" s="664" t="s">
        <v>14</v>
      </c>
      <c r="U14" s="665">
        <f t="shared" si="1"/>
        <v>100</v>
      </c>
      <c r="V14" s="664" t="s">
        <v>14</v>
      </c>
      <c r="W14" s="665">
        <f t="shared" si="2"/>
        <v>100</v>
      </c>
      <c r="X14" s="666"/>
      <c r="Y14" s="3345"/>
      <c r="Z14" s="50">
        <f t="shared" si="7"/>
        <v>111</v>
      </c>
      <c r="AA14" s="50">
        <f>D14/F14</f>
        <v>1</v>
      </c>
      <c r="AB14" s="50">
        <f>D14/H14</f>
        <v>1</v>
      </c>
      <c r="AC14" s="50">
        <f>D14/J14</f>
        <v>1</v>
      </c>
    </row>
    <row r="15" spans="1:29" ht="96.6">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40"/>
      <c r="P15" s="3435" t="s">
        <v>1691</v>
      </c>
      <c r="Q15" s="1263" t="str">
        <f t="shared" si="6"/>
        <v>居住社区成熟度</v>
      </c>
      <c r="R15" s="667" t="s">
        <v>14</v>
      </c>
      <c r="S15" s="668">
        <f t="shared" si="0"/>
        <v>100</v>
      </c>
      <c r="T15" s="667" t="s">
        <v>14</v>
      </c>
      <c r="U15" s="668">
        <f t="shared" si="1"/>
        <v>100</v>
      </c>
      <c r="V15" s="667" t="s">
        <v>14</v>
      </c>
      <c r="W15" s="668">
        <f t="shared" si="2"/>
        <v>100</v>
      </c>
      <c r="X15" s="1265"/>
      <c r="Y15" s="3435"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1"/>
      <c r="H16" s="389"/>
      <c r="I16" s="1750"/>
      <c r="J16" s="387"/>
      <c r="K16" s="592"/>
      <c r="L16" s="2490"/>
      <c r="M16" s="2485"/>
      <c r="N16" s="2485"/>
      <c r="O16" s="2540"/>
      <c r="P16" s="3436"/>
      <c r="Q16" s="1263"/>
      <c r="R16" s="667"/>
      <c r="S16" s="668"/>
      <c r="T16" s="667"/>
      <c r="U16" s="668"/>
      <c r="V16" s="667"/>
      <c r="W16" s="668"/>
      <c r="X16" s="1265"/>
      <c r="Y16" s="3436"/>
      <c r="Z16" s="1264"/>
      <c r="AA16" s="1264">
        <v>1</v>
      </c>
      <c r="AB16" s="1264">
        <v>1</v>
      </c>
      <c r="AC16" s="1264">
        <v>1</v>
      </c>
    </row>
    <row r="17" spans="1:29" ht="82.8">
      <c r="A17" s="367"/>
      <c r="B17" s="390" t="s">
        <v>1777</v>
      </c>
      <c r="C17" s="1803"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40"/>
      <c r="P17" s="3436"/>
      <c r="Q17" s="1263" t="str">
        <f>B17</f>
        <v>商业繁华度</v>
      </c>
      <c r="R17" s="667" t="s">
        <v>14</v>
      </c>
      <c r="S17" s="668">
        <f>F17</f>
        <v>100</v>
      </c>
      <c r="T17" s="667" t="s">
        <v>14</v>
      </c>
      <c r="U17" s="668">
        <f>H17</f>
        <v>100</v>
      </c>
      <c r="V17" s="667" t="s">
        <v>14</v>
      </c>
      <c r="W17" s="668">
        <f>J17</f>
        <v>100</v>
      </c>
      <c r="X17" s="1265"/>
      <c r="Y17" s="3436"/>
      <c r="Z17" s="1264" t="str">
        <f>Q17</f>
        <v>商业繁华度</v>
      </c>
      <c r="AA17" s="1264">
        <f t="shared" si="3"/>
        <v>1</v>
      </c>
      <c r="AB17" s="1264">
        <f t="shared" si="4"/>
        <v>1</v>
      </c>
      <c r="AC17" s="1264">
        <f t="shared" si="5"/>
        <v>1</v>
      </c>
    </row>
    <row r="18" spans="1:29" ht="15">
      <c r="A18" s="367"/>
      <c r="B18" s="395"/>
      <c r="C18" s="1754"/>
      <c r="D18" s="389"/>
      <c r="E18" s="1756"/>
      <c r="F18" s="389"/>
      <c r="G18" s="1756"/>
      <c r="H18" s="387"/>
      <c r="I18" s="1755"/>
      <c r="J18" s="387"/>
      <c r="K18" s="592"/>
      <c r="L18" s="2490"/>
      <c r="M18" s="2485"/>
      <c r="N18" s="2485"/>
      <c r="O18" s="2540"/>
      <c r="P18" s="3436"/>
      <c r="Q18" s="1263"/>
      <c r="R18" s="667"/>
      <c r="S18" s="668"/>
      <c r="T18" s="667"/>
      <c r="U18" s="668"/>
      <c r="V18" s="667"/>
      <c r="W18" s="668"/>
      <c r="X18" s="1265"/>
      <c r="Y18" s="3436"/>
      <c r="Z18" s="1264"/>
      <c r="AA18" s="1264">
        <v>1</v>
      </c>
      <c r="AB18" s="1264">
        <v>1</v>
      </c>
      <c r="AC18" s="1264">
        <v>1</v>
      </c>
    </row>
    <row r="19" spans="1:29" ht="82.8">
      <c r="A19" s="367"/>
      <c r="B19" s="390" t="s">
        <v>1811</v>
      </c>
      <c r="C19" s="1803"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40"/>
      <c r="P19" s="3436"/>
      <c r="Q19" s="1263" t="str">
        <f>B19</f>
        <v>办公集聚程度</v>
      </c>
      <c r="R19" s="667" t="s">
        <v>14</v>
      </c>
      <c r="S19" s="668">
        <f>F19</f>
        <v>100</v>
      </c>
      <c r="T19" s="667" t="s">
        <v>14</v>
      </c>
      <c r="U19" s="668">
        <f>H19</f>
        <v>100</v>
      </c>
      <c r="V19" s="667" t="s">
        <v>14</v>
      </c>
      <c r="W19" s="668">
        <f>J19</f>
        <v>100</v>
      </c>
      <c r="X19" s="1265"/>
      <c r="Y19" s="3436"/>
      <c r="Z19" s="1264" t="str">
        <f>Q19</f>
        <v>办公集聚程度</v>
      </c>
      <c r="AA19" s="1264">
        <f t="shared" si="3"/>
        <v>1</v>
      </c>
      <c r="AB19" s="1264">
        <f t="shared" si="4"/>
        <v>1</v>
      </c>
      <c r="AC19" s="1264">
        <f t="shared" si="5"/>
        <v>1</v>
      </c>
    </row>
    <row r="20" spans="1:29" ht="15">
      <c r="A20" s="367"/>
      <c r="B20" s="395"/>
      <c r="C20" s="386"/>
      <c r="D20" s="387"/>
      <c r="E20" s="1751"/>
      <c r="F20" s="387"/>
      <c r="G20" s="1751"/>
      <c r="H20" s="387"/>
      <c r="I20" s="1750"/>
      <c r="J20" s="387"/>
      <c r="K20" s="592"/>
      <c r="L20" s="2490"/>
      <c r="M20" s="2485"/>
      <c r="N20" s="2485"/>
      <c r="O20" s="2540"/>
      <c r="P20" s="3436"/>
      <c r="Q20" s="1263"/>
      <c r="R20" s="667"/>
      <c r="S20" s="668"/>
      <c r="T20" s="667"/>
      <c r="U20" s="668"/>
      <c r="V20" s="667"/>
      <c r="W20" s="668"/>
      <c r="X20" s="1265"/>
      <c r="Y20" s="3436"/>
      <c r="Z20" s="1264"/>
      <c r="AA20" s="1264">
        <v>1</v>
      </c>
      <c r="AB20" s="1264">
        <v>1</v>
      </c>
      <c r="AC20" s="1264">
        <v>1</v>
      </c>
    </row>
    <row r="21" spans="1:29" ht="96.6">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40"/>
      <c r="P21" s="3436"/>
      <c r="Q21" s="1263" t="str">
        <f>B21</f>
        <v>交通便捷度</v>
      </c>
      <c r="R21" s="667" t="s">
        <v>14</v>
      </c>
      <c r="S21" s="668">
        <f>F21</f>
        <v>100</v>
      </c>
      <c r="T21" s="667" t="s">
        <v>14</v>
      </c>
      <c r="U21" s="668">
        <f>H21</f>
        <v>100</v>
      </c>
      <c r="V21" s="667" t="s">
        <v>14</v>
      </c>
      <c r="W21" s="668">
        <f>J21</f>
        <v>100</v>
      </c>
      <c r="X21" s="1265"/>
      <c r="Y21" s="3436"/>
      <c r="Z21" s="1264" t="str">
        <f>Q21</f>
        <v>交通便捷度</v>
      </c>
      <c r="AA21" s="1264">
        <f t="shared" si="3"/>
        <v>1</v>
      </c>
      <c r="AB21" s="1264">
        <f t="shared" si="4"/>
        <v>1</v>
      </c>
      <c r="AC21" s="1264">
        <f t="shared" si="5"/>
        <v>1</v>
      </c>
    </row>
    <row r="22" spans="1:29" ht="15">
      <c r="A22" s="367"/>
      <c r="B22" s="586"/>
      <c r="C22" s="386"/>
      <c r="D22" s="389"/>
      <c r="E22" s="1751"/>
      <c r="F22" s="387"/>
      <c r="G22" s="1751"/>
      <c r="H22" s="387"/>
      <c r="I22" s="1750"/>
      <c r="J22" s="387"/>
      <c r="K22" s="592"/>
      <c r="L22" s="2490"/>
      <c r="M22" s="2485"/>
      <c r="N22" s="2485"/>
      <c r="O22" s="2540"/>
      <c r="P22" s="3436"/>
      <c r="Q22" s="1263"/>
      <c r="R22" s="667"/>
      <c r="S22" s="668"/>
      <c r="T22" s="667"/>
      <c r="U22" s="668"/>
      <c r="V22" s="667"/>
      <c r="W22" s="668"/>
      <c r="X22" s="1265"/>
      <c r="Y22" s="3436"/>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40"/>
      <c r="P23" s="3436"/>
      <c r="Q23" s="1263" t="str">
        <f t="shared" ref="Q23:Q37" si="8">B23</f>
        <v>区域土地利用方向</v>
      </c>
      <c r="R23" s="667" t="s">
        <v>14</v>
      </c>
      <c r="S23" s="668">
        <f>F23</f>
        <v>100</v>
      </c>
      <c r="T23" s="667" t="s">
        <v>14</v>
      </c>
      <c r="U23" s="668">
        <f>H23</f>
        <v>100</v>
      </c>
      <c r="V23" s="667" t="s">
        <v>14</v>
      </c>
      <c r="W23" s="668">
        <f>J23</f>
        <v>100</v>
      </c>
      <c r="X23" s="1265"/>
      <c r="Y23" s="3436"/>
      <c r="Z23" s="1264" t="str">
        <f>Q23</f>
        <v>区域土地利用方向</v>
      </c>
      <c r="AA23" s="1264">
        <f t="shared" si="3"/>
        <v>1</v>
      </c>
      <c r="AB23" s="1264">
        <f t="shared" si="4"/>
        <v>1</v>
      </c>
      <c r="AC23" s="1264">
        <f t="shared" si="5"/>
        <v>1</v>
      </c>
    </row>
    <row r="24" spans="1:29" ht="15">
      <c r="A24" s="348"/>
      <c r="B24" s="395"/>
      <c r="C24" s="542"/>
      <c r="D24" s="387"/>
      <c r="E24" s="1751"/>
      <c r="F24" s="387"/>
      <c r="G24" s="1750"/>
      <c r="H24" s="387"/>
      <c r="I24" s="1750"/>
      <c r="J24" s="387"/>
      <c r="K24" s="698"/>
      <c r="L24" s="2490"/>
      <c r="M24" s="2485"/>
      <c r="N24" s="2485"/>
      <c r="O24" s="2540"/>
      <c r="P24" s="3436"/>
      <c r="Q24" s="1263"/>
      <c r="R24" s="667"/>
      <c r="S24" s="668"/>
      <c r="T24" s="667"/>
      <c r="U24" s="668"/>
      <c r="V24" s="667"/>
      <c r="W24" s="668"/>
      <c r="X24" s="1265"/>
      <c r="Y24" s="3436"/>
      <c r="Z24" s="1264"/>
      <c r="AA24" s="1264"/>
      <c r="AB24" s="1264"/>
      <c r="AC24" s="1264"/>
    </row>
    <row r="25" spans="1:29" ht="55.2">
      <c r="A25" s="348"/>
      <c r="B25" s="586" t="s">
        <v>1872</v>
      </c>
      <c r="C25" s="1803"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40"/>
      <c r="P25" s="3436"/>
      <c r="Q25" s="1263" t="str">
        <f t="shared" si="8"/>
        <v>自然及人文环境状况</v>
      </c>
      <c r="R25" s="667" t="s">
        <v>14</v>
      </c>
      <c r="S25" s="668">
        <f>F25</f>
        <v>100</v>
      </c>
      <c r="T25" s="667" t="s">
        <v>14</v>
      </c>
      <c r="U25" s="668">
        <f>H25</f>
        <v>100</v>
      </c>
      <c r="V25" s="667" t="s">
        <v>14</v>
      </c>
      <c r="W25" s="668">
        <f>J25</f>
        <v>100</v>
      </c>
      <c r="X25" s="1265"/>
      <c r="Y25" s="3436"/>
      <c r="Z25" s="1264" t="str">
        <f>Q25</f>
        <v>自然及人文环境状况</v>
      </c>
      <c r="AA25" s="1264">
        <f t="shared" si="3"/>
        <v>1</v>
      </c>
      <c r="AB25" s="1264">
        <f t="shared" si="4"/>
        <v>1</v>
      </c>
      <c r="AC25" s="1264">
        <f t="shared" si="5"/>
        <v>1</v>
      </c>
    </row>
    <row r="26" spans="1:29" ht="15">
      <c r="A26" s="348"/>
      <c r="B26" s="395"/>
      <c r="C26" s="386"/>
      <c r="D26" s="387"/>
      <c r="E26" s="1757"/>
      <c r="F26" s="387"/>
      <c r="G26" s="1757"/>
      <c r="H26" s="387"/>
      <c r="I26" s="386"/>
      <c r="J26" s="387"/>
      <c r="K26" s="592"/>
      <c r="L26" s="2490"/>
      <c r="M26" s="2485"/>
      <c r="N26" s="2485"/>
      <c r="O26" s="2540"/>
      <c r="P26" s="3436"/>
      <c r="Q26" s="1263"/>
      <c r="R26" s="667"/>
      <c r="S26" s="668"/>
      <c r="T26" s="667"/>
      <c r="U26" s="668"/>
      <c r="V26" s="667"/>
      <c r="W26" s="668"/>
      <c r="X26" s="1265"/>
      <c r="Y26" s="3436"/>
      <c r="Z26" s="1264"/>
      <c r="AA26" s="1264">
        <v>1</v>
      </c>
      <c r="AB26" s="1264">
        <v>1</v>
      </c>
      <c r="AC26" s="1264">
        <v>1</v>
      </c>
    </row>
    <row r="27" spans="1:29" s="102" customFormat="1" ht="41.4">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7"/>
      <c r="N27" s="2437"/>
      <c r="O27" s="2538"/>
      <c r="P27" s="3436"/>
      <c r="Q27" s="530" t="str">
        <f t="shared" si="8"/>
        <v>公共配套设施</v>
      </c>
      <c r="R27" s="664" t="s">
        <v>14</v>
      </c>
      <c r="S27" s="665">
        <f>F27</f>
        <v>100</v>
      </c>
      <c r="T27" s="664" t="s">
        <v>14</v>
      </c>
      <c r="U27" s="665">
        <f>H27</f>
        <v>100</v>
      </c>
      <c r="V27" s="664" t="s">
        <v>14</v>
      </c>
      <c r="W27" s="665">
        <f>J27</f>
        <v>100</v>
      </c>
      <c r="X27" s="666"/>
      <c r="Y27" s="3436"/>
      <c r="Z27" s="50" t="str">
        <f>Q27</f>
        <v>公共配套设施</v>
      </c>
      <c r="AA27" s="1264">
        <f>D27/F27</f>
        <v>1</v>
      </c>
      <c r="AB27" s="1264">
        <f>D27/H27</f>
        <v>1</v>
      </c>
      <c r="AC27" s="1264">
        <f>D27/J27</f>
        <v>1</v>
      </c>
    </row>
    <row r="28" spans="1:29" s="102" customFormat="1" ht="15">
      <c r="A28" s="443"/>
      <c r="B28" s="395"/>
      <c r="C28" s="1823"/>
      <c r="D28" s="387"/>
      <c r="E28" s="1757"/>
      <c r="F28" s="387"/>
      <c r="G28" s="1757"/>
      <c r="H28" s="387"/>
      <c r="I28" s="386"/>
      <c r="J28" s="387"/>
      <c r="K28" s="592"/>
      <c r="L28" s="2486"/>
      <c r="M28" s="2437"/>
      <c r="N28" s="2437"/>
      <c r="O28" s="2538"/>
      <c r="P28" s="3436"/>
      <c r="Q28" s="530"/>
      <c r="R28" s="664"/>
      <c r="S28" s="665"/>
      <c r="T28" s="664"/>
      <c r="U28" s="665"/>
      <c r="V28" s="664"/>
      <c r="W28" s="665"/>
      <c r="X28" s="666"/>
      <c r="Y28" s="3436"/>
      <c r="Z28" s="50"/>
      <c r="AA28" s="1264">
        <v>1</v>
      </c>
      <c r="AB28" s="1264">
        <v>1</v>
      </c>
      <c r="AC28" s="1264">
        <v>1</v>
      </c>
    </row>
    <row r="29" spans="1:29" s="102" customFormat="1" ht="41.4">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7"/>
      <c r="N29" s="2437"/>
      <c r="O29" s="2538"/>
      <c r="P29" s="3436"/>
      <c r="Q29" s="530" t="str">
        <f t="shared" ref="Q29" si="9">B29</f>
        <v>基础设施水平</v>
      </c>
      <c r="R29" s="664" t="s">
        <v>14</v>
      </c>
      <c r="S29" s="665">
        <f>F29</f>
        <v>100</v>
      </c>
      <c r="T29" s="664" t="s">
        <v>14</v>
      </c>
      <c r="U29" s="665">
        <f>H29</f>
        <v>100</v>
      </c>
      <c r="V29" s="664" t="s">
        <v>14</v>
      </c>
      <c r="W29" s="665">
        <f>J29</f>
        <v>100</v>
      </c>
      <c r="X29" s="666"/>
      <c r="Y29" s="3436"/>
      <c r="Z29" s="50" t="str">
        <f>Q29</f>
        <v>基础设施水平</v>
      </c>
      <c r="AA29" s="1264">
        <f>D29/F29</f>
        <v>1</v>
      </c>
      <c r="AB29" s="1264">
        <f>D29/H29</f>
        <v>1</v>
      </c>
      <c r="AC29" s="1264">
        <f>D29/J29</f>
        <v>1</v>
      </c>
    </row>
    <row r="30" spans="1:29" s="102" customFormat="1" ht="15">
      <c r="A30" s="443"/>
      <c r="B30" s="395"/>
      <c r="C30" s="1823"/>
      <c r="D30" s="387"/>
      <c r="E30" s="1824"/>
      <c r="F30" s="387"/>
      <c r="G30" s="1824"/>
      <c r="H30" s="387"/>
      <c r="I30" s="1824"/>
      <c r="J30" s="387"/>
      <c r="K30" s="592"/>
      <c r="L30" s="2486"/>
      <c r="M30" s="2437"/>
      <c r="N30" s="2437"/>
      <c r="O30" s="2538"/>
      <c r="P30" s="3436"/>
      <c r="Q30" s="530"/>
      <c r="R30" s="664"/>
      <c r="S30" s="665"/>
      <c r="T30" s="664"/>
      <c r="U30" s="665"/>
      <c r="V30" s="664"/>
      <c r="W30" s="665"/>
      <c r="X30" s="666"/>
      <c r="Y30" s="3436"/>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40"/>
      <c r="P31" s="3436"/>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36"/>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40"/>
      <c r="P32" s="3436"/>
      <c r="Q32" s="1263" t="str">
        <f t="shared" si="8"/>
        <v>毗邻道路的类型与等级</v>
      </c>
      <c r="R32" s="667" t="s">
        <v>14</v>
      </c>
      <c r="S32" s="668">
        <f t="shared" si="10"/>
        <v>100</v>
      </c>
      <c r="T32" s="667" t="s">
        <v>14</v>
      </c>
      <c r="U32" s="668">
        <f t="shared" si="11"/>
        <v>100</v>
      </c>
      <c r="V32" s="667" t="s">
        <v>14</v>
      </c>
      <c r="W32" s="668">
        <f t="shared" si="12"/>
        <v>100</v>
      </c>
      <c r="X32" s="1265"/>
      <c r="Y32" s="3436"/>
      <c r="Z32" s="1264" t="str">
        <f t="shared" si="13"/>
        <v>毗邻道路的类型与等级</v>
      </c>
      <c r="AA32" s="1264">
        <f t="shared" si="3"/>
        <v>1</v>
      </c>
      <c r="AB32" s="1264">
        <f t="shared" si="4"/>
        <v>1</v>
      </c>
      <c r="AC32" s="1264">
        <f t="shared" si="5"/>
        <v>1</v>
      </c>
    </row>
    <row r="33" spans="1:29" ht="15">
      <c r="A33" s="367"/>
      <c r="B33" s="395"/>
      <c r="C33" s="386"/>
      <c r="D33" s="387"/>
      <c r="E33" s="1757"/>
      <c r="F33" s="387"/>
      <c r="G33" s="1757"/>
      <c r="H33" s="387"/>
      <c r="I33" s="386"/>
      <c r="J33" s="387"/>
      <c r="K33" s="539"/>
      <c r="L33" s="2490"/>
      <c r="M33" s="2485"/>
      <c r="N33" s="2485"/>
      <c r="O33" s="2540"/>
      <c r="P33" s="3436"/>
      <c r="Q33" s="1263"/>
      <c r="R33" s="667"/>
      <c r="S33" s="668"/>
      <c r="T33" s="667"/>
      <c r="U33" s="668"/>
      <c r="V33" s="667"/>
      <c r="W33" s="668"/>
      <c r="X33" s="1265"/>
      <c r="Y33" s="3436"/>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40"/>
      <c r="P34" s="3436"/>
      <c r="Q34" s="1263" t="str">
        <f t="shared" si="8"/>
        <v>土地级别</v>
      </c>
      <c r="R34" s="667" t="s">
        <v>14</v>
      </c>
      <c r="S34" s="668">
        <f t="shared" si="10"/>
        <v>100</v>
      </c>
      <c r="T34" s="667" t="s">
        <v>14</v>
      </c>
      <c r="U34" s="668">
        <f t="shared" si="11"/>
        <v>100</v>
      </c>
      <c r="V34" s="667" t="s">
        <v>14</v>
      </c>
      <c r="W34" s="668">
        <f t="shared" si="12"/>
        <v>100</v>
      </c>
      <c r="X34" s="1265"/>
      <c r="Y34" s="3436"/>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40"/>
      <c r="P35" s="3436"/>
      <c r="Q35" s="1263">
        <f t="shared" si="8"/>
        <v>111</v>
      </c>
      <c r="R35" s="667" t="s">
        <v>14</v>
      </c>
      <c r="S35" s="668">
        <f t="shared" si="10"/>
        <v>100</v>
      </c>
      <c r="T35" s="667" t="s">
        <v>14</v>
      </c>
      <c r="U35" s="668">
        <f t="shared" si="11"/>
        <v>100</v>
      </c>
      <c r="V35" s="667" t="s">
        <v>14</v>
      </c>
      <c r="W35" s="668">
        <f t="shared" si="12"/>
        <v>100</v>
      </c>
      <c r="X35" s="1265"/>
      <c r="Y35" s="3436"/>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40"/>
      <c r="P36" s="3459" t="s">
        <v>1696</v>
      </c>
      <c r="Q36" s="1263">
        <f t="shared" si="8"/>
        <v>111</v>
      </c>
      <c r="R36" s="667" t="s">
        <v>14</v>
      </c>
      <c r="S36" s="668">
        <f t="shared" si="10"/>
        <v>100</v>
      </c>
      <c r="T36" s="667" t="s">
        <v>14</v>
      </c>
      <c r="U36" s="668">
        <f t="shared" si="11"/>
        <v>100</v>
      </c>
      <c r="V36" s="667" t="s">
        <v>14</v>
      </c>
      <c r="W36" s="668">
        <f t="shared" si="12"/>
        <v>100</v>
      </c>
      <c r="X36" s="1265"/>
      <c r="Y36" s="3440"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1"/>
      <c r="P37" s="3440"/>
      <c r="Q37" s="1263">
        <f t="shared" si="8"/>
        <v>111</v>
      </c>
      <c r="R37" s="669" t="s">
        <v>14</v>
      </c>
      <c r="S37" s="670">
        <f t="shared" si="10"/>
        <v>100</v>
      </c>
      <c r="T37" s="669" t="s">
        <v>14</v>
      </c>
      <c r="U37" s="670">
        <f t="shared" si="11"/>
        <v>100</v>
      </c>
      <c r="V37" s="669" t="s">
        <v>14</v>
      </c>
      <c r="W37" s="670">
        <f t="shared" si="12"/>
        <v>100</v>
      </c>
      <c r="X37" s="671"/>
      <c r="Y37" s="3440"/>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40"/>
      <c r="P38" s="3440"/>
      <c r="Q38" s="1263" t="str">
        <f>B38</f>
        <v>宗地面积</v>
      </c>
      <c r="R38" s="667" t="s">
        <v>14</v>
      </c>
      <c r="S38" s="668" t="e">
        <f t="shared" si="10"/>
        <v>#N/A</v>
      </c>
      <c r="T38" s="667" t="s">
        <v>14</v>
      </c>
      <c r="U38" s="668" t="e">
        <f t="shared" si="11"/>
        <v>#N/A</v>
      </c>
      <c r="V38" s="667" t="s">
        <v>14</v>
      </c>
      <c r="W38" s="668" t="e">
        <f t="shared" si="12"/>
        <v>#N/A</v>
      </c>
      <c r="X38" s="1265"/>
      <c r="Y38" s="3440"/>
      <c r="Z38" s="1264" t="str">
        <f t="shared" si="13"/>
        <v>宗地面积</v>
      </c>
      <c r="AA38" s="1264" t="e">
        <f t="shared" si="3"/>
        <v>#N/A</v>
      </c>
      <c r="AB38" s="1264" t="e">
        <f t="shared" si="4"/>
        <v>#N/A</v>
      </c>
      <c r="AC38" s="1264"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0"/>
      <c r="M39" s="2485"/>
      <c r="N39" s="2485"/>
      <c r="O39" s="2540"/>
      <c r="P39" s="3440"/>
      <c r="Q39" s="1263" t="str">
        <f t="shared" ref="Q39:Q45" si="14">B39</f>
        <v>宗地形状</v>
      </c>
      <c r="R39" s="667" t="s">
        <v>14</v>
      </c>
      <c r="S39" s="668">
        <f t="shared" si="10"/>
        <v>100</v>
      </c>
      <c r="T39" s="667" t="s">
        <v>14</v>
      </c>
      <c r="U39" s="668">
        <f t="shared" si="11"/>
        <v>100</v>
      </c>
      <c r="V39" s="667" t="s">
        <v>14</v>
      </c>
      <c r="W39" s="668">
        <f t="shared" si="12"/>
        <v>100</v>
      </c>
      <c r="X39" s="1265"/>
      <c r="Y39" s="3440"/>
      <c r="Z39" s="1264" t="str">
        <f t="shared" si="13"/>
        <v>宗地形状</v>
      </c>
      <c r="AA39" s="1264">
        <f t="shared" si="3"/>
        <v>1</v>
      </c>
      <c r="AB39" s="1264">
        <f t="shared" si="4"/>
        <v>1</v>
      </c>
      <c r="AC39" s="1264">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0"/>
      <c r="M40" s="2485"/>
      <c r="N40" s="2485"/>
      <c r="O40" s="2540"/>
      <c r="P40" s="3440"/>
      <c r="Q40" s="1263" t="str">
        <f t="shared" si="14"/>
        <v>临街宽度及深度</v>
      </c>
      <c r="R40" s="667" t="s">
        <v>14</v>
      </c>
      <c r="S40" s="668">
        <f t="shared" si="10"/>
        <v>100</v>
      </c>
      <c r="T40" s="667" t="s">
        <v>14</v>
      </c>
      <c r="U40" s="668">
        <f t="shared" si="11"/>
        <v>100</v>
      </c>
      <c r="V40" s="667" t="s">
        <v>14</v>
      </c>
      <c r="W40" s="668">
        <f t="shared" si="12"/>
        <v>100</v>
      </c>
      <c r="X40" s="1265"/>
      <c r="Y40" s="3440"/>
      <c r="Z40" s="1264" t="str">
        <f t="shared" si="13"/>
        <v>临街宽度及深度</v>
      </c>
      <c r="AA40" s="1264">
        <f t="shared" si="3"/>
        <v>1</v>
      </c>
      <c r="AB40" s="1264">
        <f t="shared" si="4"/>
        <v>1</v>
      </c>
      <c r="AC40" s="1264">
        <f t="shared" si="5"/>
        <v>1</v>
      </c>
    </row>
    <row r="41" spans="1:29" s="102" customFormat="1" ht="15">
      <c r="A41" s="410"/>
      <c r="B41" s="364" t="s">
        <v>1877</v>
      </c>
      <c r="C41" s="1825"/>
      <c r="D41" s="119">
        <v>100</v>
      </c>
      <c r="E41" s="1825"/>
      <c r="F41" s="374">
        <f>SUMIF(122:122,E41,123:123)-SUMIF(122:122,C41,123:123)+100</f>
        <v>100</v>
      </c>
      <c r="G41" s="1825"/>
      <c r="H41" s="374">
        <f>SUMIF(122:122,G41,123:123)-SUMIF(122:122,C41,123:123)+100</f>
        <v>100</v>
      </c>
      <c r="I41" s="1825"/>
      <c r="J41" s="374">
        <f>SUMIF(122:122,I41,123:123)-SUMIF(122:122,C41,123:123)+100</f>
        <v>100</v>
      </c>
      <c r="K41" s="538"/>
      <c r="L41" s="2486"/>
      <c r="M41" s="2437"/>
      <c r="N41" s="2437"/>
      <c r="O41" s="2538"/>
      <c r="P41" s="3440"/>
      <c r="Q41" s="1263" t="str">
        <f t="shared" si="14"/>
        <v>宗地开发程度</v>
      </c>
      <c r="R41" s="664" t="s">
        <v>14</v>
      </c>
      <c r="S41" s="665">
        <f t="shared" si="10"/>
        <v>100</v>
      </c>
      <c r="T41" s="664" t="s">
        <v>14</v>
      </c>
      <c r="U41" s="665">
        <f t="shared" si="11"/>
        <v>100</v>
      </c>
      <c r="V41" s="664" t="s">
        <v>14</v>
      </c>
      <c r="W41" s="665">
        <f t="shared" si="12"/>
        <v>100</v>
      </c>
      <c r="X41" s="666"/>
      <c r="Y41" s="3440"/>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0"/>
      <c r="M42" s="2485"/>
      <c r="N42" s="2485"/>
      <c r="O42" s="2540"/>
      <c r="P42" s="3440" t="s">
        <v>1696</v>
      </c>
      <c r="Q42" s="1263" t="str">
        <f t="shared" si="14"/>
        <v>工程地质条件</v>
      </c>
      <c r="R42" s="667" t="s">
        <v>14</v>
      </c>
      <c r="S42" s="668">
        <f t="shared" si="10"/>
        <v>100</v>
      </c>
      <c r="T42" s="667" t="s">
        <v>14</v>
      </c>
      <c r="U42" s="668">
        <f t="shared" si="11"/>
        <v>100</v>
      </c>
      <c r="V42" s="667" t="s">
        <v>14</v>
      </c>
      <c r="W42" s="668">
        <f t="shared" si="12"/>
        <v>100</v>
      </c>
      <c r="X42" s="1265"/>
      <c r="Y42" s="3440"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40"/>
      <c r="P43" s="3440"/>
      <c r="Q43" s="1263">
        <f t="shared" si="14"/>
        <v>111</v>
      </c>
      <c r="R43" s="667" t="s">
        <v>14</v>
      </c>
      <c r="S43" s="668">
        <f t="shared" si="10"/>
        <v>100</v>
      </c>
      <c r="T43" s="667" t="s">
        <v>14</v>
      </c>
      <c r="U43" s="668">
        <f t="shared" si="11"/>
        <v>100</v>
      </c>
      <c r="V43" s="667" t="s">
        <v>14</v>
      </c>
      <c r="W43" s="668">
        <f t="shared" si="12"/>
        <v>100</v>
      </c>
      <c r="X43" s="1265"/>
      <c r="Y43" s="3440"/>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40"/>
      <c r="P44" s="3440"/>
      <c r="Q44" s="1263">
        <f t="shared" si="14"/>
        <v>111</v>
      </c>
      <c r="R44" s="667" t="s">
        <v>14</v>
      </c>
      <c r="S44" s="668">
        <f t="shared" si="10"/>
        <v>100</v>
      </c>
      <c r="T44" s="667" t="s">
        <v>14</v>
      </c>
      <c r="U44" s="668">
        <f t="shared" si="11"/>
        <v>100</v>
      </c>
      <c r="V44" s="667" t="s">
        <v>14</v>
      </c>
      <c r="W44" s="668">
        <f t="shared" si="12"/>
        <v>100</v>
      </c>
      <c r="X44" s="1265"/>
      <c r="Y44" s="3440"/>
      <c r="Z44" s="1264">
        <f t="shared" si="13"/>
        <v>111</v>
      </c>
      <c r="AA44" s="1264">
        <f t="shared" si="3"/>
        <v>1</v>
      </c>
      <c r="AB44" s="1264">
        <f t="shared" si="4"/>
        <v>1</v>
      </c>
      <c r="AC44" s="1264">
        <f t="shared" si="5"/>
        <v>1</v>
      </c>
    </row>
    <row r="45" spans="1:29" s="408" customFormat="1" ht="15.6" thickBot="1">
      <c r="A45" s="406"/>
      <c r="B45" s="1067">
        <v>111</v>
      </c>
      <c r="C45" s="1826"/>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1"/>
      <c r="P45" s="3440"/>
      <c r="Q45" s="1263">
        <f t="shared" si="14"/>
        <v>111</v>
      </c>
      <c r="R45" s="669" t="s">
        <v>14</v>
      </c>
      <c r="S45" s="670">
        <f t="shared" si="10"/>
        <v>100</v>
      </c>
      <c r="T45" s="669" t="s">
        <v>14</v>
      </c>
      <c r="U45" s="670">
        <f t="shared" si="11"/>
        <v>100</v>
      </c>
      <c r="V45" s="669" t="s">
        <v>14</v>
      </c>
      <c r="W45" s="670">
        <f t="shared" si="12"/>
        <v>100</v>
      </c>
      <c r="X45" s="671"/>
      <c r="Y45" s="3440"/>
      <c r="Z45" s="672">
        <f t="shared" si="13"/>
        <v>111</v>
      </c>
      <c r="AA45" s="1264">
        <f t="shared" si="3"/>
        <v>1</v>
      </c>
      <c r="AB45" s="1264">
        <f t="shared" si="4"/>
        <v>1</v>
      </c>
      <c r="AC45" s="1264">
        <f t="shared" si="5"/>
        <v>1</v>
      </c>
    </row>
    <row r="46" spans="1:29" ht="14.4">
      <c r="A46" s="416" t="s">
        <v>1844</v>
      </c>
      <c r="B46" s="1827" t="s">
        <v>1879</v>
      </c>
      <c r="C46" s="602" t="s">
        <v>0</v>
      </c>
      <c r="D46" s="418"/>
      <c r="E46" s="419"/>
      <c r="F46" s="420"/>
      <c r="G46" s="421"/>
      <c r="H46" s="422"/>
      <c r="I46" s="419"/>
      <c r="J46" s="422"/>
      <c r="K46" s="674"/>
      <c r="L46" s="2492"/>
      <c r="M46" s="2485"/>
      <c r="N46" s="2485"/>
      <c r="O46" s="2485"/>
      <c r="P46" s="3434" t="str">
        <f>A46</f>
        <v>成交单价</v>
      </c>
      <c r="Q46" s="3434"/>
      <c r="R46" s="3429">
        <f>E46</f>
        <v>0</v>
      </c>
      <c r="S46" s="3429"/>
      <c r="T46" s="3429">
        <f>G46</f>
        <v>0</v>
      </c>
      <c r="U46" s="3429"/>
      <c r="V46" s="3429">
        <f>I46</f>
        <v>0</v>
      </c>
      <c r="W46" s="3429"/>
      <c r="X46" s="385"/>
      <c r="Y46" s="673"/>
      <c r="Z46" s="385"/>
      <c r="AA46" s="385"/>
      <c r="AB46" s="385"/>
      <c r="AC46" s="385"/>
    </row>
    <row r="47" spans="1:29" ht="15" thickBot="1">
      <c r="A47" s="423" t="s">
        <v>1793</v>
      </c>
      <c r="B47" s="603"/>
      <c r="C47" s="426" t="e">
        <f>R48</f>
        <v>#DIV/0!</v>
      </c>
      <c r="D47" s="2138" t="s">
        <v>2138</v>
      </c>
      <c r="E47" s="426" t="e">
        <f>R47</f>
        <v>#DIV/0!</v>
      </c>
      <c r="F47" s="2139"/>
      <c r="G47" s="425" t="e">
        <f>T47</f>
        <v>#DIV/0!</v>
      </c>
      <c r="H47" s="2139"/>
      <c r="I47" s="426" t="e">
        <f>V47</f>
        <v>#DIV/0!</v>
      </c>
      <c r="J47" s="2139"/>
      <c r="K47" s="2141">
        <f>F47+H47+J47</f>
        <v>0</v>
      </c>
      <c r="L47" s="2492"/>
      <c r="M47" s="2485"/>
      <c r="N47" s="2485"/>
      <c r="O47" s="2485"/>
      <c r="P47" s="3434" t="str">
        <f>A47</f>
        <v>比较价值（元/平方米）</v>
      </c>
      <c r="Q47" s="3434"/>
      <c r="R47" s="3461" t="e">
        <f>ROUND(PRODUCT(R46,AA7:AA45),0)</f>
        <v>#DIV/0!</v>
      </c>
      <c r="S47" s="3461"/>
      <c r="T47" s="3461" t="e">
        <f>ROUND(PRODUCT(T46,AB7:AB45),0)</f>
        <v>#DIV/0!</v>
      </c>
      <c r="U47" s="3461"/>
      <c r="V47" s="3461" t="e">
        <f>ROUND(PRODUCT(V46,AC7:AC45),0)</f>
        <v>#DIV/0!</v>
      </c>
      <c r="W47" s="3461"/>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2"/>
      <c r="M48" s="2485"/>
      <c r="N48" s="2485"/>
      <c r="O48" s="2485"/>
      <c r="P48" s="3431" t="str">
        <f>A48</f>
        <v>估价对象XX用房的比较价值（楼面单价，元/平方米）</v>
      </c>
      <c r="Q48" s="3432"/>
      <c r="R48" s="3462" t="e">
        <f>ROUND(IF(D47="简单平均",AVERAGE(R47:W47),R47*F47+T47*H47+V47*J47),0)</f>
        <v>#DIV/0!</v>
      </c>
      <c r="S48" s="3462"/>
      <c r="T48" s="3462"/>
      <c r="U48" s="3462"/>
      <c r="V48" s="3462"/>
      <c r="W48" s="3462"/>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4.4" thickBot="1">
      <c r="A54" s="2495"/>
      <c r="B54" s="2498"/>
      <c r="C54" s="657"/>
      <c r="D54" s="655"/>
      <c r="E54" s="655"/>
      <c r="F54" s="655"/>
      <c r="G54" s="655"/>
      <c r="H54" s="655"/>
      <c r="I54" s="655"/>
      <c r="J54" s="655"/>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28" t="s">
        <v>1883</v>
      </c>
      <c r="D55" s="1829" t="s">
        <v>1884</v>
      </c>
      <c r="E55" s="606" t="s">
        <v>1885</v>
      </c>
      <c r="F55" s="837" t="s">
        <v>1886</v>
      </c>
      <c r="G55" s="3417" t="s">
        <v>1887</v>
      </c>
      <c r="H55" s="3463"/>
      <c r="I55" s="127" t="s">
        <v>1888</v>
      </c>
      <c r="J55" s="1830">
        <f>项目基本情况!F35</f>
        <v>0</v>
      </c>
      <c r="K55" s="1831"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90">
        <v>1</v>
      </c>
      <c r="E56" s="610">
        <f>'数据-汇总表'!E8+'数据-汇总表'!E9</f>
        <v>57.2</v>
      </c>
      <c r="F56" s="833" t="e">
        <f t="shared" ref="F56:F64" si="15">ROUND(B56*E56/10000,0)</f>
        <v>#DIV/0!</v>
      </c>
      <c r="G56" s="3416"/>
      <c r="H56" s="3434"/>
      <c r="I56" s="838">
        <v>1</v>
      </c>
      <c r="J56" s="841">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2" customFormat="1">
      <c r="A57" s="613" t="s">
        <v>1891</v>
      </c>
      <c r="B57" s="210" t="e">
        <f>ROUND($C$48*C57*D57,0)</f>
        <v>#DIV/0!</v>
      </c>
      <c r="C57" s="163">
        <f t="shared" ref="C57:C64" si="16">IF($C$55="北京市系数",I57,J57)</f>
        <v>0</v>
      </c>
      <c r="D57" s="891">
        <v>0.25</v>
      </c>
      <c r="E57" s="614"/>
      <c r="F57" s="833" t="e">
        <f t="shared" si="15"/>
        <v>#DIV/0!</v>
      </c>
      <c r="G57" s="2748" t="s">
        <v>1892</v>
      </c>
      <c r="H57" s="834">
        <f>项目基本情况!B37</f>
        <v>0</v>
      </c>
      <c r="I57" s="838">
        <f>SUMIF(修正!A57:A68,H57,修正!B57:B68)</f>
        <v>0</v>
      </c>
      <c r="J57" s="842"/>
      <c r="K57" s="2485"/>
      <c r="L57" s="2544"/>
      <c r="M57" s="2544"/>
      <c r="N57" s="2544"/>
      <c r="O57" s="2544"/>
      <c r="P57" s="2544"/>
      <c r="Q57" s="2544"/>
      <c r="R57" s="2544"/>
      <c r="S57" s="2544"/>
      <c r="T57" s="2544"/>
      <c r="U57" s="2544"/>
      <c r="V57" s="2544"/>
      <c r="W57" s="2544"/>
      <c r="X57" s="2544"/>
      <c r="Y57" s="2544"/>
      <c r="Z57" s="2544"/>
      <c r="AA57" s="2544"/>
      <c r="AB57" s="2544"/>
      <c r="AC57" s="2544"/>
    </row>
    <row r="58" spans="1:29" s="612" customFormat="1">
      <c r="A58" s="613" t="s">
        <v>1893</v>
      </c>
      <c r="B58" s="210" t="e">
        <f t="shared" ref="B58:B64" si="17">ROUND($C$48*C58*D58,0)</f>
        <v>#DIV/0!</v>
      </c>
      <c r="C58" s="163">
        <f t="shared" si="16"/>
        <v>0</v>
      </c>
      <c r="D58" s="891">
        <v>0.25</v>
      </c>
      <c r="E58" s="614"/>
      <c r="F58" s="833" t="e">
        <f t="shared" si="15"/>
        <v>#DIV/0!</v>
      </c>
      <c r="G58" s="2749"/>
      <c r="H58" s="834">
        <f>项目基本情况!B37</f>
        <v>0</v>
      </c>
      <c r="I58" s="838">
        <f>SUMIF(修正!A57:A68,H58,修正!C57:C68)</f>
        <v>0</v>
      </c>
      <c r="J58" s="842"/>
      <c r="K58" s="2495"/>
      <c r="L58" s="2544"/>
      <c r="M58" s="2544"/>
      <c r="N58" s="2544"/>
      <c r="O58" s="2544"/>
      <c r="P58" s="2544"/>
      <c r="Q58" s="2544"/>
      <c r="R58" s="2544"/>
      <c r="S58" s="2544"/>
      <c r="T58" s="2544"/>
      <c r="U58" s="2544"/>
      <c r="V58" s="2544"/>
      <c r="W58" s="2544"/>
      <c r="X58" s="2544"/>
      <c r="Y58" s="2544"/>
      <c r="Z58" s="2544"/>
      <c r="AA58" s="2544"/>
      <c r="AB58" s="2544"/>
      <c r="AC58" s="2544"/>
    </row>
    <row r="59" spans="1:29" s="612" customFormat="1">
      <c r="A59" s="613" t="s">
        <v>1894</v>
      </c>
      <c r="B59" s="210" t="e">
        <f t="shared" si="17"/>
        <v>#DIV/0!</v>
      </c>
      <c r="C59" s="163">
        <f t="shared" si="16"/>
        <v>0</v>
      </c>
      <c r="D59" s="891">
        <v>0.25</v>
      </c>
      <c r="E59" s="614"/>
      <c r="F59" s="833" t="e">
        <f t="shared" si="15"/>
        <v>#DIV/0!</v>
      </c>
      <c r="G59" s="2749"/>
      <c r="H59" s="834">
        <f>项目基本情况!B37</f>
        <v>0</v>
      </c>
      <c r="I59" s="838">
        <f>SUMIF(修正!A57:A68,H59,修正!D57:D68)</f>
        <v>0</v>
      </c>
      <c r="J59" s="842"/>
      <c r="K59" s="2485"/>
      <c r="L59" s="2544"/>
      <c r="M59" s="2544"/>
      <c r="N59" s="2544"/>
      <c r="O59" s="2544"/>
      <c r="P59" s="2544"/>
      <c r="Q59" s="2544"/>
      <c r="R59" s="2544"/>
      <c r="S59" s="2544"/>
      <c r="T59" s="2544"/>
      <c r="U59" s="2544"/>
      <c r="V59" s="2544"/>
      <c r="W59" s="2544"/>
      <c r="X59" s="2544"/>
      <c r="Y59" s="2544"/>
      <c r="Z59" s="2544"/>
      <c r="AA59" s="2544"/>
      <c r="AB59" s="2544"/>
      <c r="AC59" s="2544"/>
    </row>
    <row r="60" spans="1:29" s="612" customFormat="1">
      <c r="A60" s="613" t="s">
        <v>1895</v>
      </c>
      <c r="B60" s="210" t="e">
        <f t="shared" si="17"/>
        <v>#DIV/0!</v>
      </c>
      <c r="C60" s="163">
        <f t="shared" si="16"/>
        <v>0</v>
      </c>
      <c r="D60" s="891">
        <v>0.25</v>
      </c>
      <c r="E60" s="209">
        <f>'数据-汇总表'!E11</f>
        <v>0</v>
      </c>
      <c r="F60" s="833" t="e">
        <f t="shared" si="15"/>
        <v>#DIV/0!</v>
      </c>
      <c r="G60" s="1832" t="s">
        <v>1896</v>
      </c>
      <c r="H60" s="834">
        <f>项目基本情况!C37</f>
        <v>0</v>
      </c>
      <c r="I60" s="838">
        <f>SUMIF(修正!A57:A68,H60,修正!E57:E68)</f>
        <v>0</v>
      </c>
      <c r="J60" s="842"/>
      <c r="K60" s="2485"/>
      <c r="L60" s="2544"/>
      <c r="M60" s="2544"/>
      <c r="N60" s="2544"/>
      <c r="O60" s="2544"/>
      <c r="P60" s="2544"/>
      <c r="Q60" s="2544"/>
      <c r="R60" s="2544"/>
      <c r="S60" s="2544"/>
      <c r="T60" s="2544"/>
      <c r="U60" s="2544"/>
      <c r="V60" s="2544"/>
      <c r="W60" s="2544"/>
      <c r="X60" s="2544"/>
      <c r="Y60" s="2544"/>
      <c r="Z60" s="2544"/>
      <c r="AA60" s="2544"/>
      <c r="AB60" s="2544"/>
      <c r="AC60" s="2544"/>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5"/>
      <c r="L61" s="2544"/>
      <c r="M61" s="2544"/>
      <c r="N61" s="2544"/>
      <c r="O61" s="2544"/>
      <c r="P61" s="2544"/>
      <c r="Q61" s="2544"/>
      <c r="R61" s="2544"/>
      <c r="S61" s="2544"/>
      <c r="T61" s="2544"/>
      <c r="U61" s="2544"/>
      <c r="V61" s="2544"/>
      <c r="W61" s="2544"/>
      <c r="X61" s="2544"/>
      <c r="Y61" s="2544"/>
      <c r="Z61" s="2544"/>
      <c r="AA61" s="2544"/>
      <c r="AB61" s="2544"/>
      <c r="AC61" s="2544"/>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5"/>
      <c r="L62" s="2544"/>
      <c r="M62" s="2544"/>
      <c r="N62" s="2544"/>
      <c r="O62" s="2544"/>
      <c r="P62" s="2544"/>
      <c r="Q62" s="2544"/>
      <c r="R62" s="2544"/>
      <c r="S62" s="2544"/>
      <c r="T62" s="2544"/>
      <c r="U62" s="2544"/>
      <c r="V62" s="2544"/>
      <c r="W62" s="2544"/>
      <c r="X62" s="2544"/>
      <c r="Y62" s="2544"/>
      <c r="Z62" s="2544"/>
      <c r="AA62" s="2544"/>
      <c r="AB62" s="2544"/>
      <c r="AC62" s="2544"/>
    </row>
    <row r="63" spans="1:29" s="612" customFormat="1">
      <c r="A63" s="613" t="s">
        <v>1901</v>
      </c>
      <c r="B63" s="210" t="e">
        <f t="shared" si="17"/>
        <v>#DIV/0!</v>
      </c>
      <c r="C63" s="163">
        <f t="shared" si="16"/>
        <v>0</v>
      </c>
      <c r="D63" s="891">
        <v>0.25</v>
      </c>
      <c r="E63" s="209">
        <f>'数据-汇总表'!E14</f>
        <v>0</v>
      </c>
      <c r="F63" s="833" t="e">
        <f t="shared" si="15"/>
        <v>#DIV/0!</v>
      </c>
      <c r="G63" s="1832" t="s">
        <v>1892</v>
      </c>
      <c r="H63" s="834">
        <f>项目基本情况!B37</f>
        <v>0</v>
      </c>
      <c r="I63" s="838">
        <f>SUMIF(修正!A57:A68,H63,修正!G57:G68)</f>
        <v>0</v>
      </c>
      <c r="J63" s="842"/>
      <c r="K63" s="2495"/>
      <c r="L63" s="2544"/>
      <c r="M63" s="2544"/>
      <c r="N63" s="2544"/>
      <c r="O63" s="2544"/>
      <c r="P63" s="2544"/>
      <c r="Q63" s="2544"/>
      <c r="R63" s="2544"/>
      <c r="S63" s="2544"/>
      <c r="T63" s="2544"/>
      <c r="U63" s="2544"/>
      <c r="V63" s="2544"/>
      <c r="W63" s="2544"/>
      <c r="X63" s="2544"/>
      <c r="Y63" s="2544"/>
      <c r="Z63" s="2544"/>
      <c r="AA63" s="2544"/>
      <c r="AB63" s="2544"/>
      <c r="AC63" s="2544"/>
    </row>
    <row r="64" spans="1:29" s="612" customFormat="1" ht="14.4" thickBot="1">
      <c r="A64" s="613" t="s">
        <v>1902</v>
      </c>
      <c r="B64" s="210" t="e">
        <f t="shared" si="17"/>
        <v>#DIV/0!</v>
      </c>
      <c r="C64" s="163">
        <f t="shared" si="16"/>
        <v>0</v>
      </c>
      <c r="D64" s="891">
        <v>0.25</v>
      </c>
      <c r="E64" s="209">
        <f>'数据-汇总表'!E15</f>
        <v>0</v>
      </c>
      <c r="F64" s="833" t="e">
        <f t="shared" si="15"/>
        <v>#DIV/0!</v>
      </c>
      <c r="G64" s="1833" t="s">
        <v>1896</v>
      </c>
      <c r="H64" s="844">
        <f>项目基本情况!C37</f>
        <v>0</v>
      </c>
      <c r="I64" s="840">
        <f>SUMIF(修正!A57:A68,H64,修正!G57:G68)</f>
        <v>0</v>
      </c>
      <c r="J64" s="843"/>
      <c r="K64" s="2485"/>
      <c r="L64" s="2544"/>
      <c r="M64" s="2544"/>
      <c r="N64" s="2544"/>
      <c r="O64" s="2544"/>
      <c r="P64" s="2544"/>
      <c r="Q64" s="2544"/>
      <c r="R64" s="2544"/>
      <c r="S64" s="2544"/>
      <c r="T64" s="2544"/>
      <c r="U64" s="2544"/>
      <c r="V64" s="2544"/>
      <c r="W64" s="2544"/>
      <c r="X64" s="2544"/>
      <c r="Y64" s="2544"/>
      <c r="Z64" s="2544"/>
      <c r="AA64" s="2544"/>
      <c r="AB64" s="2544"/>
      <c r="AC64" s="2544"/>
    </row>
    <row r="65" spans="1:29" s="612" customFormat="1" thickBot="1">
      <c r="A65" s="615" t="s">
        <v>1903</v>
      </c>
      <c r="B65" s="616" t="s">
        <v>22</v>
      </c>
      <c r="C65" s="616" t="s">
        <v>23</v>
      </c>
      <c r="D65" s="616" t="s">
        <v>392</v>
      </c>
      <c r="E65" s="616">
        <f>IF(B46="楼面地价",SUM(E56:E64),'数据-汇总表'!D3)</f>
        <v>57.2</v>
      </c>
      <c r="F65" s="617" t="e">
        <f>IF(B46="楼面地价",SUM(F56:F64),ROUND(C48*E65/10000,0))</f>
        <v>#DIV/0!</v>
      </c>
      <c r="G65" s="677"/>
      <c r="H65" s="677"/>
      <c r="I65" s="677"/>
      <c r="J65" s="677"/>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5"/>
      <c r="B66" s="656"/>
      <c r="C66" s="657"/>
      <c r="D66" s="385"/>
      <c r="E66" s="385"/>
      <c r="F66" s="385"/>
      <c r="G66" s="385"/>
      <c r="H66" s="385"/>
      <c r="I66" s="385"/>
      <c r="J66" s="861"/>
      <c r="K66" s="835"/>
      <c r="L66" s="836"/>
      <c r="M66" s="861"/>
      <c r="N66" s="861"/>
      <c r="O66" s="861"/>
      <c r="P66" s="2485"/>
      <c r="Q66" s="2485"/>
      <c r="R66" s="2485"/>
      <c r="S66" s="2485"/>
      <c r="T66" s="2485"/>
      <c r="U66" s="2485"/>
      <c r="V66" s="2485"/>
      <c r="W66" s="2485"/>
      <c r="X66" s="2485"/>
      <c r="Y66" s="2485"/>
      <c r="Z66" s="2485"/>
      <c r="AA66" s="2485"/>
      <c r="AB66" s="2485"/>
      <c r="AC66" s="2485"/>
    </row>
    <row r="67" spans="1:29">
      <c r="A67" s="385"/>
      <c r="B67" s="656"/>
      <c r="C67" s="656" t="str">
        <f>YEAR(C7)&amp;"-"&amp;MONTH(C7)&amp;"-1"</f>
        <v>2025-4-1</v>
      </c>
      <c r="D67" s="656">
        <f>EDATE(C67,-3)</f>
        <v>45658</v>
      </c>
      <c r="E67" s="656">
        <f>EDATE(D67,-3)</f>
        <v>45566</v>
      </c>
      <c r="F67" s="656">
        <f t="shared" ref="F67:O67" si="18">EDATE(E67,-3)</f>
        <v>45474</v>
      </c>
      <c r="G67" s="656">
        <f t="shared" si="18"/>
        <v>45383</v>
      </c>
      <c r="H67" s="656">
        <f t="shared" si="18"/>
        <v>45292</v>
      </c>
      <c r="I67" s="656">
        <f t="shared" si="18"/>
        <v>45200</v>
      </c>
      <c r="J67" s="656">
        <f t="shared" si="18"/>
        <v>45108</v>
      </c>
      <c r="K67" s="656">
        <f t="shared" si="18"/>
        <v>45017</v>
      </c>
      <c r="L67" s="656">
        <f t="shared" si="18"/>
        <v>44927</v>
      </c>
      <c r="M67" s="656">
        <f t="shared" si="18"/>
        <v>44835</v>
      </c>
      <c r="N67" s="656">
        <f t="shared" si="18"/>
        <v>44743</v>
      </c>
      <c r="O67" s="656">
        <f t="shared" si="18"/>
        <v>44652</v>
      </c>
      <c r="P67" s="2485"/>
      <c r="Q67" s="2485"/>
      <c r="R67" s="2485"/>
      <c r="S67" s="2485"/>
      <c r="T67" s="2485"/>
      <c r="U67" s="2485"/>
      <c r="V67" s="2485"/>
      <c r="W67" s="2485"/>
      <c r="X67" s="2485"/>
      <c r="Y67" s="2485"/>
      <c r="Z67" s="2485"/>
      <c r="AA67" s="2485"/>
      <c r="AB67" s="2485"/>
      <c r="AC67" s="2485"/>
    </row>
    <row r="68" spans="1:29" ht="22.2" thickBot="1">
      <c r="A68" s="658" t="s">
        <v>1798</v>
      </c>
      <c r="B68" s="385"/>
      <c r="C68" s="659"/>
      <c r="D68" s="659"/>
      <c r="E68" s="659"/>
      <c r="F68" s="660"/>
      <c r="G68" s="660"/>
      <c r="H68" s="659"/>
      <c r="I68" s="659"/>
      <c r="J68" s="886"/>
      <c r="K68" s="887"/>
      <c r="L68" s="888"/>
      <c r="M68" s="886"/>
      <c r="N68" s="2535"/>
      <c r="O68" s="2535"/>
      <c r="P68" s="2535"/>
      <c r="Q68" s="2506"/>
      <c r="R68" s="2485"/>
      <c r="S68" s="2485"/>
      <c r="T68" s="2485"/>
      <c r="U68" s="2485"/>
      <c r="V68" s="2485"/>
      <c r="W68" s="2485"/>
      <c r="X68" s="2485"/>
      <c r="Y68" s="2485"/>
      <c r="Z68" s="2485"/>
      <c r="AA68" s="2485"/>
      <c r="AB68" s="2485"/>
      <c r="AC68" s="2485"/>
    </row>
    <row r="69" spans="1:29" s="442" customFormat="1" ht="14.4">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08"/>
      <c r="Q69" s="2508"/>
      <c r="R69" s="2508"/>
      <c r="S69" s="2508"/>
      <c r="T69" s="2508"/>
      <c r="U69" s="2508"/>
      <c r="V69" s="2508"/>
      <c r="W69" s="2508"/>
      <c r="X69" s="2508"/>
      <c r="Y69" s="2508"/>
      <c r="Z69" s="2508"/>
      <c r="AA69" s="2508"/>
      <c r="AB69" s="2508"/>
      <c r="AC69" s="2508"/>
    </row>
    <row r="70" spans="1:29" s="102" customFormat="1" ht="30" customHeight="1">
      <c r="A70" s="1834"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6"/>
      <c r="Q70" s="2437"/>
      <c r="R70" s="2437"/>
      <c r="S70" s="2437"/>
      <c r="T70" s="2437"/>
      <c r="U70" s="2437"/>
      <c r="V70" s="2437"/>
      <c r="W70" s="2437"/>
      <c r="X70" s="2437"/>
      <c r="Y70" s="2437"/>
      <c r="Z70" s="2437"/>
      <c r="AA70" s="2437"/>
      <c r="AB70" s="2437"/>
      <c r="AC70" s="2437"/>
    </row>
    <row r="71" spans="1:29" s="102" customFormat="1" ht="15" thickBot="1">
      <c r="A71" s="449" t="s">
        <v>1716</v>
      </c>
      <c r="B71" s="450"/>
      <c r="C71" s="451"/>
      <c r="D71" s="452"/>
      <c r="E71" s="452"/>
      <c r="F71" s="452"/>
      <c r="G71" s="452"/>
      <c r="H71" s="452"/>
      <c r="I71" s="452"/>
      <c r="J71" s="452"/>
      <c r="K71" s="452"/>
      <c r="L71" s="452"/>
      <c r="M71" s="453"/>
      <c r="N71" s="452"/>
      <c r="O71" s="889"/>
      <c r="P71" s="2506"/>
      <c r="Q71" s="2506"/>
      <c r="R71" s="2437"/>
      <c r="S71" s="2437"/>
      <c r="T71" s="2437"/>
      <c r="U71" s="2437"/>
      <c r="V71" s="2437"/>
      <c r="W71" s="2437"/>
      <c r="X71" s="2437"/>
      <c r="Y71" s="2437"/>
      <c r="Z71" s="2437"/>
      <c r="AA71" s="2437"/>
      <c r="AB71" s="2437"/>
      <c r="AC71" s="2437"/>
    </row>
    <row r="72" spans="1:29" s="102" customFormat="1" ht="14.4">
      <c r="A72" s="455" t="s">
        <v>1681</v>
      </c>
      <c r="B72" s="444"/>
      <c r="C72" s="456" t="s">
        <v>1776</v>
      </c>
      <c r="D72" s="31"/>
      <c r="E72" s="31"/>
      <c r="F72" s="31"/>
      <c r="G72" s="31"/>
      <c r="H72" s="31"/>
      <c r="I72" s="31"/>
      <c r="J72" s="31"/>
      <c r="K72" s="31"/>
      <c r="L72" s="457"/>
      <c r="M72" s="458"/>
      <c r="N72" s="2518"/>
      <c r="O72" s="2518"/>
      <c r="P72" s="2542"/>
      <c r="Q72" s="2506"/>
      <c r="R72" s="2437"/>
      <c r="S72" s="2437"/>
      <c r="T72" s="2437"/>
      <c r="U72" s="2437"/>
      <c r="V72" s="2437"/>
      <c r="W72" s="2437"/>
      <c r="X72" s="2437"/>
      <c r="Y72" s="2437"/>
      <c r="Z72" s="2437"/>
      <c r="AA72" s="2437"/>
      <c r="AB72" s="2437"/>
      <c r="AC72" s="2437"/>
    </row>
    <row r="73" spans="1:29" s="102" customFormat="1" ht="14.4" thickBot="1">
      <c r="A73" s="455"/>
      <c r="B73" s="444"/>
      <c r="C73" s="563">
        <v>100</v>
      </c>
      <c r="D73" s="446"/>
      <c r="E73" s="446"/>
      <c r="F73" s="446"/>
      <c r="G73" s="446"/>
      <c r="H73" s="446"/>
      <c r="I73" s="446"/>
      <c r="J73" s="446"/>
      <c r="K73" s="446"/>
      <c r="L73" s="446"/>
      <c r="M73" s="448"/>
      <c r="N73" s="2518"/>
      <c r="O73" s="2518"/>
      <c r="P73" s="2506"/>
      <c r="Q73" s="2506"/>
      <c r="R73" s="2437"/>
      <c r="S73" s="2437"/>
      <c r="T73" s="2437"/>
      <c r="U73" s="2437"/>
      <c r="V73" s="2437"/>
      <c r="W73" s="2437"/>
      <c r="X73" s="2437"/>
      <c r="Y73" s="2437"/>
      <c r="Z73" s="2437"/>
      <c r="AA73" s="2437"/>
      <c r="AB73" s="2437"/>
      <c r="AC73" s="2437"/>
    </row>
    <row r="74" spans="1:29" ht="14.4">
      <c r="A74" s="379" t="s">
        <v>1719</v>
      </c>
      <c r="B74" s="460" t="s">
        <v>1685</v>
      </c>
      <c r="C74" s="462"/>
      <c r="D74" s="462"/>
      <c r="E74" s="462"/>
      <c r="F74" s="462"/>
      <c r="G74" s="462"/>
      <c r="H74" s="462"/>
      <c r="I74" s="462"/>
      <c r="J74" s="462"/>
      <c r="K74" s="463"/>
      <c r="L74" s="464"/>
      <c r="M74" s="465"/>
      <c r="N74" s="2519"/>
      <c r="O74" s="2519"/>
      <c r="P74" s="2518"/>
      <c r="Q74" s="2506"/>
      <c r="R74" s="2485"/>
      <c r="S74" s="2485"/>
      <c r="T74" s="2485"/>
      <c r="U74" s="2485"/>
      <c r="V74" s="2485"/>
      <c r="W74" s="2485"/>
      <c r="X74" s="2485"/>
      <c r="Y74" s="2485"/>
      <c r="Z74" s="2485"/>
      <c r="AA74" s="2485"/>
      <c r="AB74" s="2485"/>
      <c r="AC74" s="2485"/>
    </row>
    <row r="75" spans="1:29" ht="14.4" thickBot="1">
      <c r="A75" s="367"/>
      <c r="B75" s="466"/>
      <c r="C75" s="467"/>
      <c r="D75" s="467"/>
      <c r="E75" s="467"/>
      <c r="F75" s="467"/>
      <c r="G75" s="467"/>
      <c r="H75" s="467"/>
      <c r="I75" s="467"/>
      <c r="J75" s="467"/>
      <c r="K75" s="467"/>
      <c r="L75" s="467"/>
      <c r="M75" s="468"/>
      <c r="N75" s="2520"/>
      <c r="O75" s="2520"/>
      <c r="P75" s="2518"/>
      <c r="Q75" s="2506"/>
      <c r="R75" s="2485"/>
      <c r="S75" s="2485"/>
      <c r="T75" s="2485"/>
      <c r="U75" s="2485"/>
      <c r="V75" s="2485"/>
      <c r="W75" s="2485"/>
      <c r="X75" s="2485"/>
      <c r="Y75" s="2485"/>
      <c r="Z75" s="2485"/>
      <c r="AA75" s="2485"/>
      <c r="AB75" s="2485"/>
      <c r="AC75" s="2485"/>
    </row>
    <row r="76" spans="1:29" ht="29.4" thickTop="1">
      <c r="A76" s="367"/>
      <c r="B76" s="469" t="s">
        <v>1688</v>
      </c>
      <c r="C76" s="470"/>
      <c r="D76" s="470"/>
      <c r="E76" s="470"/>
      <c r="F76" s="470"/>
      <c r="G76" s="470"/>
      <c r="H76" s="470"/>
      <c r="I76" s="470"/>
      <c r="J76" s="470"/>
      <c r="K76" s="471"/>
      <c r="L76" s="472"/>
      <c r="M76" s="473"/>
      <c r="N76" s="2519"/>
      <c r="O76" s="2519"/>
      <c r="P76" s="2518"/>
      <c r="Q76" s="2506"/>
      <c r="R76" s="2485"/>
      <c r="S76" s="2485"/>
      <c r="T76" s="2485"/>
      <c r="U76" s="2485"/>
      <c r="V76" s="2485"/>
      <c r="W76" s="2485"/>
      <c r="X76" s="2485"/>
      <c r="Y76" s="2485"/>
      <c r="Z76" s="2485"/>
      <c r="AA76" s="2485"/>
      <c r="AB76" s="2485"/>
      <c r="AC76" s="2485"/>
    </row>
    <row r="77" spans="1:29" ht="14.4" thickBot="1">
      <c r="A77" s="367"/>
      <c r="B77" s="474"/>
      <c r="C77" s="475"/>
      <c r="D77" s="475"/>
      <c r="E77" s="475"/>
      <c r="F77" s="475"/>
      <c r="G77" s="475"/>
      <c r="H77" s="475"/>
      <c r="I77" s="475"/>
      <c r="J77" s="475"/>
      <c r="K77" s="475"/>
      <c r="L77" s="475"/>
      <c r="M77" s="476"/>
      <c r="N77" s="2520"/>
      <c r="O77" s="2520"/>
      <c r="P77" s="2518"/>
      <c r="Q77" s="2506"/>
      <c r="R77" s="2485"/>
      <c r="S77" s="2485"/>
      <c r="T77" s="2485"/>
      <c r="U77" s="2485"/>
      <c r="V77" s="2485"/>
      <c r="W77" s="2485"/>
      <c r="X77" s="2485"/>
      <c r="Y77" s="2485"/>
      <c r="Z77" s="2485"/>
      <c r="AA77" s="2485"/>
      <c r="AB77" s="2485"/>
      <c r="AC77" s="2485"/>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0"/>
      <c r="O78" s="2520"/>
      <c r="P78" s="2518"/>
      <c r="Q78" s="2506"/>
      <c r="R78" s="2485"/>
      <c r="S78" s="2485"/>
      <c r="T78" s="2485"/>
      <c r="U78" s="2485"/>
      <c r="V78" s="2485"/>
      <c r="W78" s="2485"/>
      <c r="X78" s="2485"/>
      <c r="Y78" s="2485"/>
      <c r="Z78" s="2485"/>
      <c r="AA78" s="2485"/>
      <c r="AB78" s="2485"/>
      <c r="AC78" s="2485"/>
    </row>
    <row r="79" spans="1:29">
      <c r="A79" s="367"/>
      <c r="B79" s="479"/>
      <c r="C79" s="480"/>
      <c r="D79" s="480"/>
      <c r="E79" s="480"/>
      <c r="F79" s="480"/>
      <c r="G79" s="480"/>
      <c r="H79" s="480"/>
      <c r="I79" s="480"/>
      <c r="J79" s="480"/>
      <c r="K79" s="481"/>
      <c r="L79" s="482"/>
      <c r="M79" s="483"/>
      <c r="N79" s="2519"/>
      <c r="O79" s="2519"/>
      <c r="P79" s="2518"/>
      <c r="Q79" s="2506"/>
      <c r="R79" s="2485"/>
      <c r="S79" s="2485"/>
      <c r="T79" s="2485"/>
      <c r="U79" s="2485"/>
      <c r="V79" s="2485"/>
      <c r="W79" s="2485"/>
      <c r="X79" s="2485"/>
      <c r="Y79" s="2485"/>
      <c r="Z79" s="2485"/>
      <c r="AA79" s="2485"/>
      <c r="AB79" s="2485"/>
      <c r="AC79" s="2485"/>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0"/>
      <c r="O80" s="2520"/>
      <c r="P80" s="2518"/>
      <c r="Q80" s="2506"/>
      <c r="R80" s="2485"/>
      <c r="S80" s="2485"/>
      <c r="T80" s="2485"/>
      <c r="U80" s="2485"/>
      <c r="V80" s="2485"/>
      <c r="W80" s="2485"/>
      <c r="X80" s="2485"/>
      <c r="Y80" s="2485"/>
      <c r="Z80" s="2485"/>
      <c r="AA80" s="2485"/>
      <c r="AB80" s="2485"/>
      <c r="AC80" s="2485"/>
    </row>
    <row r="81" spans="1:29" s="408" customFormat="1" ht="14.4" thickTop="1">
      <c r="A81" s="484"/>
      <c r="B81" s="469" t="str">
        <f>B12</f>
        <v>配建</v>
      </c>
      <c r="C81" s="485"/>
      <c r="D81" s="485"/>
      <c r="E81" s="485"/>
      <c r="F81" s="485"/>
      <c r="G81" s="485"/>
      <c r="H81" s="486"/>
      <c r="I81" s="486"/>
      <c r="J81" s="486"/>
      <c r="K81" s="486"/>
      <c r="L81" s="487"/>
      <c r="M81" s="488"/>
      <c r="N81" s="2521"/>
      <c r="O81" s="2521"/>
      <c r="P81" s="2521"/>
      <c r="Q81" s="2513"/>
      <c r="R81" s="2491"/>
      <c r="S81" s="2491"/>
      <c r="T81" s="2491"/>
      <c r="U81" s="2491"/>
      <c r="V81" s="2491"/>
      <c r="W81" s="2491"/>
      <c r="X81" s="2491"/>
      <c r="Y81" s="2491"/>
      <c r="Z81" s="2491"/>
      <c r="AA81" s="2491"/>
      <c r="AB81" s="2491"/>
      <c r="AC81" s="2491"/>
    </row>
    <row r="82" spans="1:29" s="408" customFormat="1" ht="14.4" thickBot="1">
      <c r="A82" s="484"/>
      <c r="B82" s="474"/>
      <c r="C82" s="491"/>
      <c r="D82" s="467"/>
      <c r="E82" s="467"/>
      <c r="F82" s="467"/>
      <c r="G82" s="467"/>
      <c r="H82" s="467"/>
      <c r="I82" s="467"/>
      <c r="J82" s="467"/>
      <c r="K82" s="467"/>
      <c r="L82" s="467"/>
      <c r="M82" s="468"/>
      <c r="N82" s="2520"/>
      <c r="O82" s="2520"/>
      <c r="P82" s="2521"/>
      <c r="Q82" s="2513"/>
      <c r="R82" s="2491"/>
      <c r="S82" s="2491"/>
      <c r="T82" s="2491"/>
      <c r="U82" s="2491"/>
      <c r="V82" s="2491"/>
      <c r="W82" s="2491"/>
      <c r="X82" s="2491"/>
      <c r="Y82" s="2491"/>
      <c r="Z82" s="2491"/>
      <c r="AA82" s="2491"/>
      <c r="AB82" s="2491"/>
      <c r="AC82" s="2491"/>
    </row>
    <row r="83" spans="1:29" s="408" customFormat="1" ht="14.4" thickTop="1">
      <c r="A83" s="484"/>
      <c r="B83" s="469">
        <f>B13</f>
        <v>111</v>
      </c>
      <c r="C83" s="485"/>
      <c r="D83" s="485"/>
      <c r="E83" s="485"/>
      <c r="F83" s="485"/>
      <c r="G83" s="485"/>
      <c r="H83" s="486"/>
      <c r="I83" s="486"/>
      <c r="J83" s="486"/>
      <c r="K83" s="486"/>
      <c r="L83" s="487"/>
      <c r="M83" s="488"/>
      <c r="N83" s="2521"/>
      <c r="O83" s="2521"/>
      <c r="P83" s="2491"/>
      <c r="Q83" s="2515"/>
      <c r="R83" s="2491"/>
      <c r="S83" s="2491"/>
      <c r="T83" s="2491"/>
      <c r="U83" s="2491"/>
      <c r="V83" s="2491"/>
      <c r="W83" s="2491"/>
      <c r="X83" s="2491"/>
      <c r="Y83" s="2491"/>
      <c r="Z83" s="2491"/>
      <c r="AA83" s="2491"/>
      <c r="AB83" s="2491"/>
      <c r="AC83" s="2491"/>
    </row>
    <row r="84" spans="1:29" s="408" customFormat="1" ht="14.4" thickBot="1">
      <c r="A84" s="484"/>
      <c r="B84" s="474"/>
      <c r="C84" s="491"/>
      <c r="D84" s="491"/>
      <c r="E84" s="491"/>
      <c r="F84" s="491"/>
      <c r="G84" s="491"/>
      <c r="H84" s="493"/>
      <c r="I84" s="493"/>
      <c r="J84" s="493"/>
      <c r="K84" s="493"/>
      <c r="L84" s="493"/>
      <c r="M84" s="494"/>
      <c r="N84" s="2521"/>
      <c r="O84" s="2521"/>
      <c r="P84" s="2521"/>
      <c r="Q84" s="2513"/>
      <c r="R84" s="2491"/>
      <c r="S84" s="2491"/>
      <c r="T84" s="2491"/>
      <c r="U84" s="2491"/>
      <c r="V84" s="2491"/>
      <c r="W84" s="2491"/>
      <c r="X84" s="2491"/>
      <c r="Y84" s="2491"/>
      <c r="Z84" s="2491"/>
      <c r="AA84" s="2491"/>
      <c r="AB84" s="2491"/>
      <c r="AC84" s="2491"/>
    </row>
    <row r="85" spans="1:29" s="408" customFormat="1" ht="14.4" thickTop="1">
      <c r="A85" s="484"/>
      <c r="B85" s="477">
        <f>B14</f>
        <v>111</v>
      </c>
      <c r="C85" s="31"/>
      <c r="D85" s="31"/>
      <c r="E85" s="31"/>
      <c r="F85" s="31"/>
      <c r="G85" s="31"/>
      <c r="H85" s="495"/>
      <c r="I85" s="495"/>
      <c r="J85" s="495"/>
      <c r="K85" s="495"/>
      <c r="L85" s="496"/>
      <c r="M85" s="497"/>
      <c r="N85" s="2521"/>
      <c r="O85" s="2521"/>
      <c r="P85" s="2546"/>
      <c r="Q85" s="2513"/>
      <c r="R85" s="2491"/>
      <c r="S85" s="2491"/>
      <c r="T85" s="2491"/>
      <c r="U85" s="2491"/>
      <c r="V85" s="2491"/>
      <c r="W85" s="2491"/>
      <c r="X85" s="2491"/>
      <c r="Y85" s="2491"/>
      <c r="Z85" s="2491"/>
      <c r="AA85" s="2491"/>
      <c r="AB85" s="2491"/>
      <c r="AC85" s="2491"/>
    </row>
    <row r="86" spans="1:29" s="408" customFormat="1" ht="14.4" thickBot="1">
      <c r="A86" s="499"/>
      <c r="B86" s="500"/>
      <c r="C86" s="501"/>
      <c r="D86" s="501"/>
      <c r="E86" s="501"/>
      <c r="F86" s="501"/>
      <c r="G86" s="501"/>
      <c r="H86" s="502"/>
      <c r="I86" s="502"/>
      <c r="J86" s="502"/>
      <c r="K86" s="502"/>
      <c r="L86" s="502"/>
      <c r="M86" s="503"/>
      <c r="N86" s="2521"/>
      <c r="O86" s="2521"/>
      <c r="P86" s="2521"/>
      <c r="Q86" s="2513"/>
      <c r="R86" s="2491"/>
      <c r="S86" s="2491"/>
      <c r="T86" s="2491"/>
      <c r="U86" s="2491"/>
      <c r="V86" s="2491"/>
      <c r="W86" s="2491"/>
      <c r="X86" s="2491"/>
      <c r="Y86" s="2491"/>
      <c r="Z86" s="2491"/>
      <c r="AA86" s="2491"/>
      <c r="AB86" s="2491"/>
      <c r="AC86" s="2491"/>
    </row>
    <row r="87" spans="1:29" ht="14.4">
      <c r="A87" s="379" t="s">
        <v>1690</v>
      </c>
      <c r="B87" s="460" t="s">
        <v>1720</v>
      </c>
      <c r="C87" s="504" t="s">
        <v>1721</v>
      </c>
      <c r="D87" s="504" t="s">
        <v>1722</v>
      </c>
      <c r="E87" s="504" t="s">
        <v>1723</v>
      </c>
      <c r="F87" s="504" t="s">
        <v>1724</v>
      </c>
      <c r="G87" s="504" t="s">
        <v>1725</v>
      </c>
      <c r="H87" s="461"/>
      <c r="I87" s="461"/>
      <c r="J87" s="461"/>
      <c r="K87" s="505"/>
      <c r="L87" s="506"/>
      <c r="M87" s="507"/>
      <c r="N87" s="2519"/>
      <c r="O87" s="2519"/>
      <c r="P87" s="2543"/>
      <c r="Q87" s="2506"/>
      <c r="R87" s="2485"/>
      <c r="S87" s="2485"/>
      <c r="T87" s="2485"/>
      <c r="U87" s="2485"/>
      <c r="V87" s="2485"/>
      <c r="W87" s="2485"/>
      <c r="X87" s="2485"/>
      <c r="Y87" s="2485"/>
      <c r="Z87" s="2485"/>
      <c r="AA87" s="2485"/>
      <c r="AB87" s="2485"/>
      <c r="AC87" s="2485"/>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0"/>
      <c r="O88" s="2520"/>
      <c r="P88" s="2518"/>
      <c r="Q88" s="2506"/>
      <c r="R88" s="2485"/>
      <c r="S88" s="2485"/>
      <c r="T88" s="2485"/>
      <c r="U88" s="2485"/>
      <c r="V88" s="2485"/>
      <c r="W88" s="2485"/>
      <c r="X88" s="2485"/>
      <c r="Y88" s="2485"/>
      <c r="Z88" s="2485"/>
      <c r="AA88" s="2485"/>
      <c r="AB88" s="2485"/>
      <c r="AC88" s="2485"/>
    </row>
    <row r="89" spans="1:29" ht="15" thickTop="1">
      <c r="A89" s="367"/>
      <c r="B89" s="469" t="s">
        <v>1906</v>
      </c>
      <c r="C89" s="509" t="s">
        <v>1721</v>
      </c>
      <c r="D89" s="509" t="s">
        <v>1722</v>
      </c>
      <c r="E89" s="509" t="s">
        <v>1723</v>
      </c>
      <c r="F89" s="509" t="s">
        <v>1724</v>
      </c>
      <c r="G89" s="509" t="s">
        <v>1725</v>
      </c>
      <c r="H89" s="470"/>
      <c r="I89" s="470"/>
      <c r="J89" s="470"/>
      <c r="K89" s="471"/>
      <c r="L89" s="472"/>
      <c r="M89" s="473"/>
      <c r="N89" s="2519"/>
      <c r="O89" s="2519"/>
      <c r="P89" s="2518"/>
      <c r="Q89" s="2506"/>
      <c r="R89" s="2485"/>
      <c r="S89" s="2485"/>
      <c r="T89" s="2485"/>
      <c r="U89" s="2485"/>
      <c r="V89" s="2485"/>
      <c r="W89" s="2485"/>
      <c r="X89" s="2485"/>
      <c r="Y89" s="2485"/>
      <c r="Z89" s="2485"/>
      <c r="AA89" s="2485"/>
      <c r="AB89" s="2485"/>
      <c r="AC89" s="2485"/>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0"/>
      <c r="O90" s="2520"/>
      <c r="P90" s="2518"/>
      <c r="Q90" s="2506"/>
      <c r="R90" s="2485"/>
      <c r="S90" s="2485"/>
      <c r="T90" s="2485"/>
      <c r="U90" s="2485"/>
      <c r="V90" s="2485"/>
      <c r="W90" s="2485"/>
      <c r="X90" s="2485"/>
      <c r="Y90" s="2485"/>
      <c r="Z90" s="2485"/>
      <c r="AA90" s="2485"/>
      <c r="AB90" s="2485"/>
      <c r="AC90" s="2485"/>
    </row>
    <row r="91" spans="1:29" ht="15" thickTop="1">
      <c r="A91" s="367"/>
      <c r="B91" s="469" t="s">
        <v>1821</v>
      </c>
      <c r="C91" s="509" t="s">
        <v>1721</v>
      </c>
      <c r="D91" s="509" t="s">
        <v>1722</v>
      </c>
      <c r="E91" s="509" t="s">
        <v>1723</v>
      </c>
      <c r="F91" s="509" t="s">
        <v>1724</v>
      </c>
      <c r="G91" s="509" t="s">
        <v>1725</v>
      </c>
      <c r="H91" s="470"/>
      <c r="I91" s="470"/>
      <c r="J91" s="470"/>
      <c r="K91" s="471"/>
      <c r="L91" s="472"/>
      <c r="M91" s="473"/>
      <c r="N91" s="2519"/>
      <c r="O91" s="2519"/>
      <c r="P91" s="2518"/>
      <c r="Q91" s="2506"/>
      <c r="R91" s="2485"/>
      <c r="S91" s="2485"/>
      <c r="T91" s="2485"/>
      <c r="U91" s="2485"/>
      <c r="V91" s="2485"/>
      <c r="W91" s="2485"/>
      <c r="X91" s="2485"/>
      <c r="Y91" s="2485"/>
      <c r="Z91" s="2485"/>
      <c r="AA91" s="2485"/>
      <c r="AB91" s="2485"/>
      <c r="AC91" s="2485"/>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0"/>
      <c r="O92" s="2520"/>
      <c r="P92" s="2518"/>
      <c r="Q92" s="2506"/>
      <c r="R92" s="2485"/>
      <c r="S92" s="2485"/>
      <c r="T92" s="2485"/>
      <c r="U92" s="2485"/>
      <c r="V92" s="2485"/>
      <c r="W92" s="2485"/>
      <c r="X92" s="2485"/>
      <c r="Y92" s="2485"/>
      <c r="Z92" s="2485"/>
      <c r="AA92" s="2485"/>
      <c r="AB92" s="2485"/>
      <c r="AC92" s="2485"/>
    </row>
    <row r="93" spans="1:29" ht="15" thickTop="1">
      <c r="A93" s="367"/>
      <c r="B93" s="469" t="s">
        <v>1726</v>
      </c>
      <c r="C93" s="509" t="s">
        <v>1721</v>
      </c>
      <c r="D93" s="509" t="s">
        <v>1722</v>
      </c>
      <c r="E93" s="509" t="s">
        <v>1723</v>
      </c>
      <c r="F93" s="509" t="s">
        <v>1724</v>
      </c>
      <c r="G93" s="509" t="s">
        <v>1725</v>
      </c>
      <c r="H93" s="470"/>
      <c r="I93" s="470"/>
      <c r="J93" s="470"/>
      <c r="K93" s="471"/>
      <c r="L93" s="472"/>
      <c r="M93" s="473"/>
      <c r="N93" s="2519"/>
      <c r="O93" s="2519"/>
      <c r="P93" s="2518"/>
      <c r="Q93" s="2506"/>
      <c r="R93" s="2485"/>
      <c r="S93" s="2485"/>
      <c r="T93" s="2485"/>
      <c r="U93" s="2485"/>
      <c r="V93" s="2485"/>
      <c r="W93" s="2485"/>
      <c r="X93" s="2485"/>
      <c r="Y93" s="2485"/>
      <c r="Z93" s="2485"/>
      <c r="AA93" s="2485"/>
      <c r="AB93" s="2485"/>
      <c r="AC93" s="2485"/>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0"/>
      <c r="O94" s="2520"/>
      <c r="P94" s="2518"/>
      <c r="Q94" s="2506"/>
      <c r="R94" s="2485"/>
      <c r="S94" s="2485"/>
      <c r="T94" s="2485"/>
      <c r="U94" s="2485"/>
      <c r="V94" s="2485"/>
      <c r="W94" s="2485"/>
      <c r="X94" s="2485"/>
      <c r="Y94" s="2485"/>
      <c r="Z94" s="2485"/>
      <c r="AA94" s="2485"/>
      <c r="AB94" s="2485"/>
      <c r="AC94" s="2485"/>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18"/>
      <c r="O95" s="2518"/>
      <c r="P95" s="2518"/>
      <c r="Q95" s="2506"/>
      <c r="R95" s="2437"/>
      <c r="S95" s="2437"/>
      <c r="T95" s="2437"/>
      <c r="U95" s="2437"/>
      <c r="V95" s="2437"/>
      <c r="W95" s="2437"/>
      <c r="X95" s="2437"/>
      <c r="Y95" s="2437"/>
      <c r="Z95" s="2437"/>
      <c r="AA95" s="2437"/>
      <c r="AB95" s="2437"/>
      <c r="AC95" s="2437"/>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0"/>
      <c r="O96" s="2520"/>
      <c r="P96" s="2518"/>
      <c r="Q96" s="2506"/>
      <c r="R96" s="2437"/>
      <c r="S96" s="2437"/>
      <c r="T96" s="2437"/>
      <c r="U96" s="2437"/>
      <c r="V96" s="2437"/>
      <c r="W96" s="2437"/>
      <c r="X96" s="2437"/>
      <c r="Y96" s="2437"/>
      <c r="Z96" s="2437"/>
      <c r="AA96" s="2437"/>
      <c r="AB96" s="2437"/>
      <c r="AC96" s="2437"/>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18"/>
      <c r="O97" s="2518"/>
      <c r="P97" s="2518"/>
      <c r="Q97" s="2506"/>
      <c r="R97" s="2437"/>
      <c r="S97" s="2437"/>
      <c r="T97" s="2437"/>
      <c r="U97" s="2437"/>
      <c r="V97" s="2437"/>
      <c r="W97" s="2437"/>
      <c r="X97" s="2437"/>
      <c r="Y97" s="2437"/>
      <c r="Z97" s="2437"/>
      <c r="AA97" s="2437"/>
      <c r="AB97" s="2437"/>
      <c r="AC97" s="2437"/>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0"/>
      <c r="O98" s="2520"/>
      <c r="P98" s="2518"/>
      <c r="Q98" s="2506"/>
      <c r="R98" s="2437"/>
      <c r="S98" s="2437"/>
      <c r="T98" s="2437"/>
      <c r="U98" s="2437"/>
      <c r="V98" s="2437"/>
      <c r="W98" s="2437"/>
      <c r="X98" s="2437"/>
      <c r="Y98" s="2437"/>
      <c r="Z98" s="2437"/>
      <c r="AA98" s="2437"/>
      <c r="AB98" s="2437"/>
      <c r="AC98" s="2437"/>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1"/>
      <c r="O99" s="2521"/>
      <c r="P99" s="2521"/>
      <c r="Q99" s="2513"/>
      <c r="R99" s="2491"/>
      <c r="S99" s="2491"/>
      <c r="T99" s="2491"/>
      <c r="U99" s="2491"/>
      <c r="V99" s="2491"/>
      <c r="W99" s="2491"/>
      <c r="X99" s="2491"/>
      <c r="Y99" s="2491"/>
      <c r="Z99" s="2491"/>
      <c r="AA99" s="2491"/>
      <c r="AB99" s="2491"/>
      <c r="AC99" s="2491"/>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1"/>
      <c r="O100" s="2521"/>
      <c r="P100" s="2521"/>
      <c r="Q100" s="2513"/>
      <c r="R100" s="2491"/>
      <c r="S100" s="2491"/>
      <c r="T100" s="2491"/>
      <c r="U100" s="2491"/>
      <c r="V100" s="2491"/>
      <c r="W100" s="2491"/>
      <c r="X100" s="2491"/>
      <c r="Y100" s="2491"/>
      <c r="Z100" s="2491"/>
      <c r="AA100" s="2491"/>
      <c r="AB100" s="2491"/>
      <c r="AC100" s="2491"/>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1"/>
      <c r="O101" s="2521"/>
      <c r="P101" s="2521"/>
      <c r="Q101" s="2513"/>
      <c r="R101" s="2491"/>
      <c r="S101" s="2491"/>
      <c r="T101" s="2491"/>
      <c r="U101" s="2491"/>
      <c r="V101" s="2491"/>
      <c r="W101" s="2491"/>
      <c r="X101" s="2491"/>
      <c r="Y101" s="2491"/>
      <c r="Z101" s="2491"/>
      <c r="AA101" s="2491"/>
      <c r="AB101" s="2491"/>
      <c r="AC101" s="2491"/>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1"/>
      <c r="O102" s="2521"/>
      <c r="P102" s="2521"/>
      <c r="Q102" s="2513"/>
      <c r="R102" s="2491"/>
      <c r="S102" s="2491"/>
      <c r="T102" s="2491"/>
      <c r="U102" s="2491"/>
      <c r="V102" s="2491"/>
      <c r="W102" s="2491"/>
      <c r="X102" s="2491"/>
      <c r="Y102" s="2491"/>
      <c r="Z102" s="2491"/>
      <c r="AA102" s="2491"/>
      <c r="AB102" s="2491"/>
      <c r="AC102" s="2491"/>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19"/>
      <c r="O103" s="2519"/>
      <c r="P103" s="2518"/>
      <c r="Q103" s="2506"/>
      <c r="R103" s="2485"/>
      <c r="S103" s="2485"/>
      <c r="T103" s="2485"/>
      <c r="U103" s="2485"/>
      <c r="V103" s="2485"/>
      <c r="W103" s="2485"/>
      <c r="X103" s="2485"/>
      <c r="Y103" s="2485"/>
      <c r="Z103" s="2485"/>
      <c r="AA103" s="2485"/>
      <c r="AB103" s="2485"/>
      <c r="AC103" s="2485"/>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0"/>
      <c r="O104" s="2520"/>
      <c r="P104" s="2518"/>
      <c r="Q104" s="2506"/>
      <c r="R104" s="2485"/>
      <c r="S104" s="2485"/>
      <c r="T104" s="2485"/>
      <c r="U104" s="2485"/>
      <c r="V104" s="2485"/>
      <c r="W104" s="2485"/>
      <c r="X104" s="2485"/>
      <c r="Y104" s="2485"/>
      <c r="Z104" s="2485"/>
      <c r="AA104" s="2485"/>
      <c r="AB104" s="2485"/>
      <c r="AC104" s="2485"/>
    </row>
    <row r="105" spans="1:29" ht="29.4" thickTop="1">
      <c r="A105" s="367"/>
      <c r="B105" s="469" t="s">
        <v>1815</v>
      </c>
      <c r="C105" s="485"/>
      <c r="D105" s="485"/>
      <c r="E105" s="485"/>
      <c r="F105" s="485"/>
      <c r="G105" s="485"/>
      <c r="H105" s="513"/>
      <c r="I105" s="513"/>
      <c r="J105" s="513"/>
      <c r="K105" s="514"/>
      <c r="L105" s="515"/>
      <c r="M105" s="516"/>
      <c r="N105" s="2519"/>
      <c r="O105" s="2519"/>
      <c r="P105" s="2518"/>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0"/>
      <c r="O106" s="2520"/>
      <c r="P106" s="2518"/>
      <c r="Q106" s="2506"/>
      <c r="R106" s="2485"/>
      <c r="S106" s="2485"/>
      <c r="T106" s="2485"/>
      <c r="U106" s="2485"/>
      <c r="V106" s="2485"/>
      <c r="W106" s="2485"/>
      <c r="X106" s="2485"/>
      <c r="Y106" s="2485"/>
      <c r="Z106" s="2485"/>
      <c r="AA106" s="2485"/>
      <c r="AB106" s="2485"/>
      <c r="AC106" s="2485"/>
    </row>
    <row r="107" spans="1:29" ht="15" thickTop="1">
      <c r="A107" s="367"/>
      <c r="B107" s="469" t="s">
        <v>1873</v>
      </c>
      <c r="C107" s="513"/>
      <c r="D107" s="513"/>
      <c r="E107" s="513"/>
      <c r="F107" s="513"/>
      <c r="G107" s="513"/>
      <c r="H107" s="513"/>
      <c r="I107" s="513"/>
      <c r="J107" s="513"/>
      <c r="K107" s="514"/>
      <c r="L107" s="515"/>
      <c r="M107" s="516"/>
      <c r="N107" s="2519"/>
      <c r="O107" s="2519"/>
      <c r="P107" s="2518"/>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0"/>
      <c r="O108" s="2520"/>
      <c r="P108" s="2518"/>
      <c r="Q108" s="2506"/>
      <c r="R108" s="2485"/>
      <c r="S108" s="2485"/>
      <c r="T108" s="2485"/>
      <c r="U108" s="2485"/>
      <c r="V108" s="2485"/>
      <c r="W108" s="2485"/>
      <c r="X108" s="2485"/>
      <c r="Y108" s="2485"/>
      <c r="Z108" s="2485"/>
      <c r="AA108" s="2485"/>
      <c r="AB108" s="2485"/>
      <c r="AC108" s="2485"/>
    </row>
    <row r="109" spans="1:29" ht="14.4" thickTop="1">
      <c r="A109" s="367"/>
      <c r="B109" s="477">
        <f>B35</f>
        <v>111</v>
      </c>
      <c r="C109" s="485"/>
      <c r="D109" s="485"/>
      <c r="E109" s="485"/>
      <c r="F109" s="485"/>
      <c r="G109" s="517"/>
      <c r="H109" s="517"/>
      <c r="I109" s="517"/>
      <c r="J109" s="517"/>
      <c r="K109" s="518"/>
      <c r="L109" s="519"/>
      <c r="M109" s="520"/>
      <c r="N109" s="2519"/>
      <c r="O109" s="2519"/>
      <c r="P109" s="2518"/>
      <c r="Q109" s="2506"/>
      <c r="R109" s="2485"/>
      <c r="S109" s="2485"/>
      <c r="T109" s="2485"/>
      <c r="U109" s="2485"/>
      <c r="V109" s="2485"/>
      <c r="W109" s="2485"/>
      <c r="X109" s="2485"/>
      <c r="Y109" s="2485"/>
      <c r="Z109" s="2485"/>
      <c r="AA109" s="2485"/>
      <c r="AB109" s="2485"/>
      <c r="AC109" s="2485"/>
    </row>
    <row r="110" spans="1:29" ht="14.4" thickBot="1">
      <c r="A110" s="367"/>
      <c r="B110" s="500"/>
      <c r="C110" s="491"/>
      <c r="D110" s="491"/>
      <c r="E110" s="491"/>
      <c r="F110" s="491"/>
      <c r="G110" s="521"/>
      <c r="H110" s="521"/>
      <c r="I110" s="521"/>
      <c r="J110" s="521"/>
      <c r="K110" s="521"/>
      <c r="L110" s="521"/>
      <c r="M110" s="522"/>
      <c r="N110" s="2520"/>
      <c r="O110" s="2520"/>
      <c r="P110" s="2518"/>
      <c r="Q110" s="2506"/>
      <c r="R110" s="2485"/>
      <c r="S110" s="2485"/>
      <c r="T110" s="2485"/>
      <c r="U110" s="2485"/>
      <c r="V110" s="2485"/>
      <c r="W110" s="2485"/>
      <c r="X110" s="2485"/>
      <c r="Y110" s="2485"/>
      <c r="Z110" s="2485"/>
      <c r="AA110" s="2485"/>
      <c r="AB110" s="2485"/>
      <c r="AC110" s="2485"/>
    </row>
    <row r="111" spans="1:29" ht="14.4" thickTop="1">
      <c r="A111" s="595"/>
      <c r="B111" s="469">
        <f>B36</f>
        <v>111</v>
      </c>
      <c r="C111" s="31"/>
      <c r="D111" s="31"/>
      <c r="E111" s="31"/>
      <c r="F111" s="31"/>
      <c r="G111" s="513"/>
      <c r="H111" s="513"/>
      <c r="I111" s="513"/>
      <c r="J111" s="513"/>
      <c r="K111" s="514"/>
      <c r="L111" s="515"/>
      <c r="M111" s="516"/>
      <c r="N111" s="2519"/>
      <c r="O111" s="2519"/>
      <c r="P111" s="2518"/>
      <c r="Q111" s="2506"/>
      <c r="R111" s="2485"/>
      <c r="S111" s="2485"/>
      <c r="T111" s="2485"/>
      <c r="U111" s="2485"/>
      <c r="V111" s="2485"/>
      <c r="W111" s="2485"/>
      <c r="X111" s="2485"/>
      <c r="Y111" s="2485"/>
      <c r="Z111" s="2485"/>
      <c r="AA111" s="2485"/>
      <c r="AB111" s="2485"/>
      <c r="AC111" s="2485"/>
    </row>
    <row r="112" spans="1:29" ht="14.4" thickBot="1">
      <c r="A112" s="367"/>
      <c r="B112" s="474"/>
      <c r="C112" s="501"/>
      <c r="D112" s="501"/>
      <c r="E112" s="501"/>
      <c r="F112" s="501"/>
      <c r="G112" s="467"/>
      <c r="H112" s="467"/>
      <c r="I112" s="467"/>
      <c r="J112" s="467"/>
      <c r="K112" s="467"/>
      <c r="L112" s="467"/>
      <c r="M112" s="468"/>
      <c r="N112" s="2520"/>
      <c r="O112" s="2520"/>
      <c r="P112" s="2518"/>
      <c r="Q112" s="2506"/>
      <c r="R112" s="2485"/>
      <c r="S112" s="2485"/>
      <c r="T112" s="2485"/>
      <c r="U112" s="2485"/>
      <c r="V112" s="2485"/>
      <c r="W112" s="2485"/>
      <c r="X112" s="2485"/>
      <c r="Y112" s="2485"/>
      <c r="Z112" s="2485"/>
      <c r="AA112" s="2485"/>
      <c r="AB112" s="2485"/>
      <c r="AC112" s="2485"/>
    </row>
    <row r="113" spans="1:29" s="408" customFormat="1" ht="14.4" thickTop="1">
      <c r="A113" s="406"/>
      <c r="B113" s="523">
        <f>B37</f>
        <v>111</v>
      </c>
      <c r="C113" s="6"/>
      <c r="D113" s="6"/>
      <c r="E113" s="6"/>
      <c r="F113" s="6"/>
      <c r="G113" s="6"/>
      <c r="H113" s="6"/>
      <c r="I113" s="6"/>
      <c r="J113" s="524"/>
      <c r="K113" s="524"/>
      <c r="L113" s="525"/>
      <c r="M113" s="526"/>
      <c r="N113" s="2521"/>
      <c r="O113" s="2521"/>
      <c r="P113" s="2521"/>
      <c r="Q113" s="2513"/>
      <c r="R113" s="2491"/>
      <c r="S113" s="2491"/>
      <c r="T113" s="2491"/>
      <c r="U113" s="2491"/>
      <c r="V113" s="2491"/>
      <c r="W113" s="2491"/>
      <c r="X113" s="2491"/>
      <c r="Y113" s="2491"/>
      <c r="Z113" s="2491"/>
      <c r="AA113" s="2491"/>
      <c r="AB113" s="2491"/>
      <c r="AC113" s="2491"/>
    </row>
    <row r="114" spans="1:29" s="408" customFormat="1" ht="14.4" thickBot="1">
      <c r="A114" s="484"/>
      <c r="B114" s="477"/>
      <c r="C114" s="446"/>
      <c r="D114" s="597"/>
      <c r="E114" s="597"/>
      <c r="F114" s="597"/>
      <c r="G114" s="597"/>
      <c r="H114" s="597"/>
      <c r="I114" s="597"/>
      <c r="J114" s="597"/>
      <c r="K114" s="597"/>
      <c r="L114" s="597"/>
      <c r="M114" s="619"/>
      <c r="N114" s="2520"/>
      <c r="O114" s="2520"/>
      <c r="P114" s="2521"/>
      <c r="Q114" s="2513"/>
      <c r="R114" s="2491"/>
      <c r="S114" s="2491"/>
      <c r="T114" s="2491"/>
      <c r="U114" s="2491"/>
      <c r="V114" s="2491"/>
      <c r="W114" s="2491"/>
      <c r="X114" s="2491"/>
      <c r="Y114" s="2491"/>
      <c r="Z114" s="2491"/>
      <c r="AA114" s="2491"/>
      <c r="AB114" s="2491"/>
      <c r="AC114" s="2491"/>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9"/>
      <c r="O115" s="2519"/>
      <c r="P115" s="2518"/>
      <c r="Q115" s="2506"/>
      <c r="R115" s="2485"/>
      <c r="S115" s="2485"/>
      <c r="T115" s="2485"/>
      <c r="U115" s="2485"/>
      <c r="V115" s="2485"/>
      <c r="W115" s="2485"/>
      <c r="X115" s="2485"/>
      <c r="Y115" s="2485"/>
      <c r="Z115" s="2485"/>
      <c r="AA115" s="2485"/>
      <c r="AB115" s="2485"/>
      <c r="AC115" s="2485"/>
    </row>
    <row r="116" spans="1:29">
      <c r="A116" s="367"/>
      <c r="B116" s="477"/>
      <c r="C116" s="6"/>
      <c r="D116" s="6"/>
      <c r="E116" s="6"/>
      <c r="F116" s="6"/>
      <c r="G116" s="6"/>
      <c r="H116" s="6"/>
      <c r="I116" s="6"/>
      <c r="J116" s="524"/>
      <c r="K116" s="524"/>
      <c r="L116" s="525"/>
      <c r="M116" s="526"/>
      <c r="N116" s="2519"/>
      <c r="O116" s="2519"/>
      <c r="P116" s="2518"/>
      <c r="Q116" s="2506"/>
      <c r="R116" s="2485"/>
      <c r="S116" s="2485"/>
      <c r="T116" s="2485"/>
      <c r="U116" s="2485"/>
      <c r="V116" s="2485"/>
      <c r="W116" s="2485"/>
      <c r="X116" s="2485"/>
      <c r="Y116" s="2485"/>
      <c r="Z116" s="2485"/>
      <c r="AA116" s="2485"/>
      <c r="AB116" s="2485"/>
      <c r="AC116" s="2485"/>
    </row>
    <row r="117" spans="1:29" ht="14.4" thickBot="1">
      <c r="A117" s="367"/>
      <c r="B117" s="474"/>
      <c r="C117" s="501"/>
      <c r="D117" s="521"/>
      <c r="E117" s="521"/>
      <c r="F117" s="521"/>
      <c r="G117" s="521"/>
      <c r="H117" s="521"/>
      <c r="I117" s="521"/>
      <c r="J117" s="521"/>
      <c r="K117" s="521"/>
      <c r="L117" s="521"/>
      <c r="M117" s="522"/>
      <c r="N117" s="2520"/>
      <c r="O117" s="2520"/>
      <c r="P117" s="2518"/>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9"/>
      <c r="O120" s="2519"/>
      <c r="P120" s="2518"/>
      <c r="Q120" s="2506"/>
      <c r="R120" s="2485"/>
      <c r="S120" s="2485"/>
      <c r="T120" s="2485"/>
      <c r="U120" s="2485"/>
      <c r="V120" s="2485"/>
      <c r="W120" s="2485"/>
      <c r="X120" s="2485"/>
      <c r="Y120" s="2485"/>
      <c r="Z120" s="2485"/>
      <c r="AA120" s="2485"/>
      <c r="AB120" s="2485"/>
      <c r="AC120" s="2485"/>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0"/>
      <c r="O121" s="2520"/>
      <c r="P121" s="2518"/>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1"/>
      <c r="O122" s="2521"/>
      <c r="P122" s="2521"/>
      <c r="Q122" s="2513"/>
      <c r="R122" s="2491"/>
      <c r="S122" s="2491"/>
      <c r="T122" s="2491"/>
      <c r="U122" s="2491"/>
      <c r="V122" s="2491"/>
      <c r="W122" s="2491"/>
      <c r="X122" s="2491"/>
      <c r="Y122" s="2491"/>
      <c r="Z122" s="2491"/>
      <c r="AA122" s="2491"/>
      <c r="AB122" s="2491"/>
      <c r="AC122" s="2491"/>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9"/>
      <c r="O124" s="2519"/>
      <c r="P124" s="2518"/>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0"/>
      <c r="O125" s="2520"/>
      <c r="P125" s="2518"/>
      <c r="Q125" s="2506"/>
      <c r="R125" s="2485"/>
      <c r="S125" s="2485"/>
      <c r="T125" s="2485"/>
      <c r="U125" s="2485"/>
      <c r="V125" s="2485"/>
      <c r="W125" s="2485"/>
      <c r="X125" s="2485"/>
      <c r="Y125" s="2485"/>
      <c r="Z125" s="2485"/>
      <c r="AA125" s="2485"/>
      <c r="AB125" s="2485"/>
      <c r="AC125" s="2485"/>
    </row>
    <row r="126" spans="1:29" ht="14.4" thickTop="1">
      <c r="A126" s="409"/>
      <c r="B126" s="469">
        <f>B43</f>
        <v>111</v>
      </c>
      <c r="C126" s="485"/>
      <c r="D126" s="485"/>
      <c r="E126" s="485"/>
      <c r="F126" s="485"/>
      <c r="G126" s="485"/>
      <c r="H126" s="513"/>
      <c r="I126" s="513"/>
      <c r="J126" s="513"/>
      <c r="K126" s="514"/>
      <c r="L126" s="515"/>
      <c r="M126" s="516"/>
      <c r="N126" s="2519"/>
      <c r="O126" s="2519"/>
      <c r="P126" s="2518"/>
      <c r="Q126" s="2506"/>
      <c r="R126" s="2485"/>
      <c r="S126" s="2485"/>
      <c r="T126" s="2485"/>
      <c r="U126" s="2485"/>
      <c r="V126" s="2485"/>
      <c r="W126" s="2485"/>
      <c r="X126" s="2485"/>
      <c r="Y126" s="2485"/>
      <c r="Z126" s="2485"/>
      <c r="AA126" s="2485"/>
      <c r="AB126" s="2485"/>
      <c r="AC126" s="2485"/>
    </row>
    <row r="127" spans="1:29" ht="14.4" thickBot="1">
      <c r="A127" s="367"/>
      <c r="B127" s="474"/>
      <c r="C127" s="491"/>
      <c r="D127" s="491"/>
      <c r="E127" s="491"/>
      <c r="F127" s="491"/>
      <c r="G127" s="467"/>
      <c r="H127" s="467"/>
      <c r="I127" s="467"/>
      <c r="J127" s="467"/>
      <c r="K127" s="467"/>
      <c r="L127" s="467"/>
      <c r="M127" s="468"/>
      <c r="N127" s="2520"/>
      <c r="O127" s="2520"/>
      <c r="P127" s="2518"/>
      <c r="Q127" s="2506"/>
      <c r="R127" s="2485"/>
      <c r="S127" s="2485"/>
      <c r="T127" s="2485"/>
      <c r="U127" s="2485"/>
      <c r="V127" s="2485"/>
      <c r="W127" s="2485"/>
      <c r="X127" s="2485"/>
      <c r="Y127" s="2485"/>
      <c r="Z127" s="2485"/>
      <c r="AA127" s="2485"/>
      <c r="AB127" s="2485"/>
      <c r="AC127" s="2485"/>
    </row>
    <row r="128" spans="1:29" ht="14.4" thickTop="1">
      <c r="A128" s="409"/>
      <c r="B128" s="469">
        <f>B44</f>
        <v>111</v>
      </c>
      <c r="C128" s="31"/>
      <c r="D128" s="31"/>
      <c r="E128" s="31"/>
      <c r="F128" s="31"/>
      <c r="G128" s="513"/>
      <c r="H128" s="513"/>
      <c r="I128" s="513"/>
      <c r="J128" s="513"/>
      <c r="K128" s="514"/>
      <c r="L128" s="515"/>
      <c r="M128" s="516"/>
      <c r="N128" s="2519"/>
      <c r="O128" s="2519"/>
      <c r="P128" s="2518"/>
      <c r="Q128" s="2506"/>
      <c r="R128" s="2485"/>
      <c r="S128" s="2485"/>
      <c r="T128" s="2485"/>
      <c r="U128" s="2485"/>
      <c r="V128" s="2485"/>
      <c r="W128" s="2485"/>
      <c r="X128" s="2485"/>
      <c r="Y128" s="2485"/>
      <c r="Z128" s="2485"/>
      <c r="AA128" s="2485"/>
      <c r="AB128" s="2485"/>
      <c r="AC128" s="2485"/>
    </row>
    <row r="129" spans="1:29" ht="14.4" thickBot="1">
      <c r="A129" s="367"/>
      <c r="B129" s="474"/>
      <c r="C129" s="501"/>
      <c r="D129" s="501"/>
      <c r="E129" s="501"/>
      <c r="F129" s="501"/>
      <c r="G129" s="467"/>
      <c r="H129" s="467"/>
      <c r="I129" s="467"/>
      <c r="J129" s="467"/>
      <c r="K129" s="467"/>
      <c r="L129" s="467"/>
      <c r="M129" s="468"/>
      <c r="N129" s="2520"/>
      <c r="O129" s="2520"/>
      <c r="P129" s="2518"/>
      <c r="Q129" s="2506"/>
      <c r="R129" s="2485"/>
      <c r="S129" s="2485"/>
      <c r="T129" s="2485"/>
      <c r="U129" s="2485"/>
      <c r="V129" s="2485"/>
      <c r="W129" s="2485"/>
      <c r="X129" s="2485"/>
      <c r="Y129" s="2485"/>
      <c r="Z129" s="2485"/>
      <c r="AA129" s="2485"/>
      <c r="AB129" s="2485"/>
      <c r="AC129" s="2485"/>
    </row>
    <row r="130" spans="1:29" s="408" customFormat="1" ht="14.4" thickTop="1">
      <c r="A130" s="406"/>
      <c r="B130" s="469">
        <f>B45</f>
        <v>111</v>
      </c>
      <c r="C130" s="31"/>
      <c r="D130" s="31"/>
      <c r="E130" s="31"/>
      <c r="F130" s="31"/>
      <c r="G130" s="486"/>
      <c r="H130" s="486"/>
      <c r="I130" s="486"/>
      <c r="J130" s="486"/>
      <c r="K130" s="486"/>
      <c r="L130" s="487"/>
      <c r="M130" s="488"/>
      <c r="N130" s="2521"/>
      <c r="O130" s="2521"/>
      <c r="P130" s="2521"/>
      <c r="Q130" s="2513"/>
      <c r="R130" s="2491"/>
      <c r="S130" s="2491"/>
      <c r="T130" s="2491"/>
      <c r="U130" s="2491"/>
      <c r="V130" s="2491"/>
      <c r="W130" s="2491"/>
      <c r="X130" s="2491"/>
      <c r="Y130" s="2491"/>
      <c r="Z130" s="2491"/>
      <c r="AA130" s="2491"/>
      <c r="AB130" s="2491"/>
      <c r="AC130" s="2491"/>
    </row>
    <row r="131" spans="1:29" s="408" customFormat="1" ht="14.4" thickBot="1">
      <c r="A131" s="499"/>
      <c r="B131" s="620"/>
      <c r="C131" s="501"/>
      <c r="D131" s="501"/>
      <c r="E131" s="501"/>
      <c r="F131" s="501"/>
      <c r="G131" s="521"/>
      <c r="H131" s="521"/>
      <c r="I131" s="521"/>
      <c r="J131" s="521"/>
      <c r="K131" s="521"/>
      <c r="L131" s="521"/>
      <c r="M131" s="522"/>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54" sqref="F54"/>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04" t="s">
        <v>1771</v>
      </c>
      <c r="S4" s="3405"/>
      <c r="T4" s="3404" t="s">
        <v>1772</v>
      </c>
      <c r="U4" s="3405"/>
      <c r="V4" s="3429" t="s">
        <v>1773</v>
      </c>
      <c r="W4" s="3429"/>
      <c r="X4" s="1265"/>
      <c r="Y4" s="3404" t="s">
        <v>1775</v>
      </c>
      <c r="Z4" s="3405"/>
      <c r="AA4" s="3399" t="s">
        <v>1771</v>
      </c>
      <c r="AB4" s="3400" t="s">
        <v>1772</v>
      </c>
      <c r="AC4" s="3399" t="s">
        <v>1773</v>
      </c>
    </row>
    <row r="5" spans="1:29">
      <c r="A5" s="348"/>
      <c r="B5" s="349"/>
      <c r="C5" s="3410" t="s">
        <v>1673</v>
      </c>
      <c r="D5" s="3411"/>
      <c r="E5" s="3408" t="s">
        <v>1674</v>
      </c>
      <c r="F5" s="3409"/>
      <c r="G5" s="3410" t="s">
        <v>1675</v>
      </c>
      <c r="H5" s="3411"/>
      <c r="I5" s="3410" t="s">
        <v>1676</v>
      </c>
      <c r="J5" s="3411"/>
      <c r="K5" s="537"/>
      <c r="L5" s="2484"/>
      <c r="M5" s="2485"/>
      <c r="N5" s="2485"/>
      <c r="O5" s="2485"/>
      <c r="P5" s="3423"/>
      <c r="Q5" s="3424"/>
      <c r="R5" s="3406"/>
      <c r="S5" s="3407"/>
      <c r="T5" s="3406"/>
      <c r="U5" s="3407"/>
      <c r="V5" s="3429"/>
      <c r="W5" s="3429"/>
      <c r="X5" s="1265"/>
      <c r="Y5" s="3406"/>
      <c r="Z5" s="3407"/>
      <c r="AA5" s="3400"/>
      <c r="AB5" s="3400"/>
      <c r="AC5" s="3400"/>
    </row>
    <row r="6" spans="1:29" ht="15" thickBot="1">
      <c r="A6" s="350"/>
      <c r="B6" s="351"/>
      <c r="C6" s="3464" t="s">
        <v>1919</v>
      </c>
      <c r="D6" s="3465"/>
      <c r="E6" s="3466" t="s">
        <v>1919</v>
      </c>
      <c r="F6" s="3467"/>
      <c r="G6" s="3464" t="s">
        <v>1919</v>
      </c>
      <c r="H6" s="3465"/>
      <c r="I6" s="3464" t="s">
        <v>1919</v>
      </c>
      <c r="J6" s="3465"/>
      <c r="K6" s="537" t="s">
        <v>1678</v>
      </c>
      <c r="L6" s="2484"/>
      <c r="M6" s="2485"/>
      <c r="N6" s="2485"/>
      <c r="O6" s="2485"/>
      <c r="P6" s="3425"/>
      <c r="Q6" s="3426"/>
      <c r="R6" s="3406"/>
      <c r="S6" s="3407"/>
      <c r="T6" s="3427"/>
      <c r="U6" s="3428"/>
      <c r="V6" s="3429"/>
      <c r="W6" s="3429"/>
      <c r="X6" s="1265"/>
      <c r="Y6" s="3427"/>
      <c r="Z6" s="3428"/>
      <c r="AA6" s="3401"/>
      <c r="AB6" s="3401"/>
      <c r="AC6" s="3401"/>
    </row>
    <row r="7" spans="1:29" s="102" customFormat="1" ht="15" thickBot="1">
      <c r="A7" s="352" t="s">
        <v>1679</v>
      </c>
      <c r="B7" s="353"/>
      <c r="C7" s="354">
        <f>'数据-取费表'!B2</f>
        <v>45755</v>
      </c>
      <c r="D7" s="355">
        <v>100</v>
      </c>
      <c r="E7" s="356"/>
      <c r="F7" s="357">
        <f>SUMIF(65:65,YEAR(E7)&amp;"-"&amp;INT((MONTH(E7)+2)/3),66:66)</f>
        <v>0</v>
      </c>
      <c r="G7" s="1819"/>
      <c r="H7" s="355">
        <f>SUMIF(65:65,YEAR(G7)&amp;"-"&amp;INT((MONTH(G7)+2)/3),66:66)</f>
        <v>0</v>
      </c>
      <c r="I7" s="1819"/>
      <c r="J7" s="355">
        <f>SUMIF(65:65,YEAR(I7)&amp;"-"&amp;INT((MONTH(I7)+2)/3),66:66)</f>
        <v>0</v>
      </c>
      <c r="K7" s="38"/>
      <c r="L7" s="2486"/>
      <c r="M7" s="2437"/>
      <c r="N7" s="2437"/>
      <c r="O7" s="2437"/>
      <c r="P7" s="3402" t="s">
        <v>1680</v>
      </c>
      <c r="Q7" s="3430"/>
      <c r="R7" s="664" t="s">
        <v>14</v>
      </c>
      <c r="S7" s="665">
        <f t="shared" ref="S7:S15" si="0">F7</f>
        <v>0</v>
      </c>
      <c r="T7" s="664" t="s">
        <v>14</v>
      </c>
      <c r="U7" s="665">
        <f t="shared" ref="U7:U15" si="1">H7</f>
        <v>0</v>
      </c>
      <c r="V7" s="664" t="s">
        <v>14</v>
      </c>
      <c r="W7" s="665">
        <f t="shared" ref="W7:W15" si="2">J7</f>
        <v>0</v>
      </c>
      <c r="X7" s="666"/>
      <c r="Y7" s="3402" t="s">
        <v>1680</v>
      </c>
      <c r="Z7" s="3403"/>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7"/>
      <c r="N8" s="2437"/>
      <c r="O8" s="2437"/>
      <c r="P8" s="3402" t="s">
        <v>1683</v>
      </c>
      <c r="Q8" s="3403"/>
      <c r="R8" s="664" t="s">
        <v>14</v>
      </c>
      <c r="S8" s="665">
        <f t="shared" si="0"/>
        <v>0</v>
      </c>
      <c r="T8" s="664" t="s">
        <v>14</v>
      </c>
      <c r="U8" s="665">
        <f t="shared" si="1"/>
        <v>0</v>
      </c>
      <c r="V8" s="664" t="s">
        <v>14</v>
      </c>
      <c r="W8" s="665">
        <f t="shared" si="2"/>
        <v>0</v>
      </c>
      <c r="X8" s="666"/>
      <c r="Y8" s="3402" t="s">
        <v>1683</v>
      </c>
      <c r="Z8" s="3403"/>
      <c r="AA8" s="50" t="e">
        <f t="shared" ref="AA8:AA40" si="3">D8/F8</f>
        <v>#DIV/0!</v>
      </c>
      <c r="AB8" s="50" t="e">
        <f t="shared" ref="AB8:AB40" si="4">D8/H8</f>
        <v>#DIV/0!</v>
      </c>
      <c r="AC8" s="50" t="e">
        <f t="shared" ref="AC8:AC40" si="5">D8/J8</f>
        <v>#DIV/0!</v>
      </c>
    </row>
    <row r="9" spans="1:29" s="102" customFormat="1" ht="14.4">
      <c r="A9" s="359" t="s">
        <v>1684</v>
      </c>
      <c r="B9" s="60" t="s">
        <v>1685</v>
      </c>
      <c r="C9" s="1822"/>
      <c r="D9" s="59">
        <v>100</v>
      </c>
      <c r="E9" s="1822"/>
      <c r="F9" s="59">
        <f>SUMIF(70:70,E9,71:71)-SUMIF(70:70,C9,71:71)+100</f>
        <v>100</v>
      </c>
      <c r="G9" s="1822"/>
      <c r="H9" s="59">
        <f>SUMIF(70:70,G9,71:71)-SUMIF(70:70,C9,71:71)+100</f>
        <v>100</v>
      </c>
      <c r="I9" s="1822"/>
      <c r="J9" s="59">
        <f>SUMIF(70:70,I9,71:71)-SUMIF(70:70,C9,71:71)+100</f>
        <v>100</v>
      </c>
      <c r="K9" s="38"/>
      <c r="L9" s="2486"/>
      <c r="M9" s="2437"/>
      <c r="N9" s="2437"/>
      <c r="O9" s="2538"/>
      <c r="P9" s="3434" t="s">
        <v>1686</v>
      </c>
      <c r="Q9" s="530" t="str">
        <f t="shared" ref="Q9:Q15" si="6">B9</f>
        <v>用途</v>
      </c>
      <c r="R9" s="664" t="s">
        <v>14</v>
      </c>
      <c r="S9" s="665">
        <f t="shared" si="0"/>
        <v>100</v>
      </c>
      <c r="T9" s="664" t="s">
        <v>14</v>
      </c>
      <c r="U9" s="665">
        <f t="shared" si="1"/>
        <v>100</v>
      </c>
      <c r="V9" s="664" t="s">
        <v>14</v>
      </c>
      <c r="W9" s="665">
        <f t="shared" si="2"/>
        <v>100</v>
      </c>
      <c r="X9" s="666"/>
      <c r="Y9" s="3345"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f>ROUND(100/'数据-取费表'!G16,0)</f>
        <v>115</v>
      </c>
      <c r="G10" s="371"/>
      <c r="H10" s="119">
        <f>ROUND(100/'数据-取费表'!G16,0)</f>
        <v>115</v>
      </c>
      <c r="I10" s="371"/>
      <c r="J10" s="119">
        <f>ROUND(100/'数据-取费表'!G16,0)</f>
        <v>115</v>
      </c>
      <c r="K10" s="592"/>
      <c r="L10" s="2487"/>
      <c r="M10" s="2488"/>
      <c r="N10" s="2488"/>
      <c r="O10" s="2539"/>
      <c r="P10" s="3434"/>
      <c r="Q10" s="530" t="str">
        <f t="shared" si="6"/>
        <v>土地使用年限（年）</v>
      </c>
      <c r="R10" s="664" t="s">
        <v>14</v>
      </c>
      <c r="S10" s="665">
        <f t="shared" si="0"/>
        <v>115</v>
      </c>
      <c r="T10" s="664" t="s">
        <v>14</v>
      </c>
      <c r="U10" s="665">
        <f t="shared" si="1"/>
        <v>115</v>
      </c>
      <c r="V10" s="664" t="s">
        <v>14</v>
      </c>
      <c r="W10" s="665">
        <f t="shared" si="2"/>
        <v>115</v>
      </c>
      <c r="X10" s="666"/>
      <c r="Y10" s="3345"/>
      <c r="Z10" s="50" t="str">
        <f t="shared" si="7"/>
        <v>土地使用年限（年）</v>
      </c>
      <c r="AA10" s="50">
        <f t="shared" si="3"/>
        <v>0.86956521739130432</v>
      </c>
      <c r="AB10" s="50">
        <f t="shared" si="4"/>
        <v>0.86956521739130432</v>
      </c>
      <c r="AC10" s="50">
        <f t="shared" si="5"/>
        <v>0.86956521739130432</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40"/>
      <c r="P11" s="3434"/>
      <c r="Q11" s="530" t="str">
        <f t="shared" si="6"/>
        <v>容积率</v>
      </c>
      <c r="R11" s="664" t="s">
        <v>14</v>
      </c>
      <c r="S11" s="665" t="e">
        <f t="shared" si="0"/>
        <v>#N/A</v>
      </c>
      <c r="T11" s="664" t="s">
        <v>14</v>
      </c>
      <c r="U11" s="665" t="e">
        <f t="shared" si="1"/>
        <v>#N/A</v>
      </c>
      <c r="V11" s="664" t="s">
        <v>14</v>
      </c>
      <c r="W11" s="665" t="e">
        <f t="shared" si="2"/>
        <v>#N/A</v>
      </c>
      <c r="X11" s="666"/>
      <c r="Y11" s="334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7"/>
      <c r="N12" s="2437"/>
      <c r="O12" s="2538"/>
      <c r="P12" s="3434"/>
      <c r="Q12" s="530">
        <f t="shared" si="6"/>
        <v>111</v>
      </c>
      <c r="R12" s="664" t="s">
        <v>14</v>
      </c>
      <c r="S12" s="665">
        <f t="shared" si="0"/>
        <v>100</v>
      </c>
      <c r="T12" s="664" t="s">
        <v>14</v>
      </c>
      <c r="U12" s="665">
        <f t="shared" si="1"/>
        <v>100</v>
      </c>
      <c r="V12" s="664" t="s">
        <v>14</v>
      </c>
      <c r="W12" s="665">
        <f t="shared" si="2"/>
        <v>100</v>
      </c>
      <c r="X12" s="666"/>
      <c r="Y12" s="334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40"/>
      <c r="P13" s="3434"/>
      <c r="Q13" s="530">
        <f t="shared" si="6"/>
        <v>111</v>
      </c>
      <c r="R13" s="664" t="s">
        <v>14</v>
      </c>
      <c r="S13" s="665">
        <f t="shared" si="0"/>
        <v>100</v>
      </c>
      <c r="T13" s="664" t="s">
        <v>14</v>
      </c>
      <c r="U13" s="665">
        <f t="shared" si="1"/>
        <v>100</v>
      </c>
      <c r="V13" s="664" t="s">
        <v>14</v>
      </c>
      <c r="W13" s="665">
        <f t="shared" si="2"/>
        <v>100</v>
      </c>
      <c r="X13" s="666"/>
      <c r="Y13" s="3345"/>
      <c r="Z13" s="50">
        <f t="shared" si="7"/>
        <v>111</v>
      </c>
      <c r="AA13" s="50">
        <f t="shared" si="3"/>
        <v>1</v>
      </c>
      <c r="AB13" s="50">
        <f t="shared" si="4"/>
        <v>1</v>
      </c>
      <c r="AC13" s="50">
        <f t="shared" si="5"/>
        <v>1</v>
      </c>
    </row>
    <row r="14" spans="1:29" ht="15.6"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40"/>
      <c r="P14" s="3434"/>
      <c r="Q14" s="530">
        <f t="shared" si="6"/>
        <v>111</v>
      </c>
      <c r="R14" s="664" t="s">
        <v>14</v>
      </c>
      <c r="S14" s="665">
        <f t="shared" si="0"/>
        <v>100</v>
      </c>
      <c r="T14" s="664" t="s">
        <v>14</v>
      </c>
      <c r="U14" s="665">
        <f t="shared" si="1"/>
        <v>100</v>
      </c>
      <c r="V14" s="664" t="s">
        <v>14</v>
      </c>
      <c r="W14" s="665">
        <f t="shared" si="2"/>
        <v>100</v>
      </c>
      <c r="X14" s="666"/>
      <c r="Y14" s="3345"/>
      <c r="Z14" s="50">
        <f t="shared" si="7"/>
        <v>111</v>
      </c>
      <c r="AA14" s="50">
        <f t="shared" si="3"/>
        <v>1</v>
      </c>
      <c r="AB14" s="50">
        <f t="shared" si="4"/>
        <v>1</v>
      </c>
      <c r="AC14" s="50">
        <f t="shared" si="5"/>
        <v>1</v>
      </c>
    </row>
    <row r="15" spans="1:29" ht="69">
      <c r="A15" s="379" t="s">
        <v>1690</v>
      </c>
      <c r="B15" s="554" t="s">
        <v>1920</v>
      </c>
      <c r="C15" s="1816"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40"/>
      <c r="P15" s="3435" t="s">
        <v>1691</v>
      </c>
      <c r="Q15" s="1263" t="str">
        <f t="shared" si="6"/>
        <v>产业集聚程度</v>
      </c>
      <c r="R15" s="667" t="s">
        <v>14</v>
      </c>
      <c r="S15" s="668">
        <f t="shared" si="0"/>
        <v>100</v>
      </c>
      <c r="T15" s="667" t="s">
        <v>14</v>
      </c>
      <c r="U15" s="668">
        <f t="shared" si="1"/>
        <v>100</v>
      </c>
      <c r="V15" s="667" t="s">
        <v>14</v>
      </c>
      <c r="W15" s="668">
        <f t="shared" si="2"/>
        <v>100</v>
      </c>
      <c r="X15" s="1265"/>
      <c r="Y15" s="3435" t="s">
        <v>1691</v>
      </c>
      <c r="Z15" s="1264" t="str">
        <f t="shared" si="7"/>
        <v>产业集聚程度</v>
      </c>
      <c r="AA15" s="1264">
        <f t="shared" si="3"/>
        <v>1</v>
      </c>
      <c r="AB15" s="1264">
        <f t="shared" si="4"/>
        <v>1</v>
      </c>
      <c r="AC15" s="1264">
        <f t="shared" si="5"/>
        <v>1</v>
      </c>
    </row>
    <row r="16" spans="1:29" ht="15">
      <c r="A16" s="367"/>
      <c r="B16" s="555"/>
      <c r="C16" s="386"/>
      <c r="D16" s="387"/>
      <c r="E16" s="1757"/>
      <c r="F16" s="387"/>
      <c r="G16" s="1757"/>
      <c r="H16" s="389"/>
      <c r="I16" s="1757"/>
      <c r="J16" s="387"/>
      <c r="K16" s="592"/>
      <c r="L16" s="2490"/>
      <c r="M16" s="2485"/>
      <c r="N16" s="2485"/>
      <c r="O16" s="2540"/>
      <c r="P16" s="3436"/>
      <c r="Q16" s="1263"/>
      <c r="R16" s="667"/>
      <c r="S16" s="668"/>
      <c r="T16" s="667"/>
      <c r="U16" s="668"/>
      <c r="V16" s="667"/>
      <c r="W16" s="668"/>
      <c r="X16" s="1265"/>
      <c r="Y16" s="3436"/>
      <c r="Z16" s="1264"/>
      <c r="AA16" s="1264">
        <v>1</v>
      </c>
      <c r="AB16" s="1264">
        <v>1</v>
      </c>
      <c r="AC16" s="1264">
        <v>1</v>
      </c>
    </row>
    <row r="17" spans="1:29" ht="96.6">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40"/>
      <c r="P17" s="3436"/>
      <c r="Q17" s="1263" t="str">
        <f>B17</f>
        <v>交通便捷度</v>
      </c>
      <c r="R17" s="667" t="s">
        <v>14</v>
      </c>
      <c r="S17" s="668">
        <f>F17</f>
        <v>100</v>
      </c>
      <c r="T17" s="667" t="s">
        <v>14</v>
      </c>
      <c r="U17" s="668">
        <f>H17</f>
        <v>100</v>
      </c>
      <c r="V17" s="667" t="s">
        <v>14</v>
      </c>
      <c r="W17" s="668">
        <f>J17</f>
        <v>100</v>
      </c>
      <c r="X17" s="1265"/>
      <c r="Y17" s="3436"/>
      <c r="Z17" s="1264" t="str">
        <f>Q17</f>
        <v>交通便捷度</v>
      </c>
      <c r="AA17" s="1264">
        <f t="shared" si="3"/>
        <v>1</v>
      </c>
      <c r="AB17" s="1264">
        <f t="shared" si="4"/>
        <v>1</v>
      </c>
      <c r="AC17" s="1264">
        <f t="shared" si="5"/>
        <v>1</v>
      </c>
    </row>
    <row r="18" spans="1:29" ht="15">
      <c r="A18" s="367"/>
      <c r="B18" s="401"/>
      <c r="C18" s="386"/>
      <c r="D18" s="387"/>
      <c r="E18" s="1751"/>
      <c r="F18" s="387"/>
      <c r="G18" s="1751"/>
      <c r="H18" s="387"/>
      <c r="I18" s="1750"/>
      <c r="J18" s="387"/>
      <c r="K18" s="592"/>
      <c r="L18" s="2490"/>
      <c r="M18" s="2485"/>
      <c r="N18" s="2485"/>
      <c r="O18" s="2540"/>
      <c r="P18" s="3436"/>
      <c r="Q18" s="1263"/>
      <c r="R18" s="667"/>
      <c r="S18" s="668"/>
      <c r="T18" s="667"/>
      <c r="U18" s="668"/>
      <c r="V18" s="667"/>
      <c r="W18" s="668"/>
      <c r="X18" s="1265"/>
      <c r="Y18" s="3436"/>
      <c r="Z18" s="1264"/>
      <c r="AA18" s="1264">
        <v>1</v>
      </c>
      <c r="AB18" s="1264">
        <v>1</v>
      </c>
      <c r="AC18" s="1264">
        <v>1</v>
      </c>
    </row>
    <row r="19" spans="1:29" ht="28.8">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40"/>
      <c r="P19" s="3436"/>
      <c r="Q19" s="1263" t="str">
        <f t="shared" ref="Q19:Q33" si="8">B19</f>
        <v>区域土地利用方向</v>
      </c>
      <c r="R19" s="667" t="s">
        <v>14</v>
      </c>
      <c r="S19" s="668">
        <f>F19</f>
        <v>100</v>
      </c>
      <c r="T19" s="667" t="s">
        <v>14</v>
      </c>
      <c r="U19" s="668">
        <f>H19</f>
        <v>100</v>
      </c>
      <c r="V19" s="667" t="s">
        <v>14</v>
      </c>
      <c r="W19" s="668">
        <f>J19</f>
        <v>100</v>
      </c>
      <c r="X19" s="1265"/>
      <c r="Y19" s="3436"/>
      <c r="Z19" s="1264" t="str">
        <f>Q19</f>
        <v>区域土地利用方向</v>
      </c>
      <c r="AA19" s="1264">
        <f t="shared" si="3"/>
        <v>1</v>
      </c>
      <c r="AB19" s="1264">
        <f t="shared" si="4"/>
        <v>1</v>
      </c>
      <c r="AC19" s="1264">
        <f t="shared" si="5"/>
        <v>1</v>
      </c>
    </row>
    <row r="20" spans="1:29" ht="15">
      <c r="A20" s="348"/>
      <c r="B20" s="401"/>
      <c r="C20" s="386"/>
      <c r="D20" s="387"/>
      <c r="E20" s="1751"/>
      <c r="F20" s="387"/>
      <c r="G20" s="1751"/>
      <c r="H20" s="387"/>
      <c r="I20" s="1751"/>
      <c r="J20" s="387"/>
      <c r="K20" s="698"/>
      <c r="L20" s="2490"/>
      <c r="M20" s="2485"/>
      <c r="N20" s="2485"/>
      <c r="O20" s="2540"/>
      <c r="P20" s="3436"/>
      <c r="Q20" s="1263"/>
      <c r="R20" s="667"/>
      <c r="S20" s="668"/>
      <c r="T20" s="667"/>
      <c r="U20" s="668"/>
      <c r="V20" s="667"/>
      <c r="W20" s="668"/>
      <c r="X20" s="1265"/>
      <c r="Y20" s="3436"/>
      <c r="Z20" s="1264"/>
      <c r="AA20" s="1264"/>
      <c r="AB20" s="1264"/>
      <c r="AC20" s="1264"/>
    </row>
    <row r="21" spans="1:29" ht="82.8">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40"/>
      <c r="P21" s="3436"/>
      <c r="Q21" s="1263" t="str">
        <f t="shared" si="8"/>
        <v>环境状况</v>
      </c>
      <c r="R21" s="667" t="s">
        <v>14</v>
      </c>
      <c r="S21" s="668">
        <f>F21</f>
        <v>100</v>
      </c>
      <c r="T21" s="667" t="s">
        <v>14</v>
      </c>
      <c r="U21" s="668">
        <f>H21</f>
        <v>100</v>
      </c>
      <c r="V21" s="667" t="s">
        <v>14</v>
      </c>
      <c r="W21" s="668">
        <f>J21</f>
        <v>100</v>
      </c>
      <c r="X21" s="1265"/>
      <c r="Y21" s="3436"/>
      <c r="Z21" s="1264" t="str">
        <f>Q21</f>
        <v>环境状况</v>
      </c>
      <c r="AA21" s="1264">
        <f t="shared" si="3"/>
        <v>1</v>
      </c>
      <c r="AB21" s="1264">
        <f t="shared" si="4"/>
        <v>1</v>
      </c>
      <c r="AC21" s="1264">
        <f t="shared" si="5"/>
        <v>1</v>
      </c>
    </row>
    <row r="22" spans="1:29" ht="15">
      <c r="A22" s="348"/>
      <c r="B22" s="401"/>
      <c r="C22" s="386"/>
      <c r="D22" s="387"/>
      <c r="E22" s="1757"/>
      <c r="F22" s="387"/>
      <c r="G22" s="1757"/>
      <c r="H22" s="387"/>
      <c r="I22" s="386"/>
      <c r="J22" s="387"/>
      <c r="K22" s="592"/>
      <c r="L22" s="2490"/>
      <c r="M22" s="2485"/>
      <c r="N22" s="2485"/>
      <c r="O22" s="2540"/>
      <c r="P22" s="3436"/>
      <c r="Q22" s="1263"/>
      <c r="R22" s="667"/>
      <c r="S22" s="668"/>
      <c r="T22" s="667"/>
      <c r="U22" s="668"/>
      <c r="V22" s="667"/>
      <c r="W22" s="668"/>
      <c r="X22" s="1265"/>
      <c r="Y22" s="3436"/>
      <c r="Z22" s="1264"/>
      <c r="AA22" s="1264">
        <v>1</v>
      </c>
      <c r="AB22" s="1264">
        <v>1</v>
      </c>
      <c r="AC22" s="1264">
        <v>1</v>
      </c>
    </row>
    <row r="23" spans="1:29" s="102" customFormat="1" ht="41.4">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7"/>
      <c r="N23" s="2437"/>
      <c r="O23" s="2538"/>
      <c r="P23" s="3436"/>
      <c r="Q23" s="530" t="str">
        <f t="shared" si="8"/>
        <v>公共配套设施</v>
      </c>
      <c r="R23" s="664" t="s">
        <v>14</v>
      </c>
      <c r="S23" s="665">
        <f>F23</f>
        <v>100</v>
      </c>
      <c r="T23" s="664" t="s">
        <v>14</v>
      </c>
      <c r="U23" s="665">
        <f>H23</f>
        <v>100</v>
      </c>
      <c r="V23" s="664" t="s">
        <v>14</v>
      </c>
      <c r="W23" s="665">
        <f>J23</f>
        <v>100</v>
      </c>
      <c r="X23" s="666"/>
      <c r="Y23" s="3436"/>
      <c r="Z23" s="50" t="str">
        <f>Q23</f>
        <v>公共配套设施</v>
      </c>
      <c r="AA23" s="1264">
        <f>D23/F23</f>
        <v>1</v>
      </c>
      <c r="AB23" s="1264">
        <f>D23/H23</f>
        <v>1</v>
      </c>
      <c r="AC23" s="1264">
        <f>D23/J23</f>
        <v>1</v>
      </c>
    </row>
    <row r="24" spans="1:29" s="102" customFormat="1" ht="15">
      <c r="A24" s="443"/>
      <c r="B24" s="401"/>
      <c r="C24" s="1823"/>
      <c r="D24" s="387"/>
      <c r="E24" s="1757"/>
      <c r="F24" s="387"/>
      <c r="G24" s="1757"/>
      <c r="H24" s="387"/>
      <c r="I24" s="386"/>
      <c r="J24" s="387"/>
      <c r="K24" s="592"/>
      <c r="L24" s="2486"/>
      <c r="M24" s="2437"/>
      <c r="N24" s="2437"/>
      <c r="O24" s="2538"/>
      <c r="P24" s="3436"/>
      <c r="Q24" s="530"/>
      <c r="R24" s="664"/>
      <c r="S24" s="665"/>
      <c r="T24" s="664"/>
      <c r="U24" s="665"/>
      <c r="V24" s="664"/>
      <c r="W24" s="665"/>
      <c r="X24" s="666"/>
      <c r="Y24" s="3436"/>
      <c r="Z24" s="50"/>
      <c r="AA24" s="50">
        <v>1</v>
      </c>
      <c r="AB24" s="50">
        <v>1</v>
      </c>
      <c r="AC24" s="50">
        <v>1</v>
      </c>
    </row>
    <row r="25" spans="1:29" s="102" customFormat="1" ht="41.4">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7"/>
      <c r="N25" s="2437"/>
      <c r="O25" s="2538"/>
      <c r="P25" s="3436"/>
      <c r="Q25" s="530" t="str">
        <f t="shared" ref="Q25" si="9">B25</f>
        <v>基础设施水平</v>
      </c>
      <c r="R25" s="664" t="s">
        <v>14</v>
      </c>
      <c r="S25" s="665">
        <f>F25</f>
        <v>100</v>
      </c>
      <c r="T25" s="664" t="s">
        <v>14</v>
      </c>
      <c r="U25" s="665">
        <f>H25</f>
        <v>100</v>
      </c>
      <c r="V25" s="664" t="s">
        <v>14</v>
      </c>
      <c r="W25" s="665">
        <f>J25</f>
        <v>100</v>
      </c>
      <c r="X25" s="666"/>
      <c r="Y25" s="3436"/>
      <c r="Z25" s="50" t="str">
        <f>Q25</f>
        <v>基础设施水平</v>
      </c>
      <c r="AA25" s="1264">
        <f>D25/F25</f>
        <v>1</v>
      </c>
      <c r="AB25" s="1264">
        <f>D25/H25</f>
        <v>1</v>
      </c>
      <c r="AC25" s="1264">
        <f>D25/J25</f>
        <v>1</v>
      </c>
    </row>
    <row r="26" spans="1:29" s="102" customFormat="1" ht="15">
      <c r="A26" s="443"/>
      <c r="B26" s="401"/>
      <c r="C26" s="1823"/>
      <c r="D26" s="387"/>
      <c r="E26" s="1824"/>
      <c r="F26" s="387"/>
      <c r="G26" s="1824"/>
      <c r="H26" s="387"/>
      <c r="I26" s="1824"/>
      <c r="J26" s="387"/>
      <c r="K26" s="592"/>
      <c r="L26" s="2486"/>
      <c r="M26" s="2437"/>
      <c r="N26" s="2437"/>
      <c r="O26" s="2538"/>
      <c r="P26" s="3436"/>
      <c r="Q26" s="530"/>
      <c r="R26" s="664"/>
      <c r="S26" s="665"/>
      <c r="T26" s="664"/>
      <c r="U26" s="665"/>
      <c r="V26" s="664"/>
      <c r="W26" s="665"/>
      <c r="X26" s="666"/>
      <c r="Y26" s="3436"/>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40"/>
      <c r="P27" s="3436"/>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36"/>
      <c r="Z27" s="1264" t="str">
        <f t="shared" ref="Z27:Z40" si="13">Q27</f>
        <v>临街状况</v>
      </c>
      <c r="AA27" s="1264">
        <f t="shared" si="3"/>
        <v>1</v>
      </c>
      <c r="AB27" s="1264">
        <f t="shared" si="4"/>
        <v>1</v>
      </c>
      <c r="AC27" s="1264">
        <f t="shared" si="5"/>
        <v>1</v>
      </c>
    </row>
    <row r="28" spans="1:29" ht="28.8">
      <c r="A28" s="367"/>
      <c r="B28" s="557" t="s">
        <v>1815</v>
      </c>
      <c r="C28" s="1835">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40"/>
      <c r="P28" s="3436"/>
      <c r="Q28" s="1263" t="str">
        <f t="shared" si="8"/>
        <v>毗邻道路的类型与等级</v>
      </c>
      <c r="R28" s="667" t="s">
        <v>14</v>
      </c>
      <c r="S28" s="668">
        <f t="shared" si="10"/>
        <v>100</v>
      </c>
      <c r="T28" s="667" t="s">
        <v>14</v>
      </c>
      <c r="U28" s="668">
        <f t="shared" si="11"/>
        <v>100</v>
      </c>
      <c r="V28" s="667" t="s">
        <v>14</v>
      </c>
      <c r="W28" s="668">
        <f t="shared" si="12"/>
        <v>100</v>
      </c>
      <c r="X28" s="1265"/>
      <c r="Y28" s="3436"/>
      <c r="Z28" s="1264" t="str">
        <f t="shared" si="13"/>
        <v>毗邻道路的类型与等级</v>
      </c>
      <c r="AA28" s="1264">
        <f t="shared" si="3"/>
        <v>1</v>
      </c>
      <c r="AB28" s="1264">
        <f t="shared" si="4"/>
        <v>1</v>
      </c>
      <c r="AC28" s="1264">
        <f t="shared" si="5"/>
        <v>1</v>
      </c>
    </row>
    <row r="29" spans="1:29" ht="15">
      <c r="A29" s="367"/>
      <c r="B29" s="401"/>
      <c r="C29" s="386"/>
      <c r="D29" s="387"/>
      <c r="E29" s="1757"/>
      <c r="F29" s="387"/>
      <c r="G29" s="1757"/>
      <c r="H29" s="387"/>
      <c r="I29" s="1757"/>
      <c r="J29" s="387"/>
      <c r="K29" s="539"/>
      <c r="L29" s="2490"/>
      <c r="M29" s="2485"/>
      <c r="N29" s="2485"/>
      <c r="O29" s="2540"/>
      <c r="P29" s="3436"/>
      <c r="Q29" s="1263"/>
      <c r="R29" s="667"/>
      <c r="S29" s="668"/>
      <c r="T29" s="667"/>
      <c r="U29" s="668"/>
      <c r="V29" s="667"/>
      <c r="W29" s="668"/>
      <c r="X29" s="1265"/>
      <c r="Y29" s="3436"/>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40"/>
      <c r="P30" s="3436"/>
      <c r="Q30" s="1263" t="str">
        <f t="shared" si="8"/>
        <v>土地级别</v>
      </c>
      <c r="R30" s="667" t="s">
        <v>14</v>
      </c>
      <c r="S30" s="668">
        <f t="shared" si="10"/>
        <v>100</v>
      </c>
      <c r="T30" s="667" t="s">
        <v>14</v>
      </c>
      <c r="U30" s="668">
        <f t="shared" si="11"/>
        <v>100</v>
      </c>
      <c r="V30" s="667" t="s">
        <v>14</v>
      </c>
      <c r="W30" s="668">
        <f t="shared" si="12"/>
        <v>100</v>
      </c>
      <c r="X30" s="1265"/>
      <c r="Y30" s="3436"/>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40"/>
      <c r="P31" s="3436"/>
      <c r="Q31" s="1263">
        <f t="shared" si="8"/>
        <v>111</v>
      </c>
      <c r="R31" s="667" t="s">
        <v>14</v>
      </c>
      <c r="S31" s="668">
        <f t="shared" si="10"/>
        <v>100</v>
      </c>
      <c r="T31" s="667" t="s">
        <v>14</v>
      </c>
      <c r="U31" s="668">
        <f t="shared" si="11"/>
        <v>100</v>
      </c>
      <c r="V31" s="667" t="s">
        <v>14</v>
      </c>
      <c r="W31" s="668">
        <f t="shared" si="12"/>
        <v>100</v>
      </c>
      <c r="X31" s="1265"/>
      <c r="Y31" s="3436"/>
      <c r="Z31" s="1264">
        <f t="shared" si="13"/>
        <v>111</v>
      </c>
      <c r="AA31" s="1264">
        <f t="shared" si="3"/>
        <v>1</v>
      </c>
      <c r="AB31" s="1264">
        <f t="shared" si="4"/>
        <v>1</v>
      </c>
      <c r="AC31" s="1264">
        <f t="shared" si="5"/>
        <v>1</v>
      </c>
    </row>
    <row r="32" spans="1:29" ht="15">
      <c r="A32" s="595"/>
      <c r="B32" s="1836">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40"/>
      <c r="P32" s="3459" t="s">
        <v>1696</v>
      </c>
      <c r="Q32" s="1263">
        <f t="shared" si="8"/>
        <v>111</v>
      </c>
      <c r="R32" s="667" t="s">
        <v>14</v>
      </c>
      <c r="S32" s="668">
        <f t="shared" si="10"/>
        <v>100</v>
      </c>
      <c r="T32" s="667" t="s">
        <v>14</v>
      </c>
      <c r="U32" s="668">
        <f t="shared" si="11"/>
        <v>100</v>
      </c>
      <c r="V32" s="667" t="s">
        <v>14</v>
      </c>
      <c r="W32" s="668">
        <f t="shared" si="12"/>
        <v>100</v>
      </c>
      <c r="X32" s="1265"/>
      <c r="Y32" s="3440" t="s">
        <v>1696</v>
      </c>
      <c r="Z32" s="1264">
        <f t="shared" si="13"/>
        <v>111</v>
      </c>
      <c r="AA32" s="1264">
        <f t="shared" si="3"/>
        <v>1</v>
      </c>
      <c r="AB32" s="1264">
        <f t="shared" si="4"/>
        <v>1</v>
      </c>
      <c r="AC32" s="1264">
        <f t="shared" si="5"/>
        <v>1</v>
      </c>
    </row>
    <row r="33" spans="1:31" s="408" customFormat="1" ht="15.6" thickBot="1">
      <c r="A33" s="596"/>
      <c r="B33" s="1837">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1"/>
      <c r="P33" s="3440"/>
      <c r="Q33" s="1263">
        <f t="shared" si="8"/>
        <v>111</v>
      </c>
      <c r="R33" s="669" t="s">
        <v>14</v>
      </c>
      <c r="S33" s="670">
        <f t="shared" si="10"/>
        <v>100</v>
      </c>
      <c r="T33" s="669" t="s">
        <v>14</v>
      </c>
      <c r="U33" s="670">
        <f t="shared" si="11"/>
        <v>100</v>
      </c>
      <c r="V33" s="669" t="s">
        <v>14</v>
      </c>
      <c r="W33" s="670">
        <f t="shared" si="12"/>
        <v>100</v>
      </c>
      <c r="X33" s="671"/>
      <c r="Y33" s="3440"/>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40"/>
      <c r="P34" s="3440"/>
      <c r="Q34" s="1263" t="str">
        <f>B34</f>
        <v>宗地面积</v>
      </c>
      <c r="R34" s="667" t="s">
        <v>14</v>
      </c>
      <c r="S34" s="668" t="e">
        <f t="shared" si="10"/>
        <v>#N/A</v>
      </c>
      <c r="T34" s="667" t="s">
        <v>14</v>
      </c>
      <c r="U34" s="668" t="e">
        <f t="shared" si="11"/>
        <v>#N/A</v>
      </c>
      <c r="V34" s="667" t="s">
        <v>14</v>
      </c>
      <c r="W34" s="668" t="e">
        <f t="shared" si="12"/>
        <v>#N/A</v>
      </c>
      <c r="X34" s="1265"/>
      <c r="Y34" s="3440"/>
      <c r="Z34" s="1264" t="str">
        <f t="shared" si="13"/>
        <v>宗地面积</v>
      </c>
      <c r="AA34" s="1264" t="e">
        <f t="shared" si="3"/>
        <v>#N/A</v>
      </c>
      <c r="AB34" s="1264" t="e">
        <f t="shared" si="4"/>
        <v>#N/A</v>
      </c>
      <c r="AC34" s="1264"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0"/>
      <c r="M35" s="2485"/>
      <c r="N35" s="2485"/>
      <c r="O35" s="2540"/>
      <c r="P35" s="3440"/>
      <c r="Q35" s="1263" t="str">
        <f t="shared" ref="Q35:Q40" si="14">B35</f>
        <v>宗地形状</v>
      </c>
      <c r="R35" s="667" t="s">
        <v>14</v>
      </c>
      <c r="S35" s="668">
        <f t="shared" si="10"/>
        <v>100</v>
      </c>
      <c r="T35" s="667" t="s">
        <v>14</v>
      </c>
      <c r="U35" s="668">
        <f t="shared" si="11"/>
        <v>100</v>
      </c>
      <c r="V35" s="667" t="s">
        <v>14</v>
      </c>
      <c r="W35" s="668">
        <f t="shared" si="12"/>
        <v>100</v>
      </c>
      <c r="X35" s="1265"/>
      <c r="Y35" s="3440"/>
      <c r="Z35" s="1264" t="str">
        <f t="shared" si="13"/>
        <v>宗地形状</v>
      </c>
      <c r="AA35" s="1264">
        <f t="shared" si="3"/>
        <v>1</v>
      </c>
      <c r="AB35" s="1264">
        <f t="shared" si="4"/>
        <v>1</v>
      </c>
      <c r="AC35" s="1264">
        <f t="shared" si="5"/>
        <v>1</v>
      </c>
    </row>
    <row r="36" spans="1:31" s="102" customFormat="1" ht="15">
      <c r="A36" s="410"/>
      <c r="B36" s="364" t="s">
        <v>1877</v>
      </c>
      <c r="C36" s="1825"/>
      <c r="D36" s="119">
        <v>100</v>
      </c>
      <c r="E36" s="1825"/>
      <c r="F36" s="374">
        <f>SUMIF(112:112,E36,113:113)-SUMIF(112:112,C36,113:113)+100</f>
        <v>100</v>
      </c>
      <c r="G36" s="1825"/>
      <c r="H36" s="374">
        <f>SUMIF(112:112,G36,113:113)-SUMIF(112:112,C36,113:113)+100</f>
        <v>100</v>
      </c>
      <c r="I36" s="1825"/>
      <c r="J36" s="374">
        <f>SUMIF(112:112,I36,113:113)-SUMIF(112:112,C36,113:113)+100</f>
        <v>100</v>
      </c>
      <c r="K36" s="538"/>
      <c r="L36" s="2486"/>
      <c r="M36" s="2437"/>
      <c r="N36" s="2437"/>
      <c r="O36" s="2538"/>
      <c r="P36" s="3440"/>
      <c r="Q36" s="1263" t="str">
        <f t="shared" si="14"/>
        <v>宗地开发程度</v>
      </c>
      <c r="R36" s="664" t="s">
        <v>14</v>
      </c>
      <c r="S36" s="665">
        <f t="shared" si="10"/>
        <v>100</v>
      </c>
      <c r="T36" s="664" t="s">
        <v>14</v>
      </c>
      <c r="U36" s="665">
        <f t="shared" si="11"/>
        <v>100</v>
      </c>
      <c r="V36" s="664" t="s">
        <v>14</v>
      </c>
      <c r="W36" s="665">
        <f t="shared" si="12"/>
        <v>100</v>
      </c>
      <c r="X36" s="666"/>
      <c r="Y36" s="3440"/>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0"/>
      <c r="M37" s="2485"/>
      <c r="N37" s="2485"/>
      <c r="O37" s="2540"/>
      <c r="P37" s="3440" t="s">
        <v>1696</v>
      </c>
      <c r="Q37" s="1263" t="str">
        <f t="shared" si="14"/>
        <v>工程地质条件</v>
      </c>
      <c r="R37" s="667" t="s">
        <v>14</v>
      </c>
      <c r="S37" s="668">
        <f t="shared" si="10"/>
        <v>100</v>
      </c>
      <c r="T37" s="667" t="s">
        <v>14</v>
      </c>
      <c r="U37" s="668">
        <f t="shared" si="11"/>
        <v>100</v>
      </c>
      <c r="V37" s="667" t="s">
        <v>14</v>
      </c>
      <c r="W37" s="668">
        <f t="shared" si="12"/>
        <v>100</v>
      </c>
      <c r="X37" s="1265"/>
      <c r="Y37" s="3440"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40"/>
      <c r="P38" s="3440"/>
      <c r="Q38" s="1263">
        <f t="shared" si="14"/>
        <v>111</v>
      </c>
      <c r="R38" s="667" t="s">
        <v>14</v>
      </c>
      <c r="S38" s="668">
        <f t="shared" si="10"/>
        <v>100</v>
      </c>
      <c r="T38" s="667" t="s">
        <v>14</v>
      </c>
      <c r="U38" s="668">
        <f t="shared" si="11"/>
        <v>100</v>
      </c>
      <c r="V38" s="667" t="s">
        <v>14</v>
      </c>
      <c r="W38" s="668">
        <f t="shared" si="12"/>
        <v>100</v>
      </c>
      <c r="X38" s="1265"/>
      <c r="Y38" s="3440"/>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40"/>
      <c r="P39" s="3440"/>
      <c r="Q39" s="1263">
        <f t="shared" si="14"/>
        <v>111</v>
      </c>
      <c r="R39" s="667" t="s">
        <v>14</v>
      </c>
      <c r="S39" s="668">
        <f t="shared" si="10"/>
        <v>100</v>
      </c>
      <c r="T39" s="667" t="s">
        <v>14</v>
      </c>
      <c r="U39" s="668">
        <f t="shared" si="11"/>
        <v>100</v>
      </c>
      <c r="V39" s="667" t="s">
        <v>14</v>
      </c>
      <c r="W39" s="668">
        <f t="shared" si="12"/>
        <v>100</v>
      </c>
      <c r="X39" s="1265"/>
      <c r="Y39" s="3440"/>
      <c r="Z39" s="1264">
        <f t="shared" si="13"/>
        <v>111</v>
      </c>
      <c r="AA39" s="1264">
        <f t="shared" si="3"/>
        <v>1</v>
      </c>
      <c r="AB39" s="1264">
        <f t="shared" si="4"/>
        <v>1</v>
      </c>
      <c r="AC39" s="1264">
        <f t="shared" si="5"/>
        <v>1</v>
      </c>
    </row>
    <row r="40" spans="1:31" s="408" customFormat="1" ht="15.6" thickBot="1">
      <c r="A40" s="406"/>
      <c r="B40" s="1067">
        <v>111</v>
      </c>
      <c r="C40" s="1826"/>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1"/>
      <c r="P40" s="3440"/>
      <c r="Q40" s="1263">
        <f t="shared" si="14"/>
        <v>111</v>
      </c>
      <c r="R40" s="669" t="s">
        <v>14</v>
      </c>
      <c r="S40" s="670">
        <f t="shared" si="10"/>
        <v>100</v>
      </c>
      <c r="T40" s="669" t="s">
        <v>14</v>
      </c>
      <c r="U40" s="670">
        <f t="shared" si="11"/>
        <v>100</v>
      </c>
      <c r="V40" s="669" t="s">
        <v>14</v>
      </c>
      <c r="W40" s="670">
        <f t="shared" si="12"/>
        <v>100</v>
      </c>
      <c r="X40" s="671"/>
      <c r="Y40" s="3440"/>
      <c r="Z40" s="672">
        <f t="shared" si="13"/>
        <v>111</v>
      </c>
      <c r="AA40" s="1264">
        <f t="shared" si="3"/>
        <v>1</v>
      </c>
      <c r="AB40" s="1264">
        <f t="shared" si="4"/>
        <v>1</v>
      </c>
      <c r="AC40" s="1264">
        <f t="shared" si="5"/>
        <v>1</v>
      </c>
    </row>
    <row r="41" spans="1:31" ht="14.4">
      <c r="A41" s="416" t="s">
        <v>1844</v>
      </c>
      <c r="B41" s="1827" t="s">
        <v>1922</v>
      </c>
      <c r="C41" s="602" t="s">
        <v>0</v>
      </c>
      <c r="D41" s="418"/>
      <c r="E41" s="419"/>
      <c r="F41" s="420"/>
      <c r="G41" s="421"/>
      <c r="H41" s="422"/>
      <c r="I41" s="419"/>
      <c r="J41" s="422"/>
      <c r="K41" s="674"/>
      <c r="L41" s="2492"/>
      <c r="M41" s="2485"/>
      <c r="N41" s="2485"/>
      <c r="O41" s="2485"/>
      <c r="P41" s="3434" t="str">
        <f>A41</f>
        <v>成交单价</v>
      </c>
      <c r="Q41" s="3434"/>
      <c r="R41" s="3429">
        <f>E41</f>
        <v>0</v>
      </c>
      <c r="S41" s="3429"/>
      <c r="T41" s="3429">
        <f>G41</f>
        <v>0</v>
      </c>
      <c r="U41" s="3429"/>
      <c r="V41" s="3429">
        <f>I41</f>
        <v>0</v>
      </c>
      <c r="W41" s="3429"/>
      <c r="X41" s="385"/>
      <c r="Y41" s="673"/>
      <c r="Z41" s="385"/>
      <c r="AA41" s="385"/>
      <c r="AB41" s="385"/>
      <c r="AC41" s="385"/>
    </row>
    <row r="42" spans="1:31" ht="15" thickBot="1">
      <c r="A42" s="423" t="s">
        <v>1793</v>
      </c>
      <c r="B42" s="603"/>
      <c r="C42" s="426" t="e">
        <f>R43</f>
        <v>#DIV/0!</v>
      </c>
      <c r="D42" s="2138" t="s">
        <v>2138</v>
      </c>
      <c r="E42" s="426" t="e">
        <f>R42</f>
        <v>#DIV/0!</v>
      </c>
      <c r="F42" s="2139"/>
      <c r="G42" s="425" t="e">
        <f>T42</f>
        <v>#DIV/0!</v>
      </c>
      <c r="H42" s="2139"/>
      <c r="I42" s="426" t="e">
        <f>V42</f>
        <v>#DIV/0!</v>
      </c>
      <c r="J42" s="2139"/>
      <c r="K42" s="2141">
        <f>F42+H42+J42</f>
        <v>0</v>
      </c>
      <c r="L42" s="2492"/>
      <c r="M42" s="2485"/>
      <c r="N42" s="2485"/>
      <c r="O42" s="2485"/>
      <c r="P42" s="3434" t="str">
        <f>A42</f>
        <v>比较价值（元/平方米）</v>
      </c>
      <c r="Q42" s="3434"/>
      <c r="R42" s="3461" t="e">
        <f>ROUND(PRODUCT(R41,AA7:AA40),0)</f>
        <v>#DIV/0!</v>
      </c>
      <c r="S42" s="3461"/>
      <c r="T42" s="3461" t="e">
        <f>ROUND(PRODUCT(T41,AB7:AB40),0)</f>
        <v>#DIV/0!</v>
      </c>
      <c r="U42" s="3461"/>
      <c r="V42" s="3461" t="e">
        <f>ROUND(PRODUCT(V41,AC7:AC40),0)</f>
        <v>#DIV/0!</v>
      </c>
      <c r="W42" s="3461"/>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2"/>
      <c r="M43" s="2485"/>
      <c r="N43" s="2485"/>
      <c r="O43" s="2485"/>
      <c r="P43" s="3431" t="str">
        <f>A43</f>
        <v>估价对象XX用房的比较价值（楼面单价，元/平方米）</v>
      </c>
      <c r="Q43" s="3432"/>
      <c r="R43" s="3462" t="e">
        <f>ROUND(IF(D42="简单平均",AVERAGE(R42:W42),R42*F42+T42*H42+V42*J42),0)</f>
        <v>#DIV/0!</v>
      </c>
      <c r="S43" s="3462"/>
      <c r="T43" s="3462"/>
      <c r="U43" s="3462"/>
      <c r="V43" s="3462"/>
      <c r="W43" s="3462"/>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4.4" thickBot="1">
      <c r="A49" s="2495"/>
      <c r="B49" s="2498"/>
      <c r="C49" s="657"/>
      <c r="D49" s="655"/>
      <c r="E49" s="655"/>
      <c r="F49" s="655"/>
      <c r="G49" s="655"/>
      <c r="H49" s="655"/>
      <c r="I49" s="655"/>
      <c r="J49" s="655"/>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8.8">
      <c r="A50" s="604" t="s">
        <v>1881</v>
      </c>
      <c r="B50" s="605" t="s">
        <v>1882</v>
      </c>
      <c r="C50" s="1828" t="s">
        <v>1883</v>
      </c>
      <c r="D50" s="1829" t="s">
        <v>1884</v>
      </c>
      <c r="E50" s="606" t="s">
        <v>1885</v>
      </c>
      <c r="F50" s="607" t="s">
        <v>1886</v>
      </c>
      <c r="G50" s="3417" t="s">
        <v>1887</v>
      </c>
      <c r="H50" s="3463"/>
      <c r="I50" s="1264" t="s">
        <v>1923</v>
      </c>
      <c r="J50" s="1264">
        <f>项目基本情况!F35</f>
        <v>0</v>
      </c>
      <c r="K50" s="1831"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90">
        <v>1</v>
      </c>
      <c r="E51" s="610">
        <f>'数据-汇总表'!E8+'数据-汇总表'!E9</f>
        <v>57.2</v>
      </c>
      <c r="F51" s="611" t="e">
        <f t="shared" ref="F51:F60" si="15">ROUND(B51*E51/10000,0)</f>
        <v>#DIV/0!</v>
      </c>
      <c r="G51" s="3416"/>
      <c r="H51" s="3434"/>
      <c r="I51" s="727">
        <v>1</v>
      </c>
      <c r="J51" s="727">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2" customFormat="1">
      <c r="A52" s="613" t="s">
        <v>1891</v>
      </c>
      <c r="B52" s="210" t="e">
        <f>ROUND($C$43*C52*D52,0)</f>
        <v>#DIV/0!</v>
      </c>
      <c r="C52" s="163">
        <f t="shared" ref="C52:C60" si="16">IF($C$50="北京市系数",I52,J52)</f>
        <v>0</v>
      </c>
      <c r="D52" s="891">
        <v>0.25</v>
      </c>
      <c r="E52" s="614"/>
      <c r="F52" s="611" t="e">
        <f t="shared" si="15"/>
        <v>#DIV/0!</v>
      </c>
      <c r="G52" s="2748" t="s">
        <v>1892</v>
      </c>
      <c r="H52" s="834">
        <f>项目基本情况!B37</f>
        <v>0</v>
      </c>
      <c r="I52" s="727">
        <f>SUMIF(修正!A57:A68,H52,修正!B57:B68)</f>
        <v>0</v>
      </c>
      <c r="J52" s="728"/>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2" customFormat="1">
      <c r="A53" s="613" t="s">
        <v>1893</v>
      </c>
      <c r="B53" s="210" t="e">
        <f t="shared" ref="B53:B60" si="17">ROUND($C$43*C53*D53,0)</f>
        <v>#DIV/0!</v>
      </c>
      <c r="C53" s="163">
        <f t="shared" si="16"/>
        <v>0</v>
      </c>
      <c r="D53" s="891">
        <v>0.25</v>
      </c>
      <c r="E53" s="614"/>
      <c r="F53" s="611" t="e">
        <f t="shared" si="15"/>
        <v>#DIV/0!</v>
      </c>
      <c r="G53" s="2749"/>
      <c r="H53" s="834">
        <f>项目基本情况!B37</f>
        <v>0</v>
      </c>
      <c r="I53" s="727">
        <f>SUMIF(修正!A57:A68,H53,修正!C57:C68)</f>
        <v>0</v>
      </c>
      <c r="J53" s="728"/>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2" customFormat="1">
      <c r="A54" s="613" t="s">
        <v>1894</v>
      </c>
      <c r="B54" s="210" t="e">
        <f t="shared" si="17"/>
        <v>#DIV/0!</v>
      </c>
      <c r="C54" s="163">
        <f t="shared" si="16"/>
        <v>0</v>
      </c>
      <c r="D54" s="891">
        <v>0.25</v>
      </c>
      <c r="E54" s="614"/>
      <c r="F54" s="611" t="e">
        <f t="shared" si="15"/>
        <v>#DIV/0!</v>
      </c>
      <c r="G54" s="2749"/>
      <c r="H54" s="834">
        <f>项目基本情况!B37</f>
        <v>0</v>
      </c>
      <c r="I54" s="727">
        <f>SUMIF(修正!A57:A68,H54,修正!D57:D68)</f>
        <v>0</v>
      </c>
      <c r="J54" s="728"/>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2" customFormat="1" hidden="1">
      <c r="A55" s="613"/>
      <c r="B55" s="210"/>
      <c r="C55" s="163"/>
      <c r="D55" s="891"/>
      <c r="E55" s="614"/>
      <c r="F55" s="611"/>
      <c r="G55" s="2750"/>
      <c r="H55" s="834"/>
      <c r="I55" s="727"/>
      <c r="J55" s="728"/>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2" customFormat="1">
      <c r="A56" s="613" t="s">
        <v>1895</v>
      </c>
      <c r="B56" s="210" t="e">
        <f t="shared" si="17"/>
        <v>#DIV/0!</v>
      </c>
      <c r="C56" s="163">
        <f t="shared" si="16"/>
        <v>0</v>
      </c>
      <c r="D56" s="891">
        <v>0.25</v>
      </c>
      <c r="E56" s="209">
        <f>'数据-汇总表'!E11</f>
        <v>0</v>
      </c>
      <c r="F56" s="611" t="e">
        <f t="shared" si="15"/>
        <v>#DIV/0!</v>
      </c>
      <c r="G56" s="1832" t="s">
        <v>1896</v>
      </c>
      <c r="H56" s="834">
        <f>项目基本情况!C37</f>
        <v>0</v>
      </c>
      <c r="I56" s="727">
        <f>SUMIF(修正!A57:A68,H56,修正!E57:E68)</f>
        <v>0</v>
      </c>
      <c r="J56" s="728"/>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2" customFormat="1">
      <c r="A59" s="613" t="s">
        <v>1901</v>
      </c>
      <c r="B59" s="210" t="e">
        <f t="shared" si="17"/>
        <v>#DIV/0!</v>
      </c>
      <c r="C59" s="163">
        <f t="shared" si="16"/>
        <v>0</v>
      </c>
      <c r="D59" s="891">
        <v>0.25</v>
      </c>
      <c r="E59" s="209">
        <f>'数据-汇总表'!E14</f>
        <v>0</v>
      </c>
      <c r="F59" s="611" t="e">
        <f t="shared" si="15"/>
        <v>#DIV/0!</v>
      </c>
      <c r="G59" s="1832" t="s">
        <v>1892</v>
      </c>
      <c r="H59" s="834">
        <f>项目基本情况!B37</f>
        <v>0</v>
      </c>
      <c r="I59" s="727">
        <f>SUMIF(修正!A57:A68,H59,修正!G57:G68)</f>
        <v>0</v>
      </c>
      <c r="J59" s="728"/>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2" customFormat="1" ht="14.4" thickBot="1">
      <c r="A60" s="613" t="s">
        <v>1902</v>
      </c>
      <c r="B60" s="210" t="e">
        <f t="shared" si="17"/>
        <v>#DIV/0!</v>
      </c>
      <c r="C60" s="163">
        <f t="shared" si="16"/>
        <v>0</v>
      </c>
      <c r="D60" s="891">
        <v>0.25</v>
      </c>
      <c r="E60" s="209">
        <f>'数据-汇总表'!E15</f>
        <v>0</v>
      </c>
      <c r="F60" s="611" t="e">
        <f t="shared" si="15"/>
        <v>#DIV/0!</v>
      </c>
      <c r="G60" s="1833" t="s">
        <v>1896</v>
      </c>
      <c r="H60" s="844">
        <f>项目基本情况!C37</f>
        <v>0</v>
      </c>
      <c r="I60" s="727">
        <f>SUMIF(修正!A57:A68,H60,修正!G57:G68)</f>
        <v>0</v>
      </c>
      <c r="J60" s="728"/>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1"/>
      <c r="B62" s="875"/>
      <c r="C62" s="877"/>
      <c r="D62" s="861"/>
      <c r="E62" s="861"/>
      <c r="F62" s="861"/>
      <c r="G62" s="861"/>
      <c r="H62" s="861"/>
      <c r="I62" s="861"/>
      <c r="J62" s="861"/>
      <c r="K62" s="835"/>
      <c r="L62" s="836"/>
      <c r="M62" s="861"/>
      <c r="N62" s="861"/>
      <c r="O62" s="861"/>
      <c r="P62" s="2485"/>
      <c r="Q62" s="2485"/>
      <c r="R62" s="2485"/>
      <c r="S62" s="2485"/>
      <c r="T62" s="2485"/>
      <c r="U62" s="2485"/>
      <c r="V62" s="2485"/>
      <c r="W62" s="2485"/>
      <c r="X62" s="2485"/>
      <c r="Y62" s="2485"/>
      <c r="Z62" s="2485"/>
      <c r="AA62" s="2485"/>
      <c r="AB62" s="2485"/>
      <c r="AC62" s="2485"/>
      <c r="AD62" s="2485"/>
      <c r="AE62" s="2485"/>
    </row>
    <row r="63" spans="1:31">
      <c r="A63" s="861"/>
      <c r="B63" s="875"/>
      <c r="C63" s="656" t="str">
        <f>YEAR(C7)&amp;"-"&amp;MONTH(C7)&amp;"-1"</f>
        <v>2025-4-1</v>
      </c>
      <c r="D63" s="656">
        <f>EDATE(C63,-3)</f>
        <v>45658</v>
      </c>
      <c r="E63" s="656">
        <f>EDATE(D63,-3)</f>
        <v>45566</v>
      </c>
      <c r="F63" s="656">
        <f t="shared" ref="F63:O63" si="18">EDATE(E63,-3)</f>
        <v>45474</v>
      </c>
      <c r="G63" s="656">
        <f t="shared" si="18"/>
        <v>45383</v>
      </c>
      <c r="H63" s="656">
        <f t="shared" si="18"/>
        <v>45292</v>
      </c>
      <c r="I63" s="656">
        <f t="shared" si="18"/>
        <v>45200</v>
      </c>
      <c r="J63" s="656">
        <f t="shared" si="18"/>
        <v>45108</v>
      </c>
      <c r="K63" s="656">
        <f t="shared" si="18"/>
        <v>45017</v>
      </c>
      <c r="L63" s="656">
        <f t="shared" si="18"/>
        <v>44927</v>
      </c>
      <c r="M63" s="656">
        <f t="shared" si="18"/>
        <v>44835</v>
      </c>
      <c r="N63" s="656">
        <f t="shared" si="18"/>
        <v>44743</v>
      </c>
      <c r="O63" s="656">
        <f t="shared" si="18"/>
        <v>44652</v>
      </c>
      <c r="P63" s="2485"/>
      <c r="Q63" s="2485"/>
      <c r="R63" s="2485"/>
      <c r="S63" s="2485"/>
      <c r="T63" s="2485"/>
      <c r="U63" s="2485"/>
      <c r="V63" s="2485"/>
      <c r="W63" s="2485"/>
      <c r="X63" s="2485"/>
      <c r="Y63" s="2485"/>
      <c r="Z63" s="2485"/>
      <c r="AA63" s="2485"/>
      <c r="AB63" s="2485"/>
      <c r="AC63" s="2485"/>
      <c r="AD63" s="2485"/>
      <c r="AE63" s="2485"/>
    </row>
    <row r="64" spans="1:31" ht="22.2" thickBot="1">
      <c r="A64" s="658" t="s">
        <v>1798</v>
      </c>
      <c r="B64" s="385"/>
      <c r="C64" s="659"/>
      <c r="D64" s="659"/>
      <c r="E64" s="659"/>
      <c r="F64" s="660"/>
      <c r="G64" s="660"/>
      <c r="H64" s="659"/>
      <c r="I64" s="659"/>
      <c r="J64" s="659"/>
      <c r="K64" s="661"/>
      <c r="L64" s="662"/>
      <c r="M64" s="659"/>
      <c r="N64" s="659"/>
      <c r="O64" s="886"/>
      <c r="P64" s="2535"/>
      <c r="Q64" s="2506"/>
      <c r="R64" s="2485"/>
      <c r="S64" s="2485"/>
      <c r="T64" s="2485"/>
      <c r="U64" s="2485"/>
      <c r="V64" s="2485"/>
      <c r="W64" s="2485"/>
      <c r="X64" s="2485"/>
      <c r="Y64" s="2485"/>
      <c r="Z64" s="2485"/>
      <c r="AA64" s="2485"/>
      <c r="AB64" s="2485"/>
      <c r="AC64" s="2485"/>
      <c r="AD64" s="2485"/>
      <c r="AE64" s="2485"/>
    </row>
    <row r="65" spans="1:31" s="442" customFormat="1" ht="14.4">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38"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6"/>
      <c r="Q66" s="2437"/>
      <c r="R66" s="2437"/>
      <c r="S66" s="2437"/>
      <c r="T66" s="2437"/>
      <c r="U66" s="2437"/>
      <c r="V66" s="2437"/>
      <c r="W66" s="2437"/>
      <c r="X66" s="2437"/>
      <c r="Y66" s="2437"/>
      <c r="Z66" s="2437"/>
      <c r="AA66" s="2437"/>
      <c r="AB66" s="2437"/>
      <c r="AC66" s="2437"/>
      <c r="AD66" s="2437"/>
      <c r="AE66" s="2437"/>
    </row>
    <row r="67" spans="1:31" s="102" customFormat="1" ht="15" thickBot="1">
      <c r="A67" s="449" t="s">
        <v>1716</v>
      </c>
      <c r="B67" s="450"/>
      <c r="C67" s="451"/>
      <c r="D67" s="452"/>
      <c r="E67" s="452"/>
      <c r="F67" s="452"/>
      <c r="G67" s="452"/>
      <c r="H67" s="452"/>
      <c r="I67" s="452"/>
      <c r="J67" s="452"/>
      <c r="K67" s="452"/>
      <c r="L67" s="452"/>
      <c r="M67" s="453"/>
      <c r="N67" s="453"/>
      <c r="O67" s="454"/>
      <c r="P67" s="2506"/>
      <c r="Q67" s="2506"/>
      <c r="R67" s="2437"/>
      <c r="S67" s="2437"/>
      <c r="T67" s="2437"/>
      <c r="U67" s="2437"/>
      <c r="V67" s="2437"/>
      <c r="W67" s="2437"/>
      <c r="X67" s="2437"/>
      <c r="Y67" s="2437"/>
      <c r="Z67" s="2437"/>
      <c r="AA67" s="2437"/>
      <c r="AB67" s="2437"/>
      <c r="AC67" s="2437"/>
      <c r="AD67" s="2437"/>
      <c r="AE67" s="2437"/>
    </row>
    <row r="68" spans="1:31" s="102" customFormat="1" ht="14.4">
      <c r="A68" s="455" t="s">
        <v>1681</v>
      </c>
      <c r="B68" s="444"/>
      <c r="C68" s="456" t="s">
        <v>1776</v>
      </c>
      <c r="D68" s="31"/>
      <c r="E68" s="31"/>
      <c r="F68" s="31"/>
      <c r="G68" s="31"/>
      <c r="H68" s="31"/>
      <c r="I68" s="31"/>
      <c r="J68" s="31"/>
      <c r="K68" s="31"/>
      <c r="L68" s="457"/>
      <c r="M68" s="458"/>
      <c r="N68" s="2518"/>
      <c r="O68" s="2518"/>
      <c r="P68" s="2542"/>
      <c r="Q68" s="2506"/>
      <c r="R68" s="2437"/>
      <c r="S68" s="2437"/>
      <c r="T68" s="2437"/>
      <c r="U68" s="2437"/>
      <c r="V68" s="2437"/>
      <c r="W68" s="2437"/>
      <c r="X68" s="2437"/>
      <c r="Y68" s="2437"/>
      <c r="Z68" s="2437"/>
      <c r="AA68" s="2437"/>
      <c r="AB68" s="2437"/>
      <c r="AC68" s="2437"/>
      <c r="AD68" s="2437"/>
      <c r="AE68" s="2437"/>
    </row>
    <row r="69" spans="1:31" s="102" customFormat="1" ht="14.4" thickBot="1">
      <c r="A69" s="455"/>
      <c r="B69" s="444"/>
      <c r="C69" s="563">
        <v>100</v>
      </c>
      <c r="D69" s="446"/>
      <c r="E69" s="446"/>
      <c r="F69" s="446"/>
      <c r="G69" s="446"/>
      <c r="H69" s="446"/>
      <c r="I69" s="446"/>
      <c r="J69" s="446"/>
      <c r="K69" s="446"/>
      <c r="L69" s="446"/>
      <c r="M69" s="448"/>
      <c r="N69" s="2518"/>
      <c r="O69" s="2518"/>
      <c r="P69" s="2506"/>
      <c r="Q69" s="2506"/>
      <c r="R69" s="2437"/>
      <c r="S69" s="2437"/>
      <c r="T69" s="2437"/>
      <c r="U69" s="2437"/>
      <c r="V69" s="2437"/>
      <c r="W69" s="2437"/>
      <c r="X69" s="2437"/>
      <c r="Y69" s="2437"/>
      <c r="Z69" s="2437"/>
      <c r="AA69" s="2437"/>
      <c r="AB69" s="2437"/>
      <c r="AC69" s="2437"/>
      <c r="AD69" s="2437"/>
      <c r="AE69" s="2437"/>
    </row>
    <row r="70" spans="1:31" ht="14.4">
      <c r="A70" s="379" t="s">
        <v>1719</v>
      </c>
      <c r="B70" s="460" t="s">
        <v>1685</v>
      </c>
      <c r="C70" s="462"/>
      <c r="D70" s="462"/>
      <c r="E70" s="462"/>
      <c r="F70" s="462"/>
      <c r="G70" s="462"/>
      <c r="H70" s="462"/>
      <c r="I70" s="462"/>
      <c r="J70" s="462"/>
      <c r="K70" s="463"/>
      <c r="L70" s="464"/>
      <c r="M70" s="465"/>
      <c r="N70" s="2519"/>
      <c r="O70" s="2519"/>
      <c r="P70" s="2518"/>
      <c r="Q70" s="2506"/>
      <c r="R70" s="2485"/>
      <c r="S70" s="2485"/>
      <c r="T70" s="2485"/>
      <c r="U70" s="2485"/>
      <c r="V70" s="2485"/>
      <c r="W70" s="2485"/>
      <c r="X70" s="2485"/>
      <c r="Y70" s="2485"/>
      <c r="Z70" s="2485"/>
      <c r="AA70" s="2485"/>
      <c r="AB70" s="2485"/>
      <c r="AC70" s="2485"/>
      <c r="AD70" s="2485"/>
      <c r="AE70" s="2485"/>
    </row>
    <row r="71" spans="1:31" ht="14.4" thickBot="1">
      <c r="A71" s="367"/>
      <c r="B71" s="466"/>
      <c r="C71" s="467"/>
      <c r="D71" s="467"/>
      <c r="E71" s="467"/>
      <c r="F71" s="467"/>
      <c r="G71" s="467"/>
      <c r="H71" s="467"/>
      <c r="I71" s="467"/>
      <c r="J71" s="467"/>
      <c r="K71" s="467"/>
      <c r="L71" s="467"/>
      <c r="M71" s="468"/>
      <c r="N71" s="2520"/>
      <c r="O71" s="2520"/>
      <c r="P71" s="2518"/>
      <c r="Q71" s="2506"/>
      <c r="R71" s="2485"/>
      <c r="S71" s="2485"/>
      <c r="T71" s="2485"/>
      <c r="U71" s="2485"/>
      <c r="V71" s="2485"/>
      <c r="W71" s="2485"/>
      <c r="X71" s="2485"/>
      <c r="Y71" s="2485"/>
      <c r="Z71" s="2485"/>
      <c r="AA71" s="2485"/>
      <c r="AB71" s="2485"/>
      <c r="AC71" s="2485"/>
      <c r="AD71" s="2485"/>
      <c r="AE71" s="2485"/>
    </row>
    <row r="72" spans="1:31" ht="29.4" thickTop="1">
      <c r="A72" s="367"/>
      <c r="B72" s="469" t="s">
        <v>1688</v>
      </c>
      <c r="C72" s="470"/>
      <c r="D72" s="470"/>
      <c r="E72" s="470"/>
      <c r="F72" s="470"/>
      <c r="G72" s="470"/>
      <c r="H72" s="470"/>
      <c r="I72" s="470"/>
      <c r="J72" s="470"/>
      <c r="K72" s="471"/>
      <c r="L72" s="472"/>
      <c r="M72" s="473"/>
      <c r="N72" s="2519"/>
      <c r="O72" s="2519"/>
      <c r="P72" s="2518"/>
      <c r="Q72" s="2506"/>
      <c r="R72" s="2485"/>
      <c r="S72" s="2485"/>
      <c r="T72" s="2485"/>
      <c r="U72" s="2485"/>
      <c r="V72" s="2485"/>
      <c r="W72" s="2485"/>
      <c r="X72" s="2485"/>
      <c r="Y72" s="2485"/>
      <c r="Z72" s="2485"/>
      <c r="AA72" s="2485"/>
      <c r="AB72" s="2485"/>
      <c r="AC72" s="2485"/>
      <c r="AD72" s="2485"/>
      <c r="AE72" s="2485"/>
    </row>
    <row r="73" spans="1:31" ht="14.4" thickBot="1">
      <c r="A73" s="367"/>
      <c r="B73" s="474"/>
      <c r="C73" s="475"/>
      <c r="D73" s="475"/>
      <c r="E73" s="475"/>
      <c r="F73" s="475"/>
      <c r="G73" s="475"/>
      <c r="H73" s="475"/>
      <c r="I73" s="475"/>
      <c r="J73" s="475"/>
      <c r="K73" s="475"/>
      <c r="L73" s="475"/>
      <c r="M73" s="476"/>
      <c r="N73" s="2520"/>
      <c r="O73" s="2520"/>
      <c r="P73" s="2518"/>
      <c r="Q73" s="2506"/>
      <c r="R73" s="2485"/>
      <c r="S73" s="2485"/>
      <c r="T73" s="2485"/>
      <c r="U73" s="2485"/>
      <c r="V73" s="2485"/>
      <c r="W73" s="2485"/>
      <c r="X73" s="2485"/>
      <c r="Y73" s="2485"/>
      <c r="Z73" s="2485"/>
      <c r="AA73" s="2485"/>
      <c r="AB73" s="2485"/>
      <c r="AC73" s="2485"/>
      <c r="AD73" s="2485"/>
      <c r="AE73" s="2485"/>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c r="A75" s="367"/>
      <c r="B75" s="479"/>
      <c r="C75" s="480"/>
      <c r="D75" s="480"/>
      <c r="E75" s="480"/>
      <c r="F75" s="480"/>
      <c r="G75" s="480"/>
      <c r="H75" s="480"/>
      <c r="I75" s="480"/>
      <c r="J75" s="480"/>
      <c r="K75" s="481"/>
      <c r="L75" s="482"/>
      <c r="M75" s="483"/>
      <c r="N75" s="2519"/>
      <c r="O75" s="2519"/>
      <c r="P75" s="2518"/>
      <c r="Q75" s="2506"/>
      <c r="R75" s="2485"/>
      <c r="S75" s="2485"/>
      <c r="T75" s="2485"/>
      <c r="U75" s="2485"/>
      <c r="V75" s="2485"/>
      <c r="W75" s="2485"/>
      <c r="X75" s="2485"/>
      <c r="Y75" s="2485"/>
      <c r="Z75" s="2485"/>
      <c r="AA75" s="2485"/>
      <c r="AB75" s="2485"/>
      <c r="AC75" s="2485"/>
      <c r="AD75" s="2485"/>
      <c r="AE75" s="2485"/>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8" customFormat="1" ht="14.4" thickTop="1">
      <c r="A77" s="484"/>
      <c r="B77" s="469">
        <f>B12</f>
        <v>111</v>
      </c>
      <c r="C77" s="485"/>
      <c r="D77" s="485"/>
      <c r="E77" s="485"/>
      <c r="F77" s="485"/>
      <c r="G77" s="485"/>
      <c r="H77" s="486"/>
      <c r="I77" s="486"/>
      <c r="J77" s="486"/>
      <c r="K77" s="486"/>
      <c r="L77" s="487"/>
      <c r="M77" s="488"/>
      <c r="N77" s="2521"/>
      <c r="O77" s="2521"/>
      <c r="P77" s="2521"/>
      <c r="Q77" s="2513"/>
      <c r="R77" s="2491"/>
      <c r="S77" s="2491"/>
      <c r="T77" s="2491"/>
      <c r="U77" s="2491"/>
      <c r="V77" s="2491"/>
      <c r="W77" s="2491"/>
      <c r="X77" s="2491"/>
      <c r="Y77" s="2491"/>
      <c r="Z77" s="2491"/>
      <c r="AA77" s="2491"/>
      <c r="AB77" s="2491"/>
      <c r="AC77" s="2491"/>
      <c r="AD77" s="2491"/>
      <c r="AE77" s="2491"/>
    </row>
    <row r="78" spans="1:31" s="408" customFormat="1" ht="14.4" thickBot="1">
      <c r="A78" s="484"/>
      <c r="B78" s="474"/>
      <c r="C78" s="491"/>
      <c r="D78" s="467"/>
      <c r="E78" s="467"/>
      <c r="F78" s="467"/>
      <c r="G78" s="467"/>
      <c r="H78" s="467"/>
      <c r="I78" s="467"/>
      <c r="J78" s="467"/>
      <c r="K78" s="467"/>
      <c r="L78" s="467"/>
      <c r="M78" s="468"/>
      <c r="N78" s="2520"/>
      <c r="O78" s="2520"/>
      <c r="P78" s="2521"/>
      <c r="Q78" s="2513"/>
      <c r="R78" s="2491"/>
      <c r="S78" s="2491"/>
      <c r="T78" s="2491"/>
      <c r="U78" s="2491"/>
      <c r="V78" s="2491"/>
      <c r="W78" s="2491"/>
      <c r="X78" s="2491"/>
      <c r="Y78" s="2491"/>
      <c r="Z78" s="2491"/>
      <c r="AA78" s="2491"/>
      <c r="AB78" s="2491"/>
      <c r="AC78" s="2491"/>
      <c r="AD78" s="2491"/>
      <c r="AE78" s="2491"/>
    </row>
    <row r="79" spans="1:31" s="408" customFormat="1" ht="14.4" thickTop="1">
      <c r="A79" s="484"/>
      <c r="B79" s="469">
        <f>B13</f>
        <v>111</v>
      </c>
      <c r="C79" s="485"/>
      <c r="D79" s="485"/>
      <c r="E79" s="485"/>
      <c r="F79" s="485"/>
      <c r="G79" s="485"/>
      <c r="H79" s="486"/>
      <c r="I79" s="486"/>
      <c r="J79" s="486"/>
      <c r="K79" s="486"/>
      <c r="L79" s="487"/>
      <c r="M79" s="488"/>
      <c r="N79" s="2521"/>
      <c r="O79" s="2521"/>
      <c r="P79" s="2491"/>
      <c r="Q79" s="2515"/>
      <c r="R79" s="2491"/>
      <c r="S79" s="2491"/>
      <c r="T79" s="2491"/>
      <c r="U79" s="2491"/>
      <c r="V79" s="2491"/>
      <c r="W79" s="2491"/>
      <c r="X79" s="2491"/>
      <c r="Y79" s="2491"/>
      <c r="Z79" s="2491"/>
      <c r="AA79" s="2491"/>
      <c r="AB79" s="2491"/>
      <c r="AC79" s="2491"/>
      <c r="AD79" s="2491"/>
      <c r="AE79" s="2491"/>
    </row>
    <row r="80" spans="1:31" s="408" customFormat="1" ht="14.4" thickBot="1">
      <c r="A80" s="484"/>
      <c r="B80" s="474"/>
      <c r="C80" s="491"/>
      <c r="D80" s="491"/>
      <c r="E80" s="491"/>
      <c r="F80" s="491"/>
      <c r="G80" s="491"/>
      <c r="H80" s="493"/>
      <c r="I80" s="493"/>
      <c r="J80" s="493"/>
      <c r="K80" s="493"/>
      <c r="L80" s="493"/>
      <c r="M80" s="494"/>
      <c r="N80" s="2521"/>
      <c r="O80" s="2521"/>
      <c r="P80" s="2521"/>
      <c r="Q80" s="2513"/>
      <c r="R80" s="2491"/>
      <c r="S80" s="2491"/>
      <c r="T80" s="2491"/>
      <c r="U80" s="2491"/>
      <c r="V80" s="2491"/>
      <c r="W80" s="2491"/>
      <c r="X80" s="2491"/>
      <c r="Y80" s="2491"/>
      <c r="Z80" s="2491"/>
      <c r="AA80" s="2491"/>
      <c r="AB80" s="2491"/>
      <c r="AC80" s="2491"/>
      <c r="AD80" s="2491"/>
      <c r="AE80" s="2491"/>
    </row>
    <row r="81" spans="1:31" s="408" customFormat="1" ht="14.4" thickTop="1">
      <c r="A81" s="484"/>
      <c r="B81" s="477">
        <f>B14</f>
        <v>111</v>
      </c>
      <c r="C81" s="31"/>
      <c r="D81" s="31"/>
      <c r="E81" s="31"/>
      <c r="F81" s="31"/>
      <c r="G81" s="31"/>
      <c r="H81" s="495"/>
      <c r="I81" s="495"/>
      <c r="J81" s="495"/>
      <c r="K81" s="495"/>
      <c r="L81" s="496"/>
      <c r="M81" s="497"/>
      <c r="N81" s="2521"/>
      <c r="O81" s="2521"/>
      <c r="P81" s="2546"/>
      <c r="Q81" s="2513"/>
      <c r="R81" s="2491"/>
      <c r="S81" s="2491"/>
      <c r="T81" s="2491"/>
      <c r="U81" s="2491"/>
      <c r="V81" s="2491"/>
      <c r="W81" s="2491"/>
      <c r="X81" s="2491"/>
      <c r="Y81" s="2491"/>
      <c r="Z81" s="2491"/>
      <c r="AA81" s="2491"/>
      <c r="AB81" s="2491"/>
      <c r="AC81" s="2491"/>
      <c r="AD81" s="2491"/>
      <c r="AE81" s="2491"/>
    </row>
    <row r="82" spans="1:31" s="408" customFormat="1" ht="14.4" thickBot="1">
      <c r="A82" s="499"/>
      <c r="B82" s="500"/>
      <c r="C82" s="501"/>
      <c r="D82" s="501"/>
      <c r="E82" s="501"/>
      <c r="F82" s="501"/>
      <c r="G82" s="501"/>
      <c r="H82" s="502"/>
      <c r="I82" s="502"/>
      <c r="J82" s="502"/>
      <c r="K82" s="502"/>
      <c r="L82" s="502"/>
      <c r="M82" s="503"/>
      <c r="N82" s="2521"/>
      <c r="O82" s="2521"/>
      <c r="P82" s="2521"/>
      <c r="Q82" s="2513"/>
      <c r="R82" s="2491"/>
      <c r="S82" s="2491"/>
      <c r="T82" s="2491"/>
      <c r="U82" s="2491"/>
      <c r="V82" s="2491"/>
      <c r="W82" s="2491"/>
      <c r="X82" s="2491"/>
      <c r="Y82" s="2491"/>
      <c r="Z82" s="2491"/>
      <c r="AA82" s="2491"/>
      <c r="AB82" s="2491"/>
      <c r="AC82" s="2491"/>
      <c r="AD82" s="2491"/>
      <c r="AE82" s="2491"/>
    </row>
    <row r="83" spans="1:31" ht="14.4">
      <c r="A83" s="379" t="s">
        <v>1690</v>
      </c>
      <c r="B83" s="460" t="s">
        <v>1829</v>
      </c>
      <c r="C83" s="504" t="s">
        <v>1721</v>
      </c>
      <c r="D83" s="504" t="s">
        <v>1722</v>
      </c>
      <c r="E83" s="504" t="s">
        <v>1723</v>
      </c>
      <c r="F83" s="504" t="s">
        <v>1724</v>
      </c>
      <c r="G83" s="504" t="s">
        <v>1725</v>
      </c>
      <c r="H83" s="461"/>
      <c r="I83" s="461"/>
      <c r="J83" s="461"/>
      <c r="K83" s="505"/>
      <c r="L83" s="506"/>
      <c r="M83" s="507"/>
      <c r="N83" s="2519"/>
      <c r="O83" s="2519"/>
      <c r="P83" s="2543"/>
      <c r="Q83" s="2506"/>
      <c r="R83" s="2485"/>
      <c r="S83" s="2485"/>
      <c r="T83" s="2485"/>
      <c r="U83" s="2485"/>
      <c r="V83" s="2485"/>
      <c r="W83" s="2485"/>
      <c r="X83" s="2485"/>
      <c r="Y83" s="2485"/>
      <c r="Z83" s="2485"/>
      <c r="AA83" s="2485"/>
      <c r="AB83" s="2485"/>
      <c r="AC83" s="2485"/>
      <c r="AD83" s="2485"/>
      <c r="AE83" s="2485"/>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0"/>
      <c r="O84" s="2520"/>
      <c r="P84" s="2518"/>
      <c r="Q84" s="2506"/>
      <c r="R84" s="2485"/>
      <c r="S84" s="2485"/>
      <c r="T84" s="2485"/>
      <c r="U84" s="2485"/>
      <c r="V84" s="2485"/>
      <c r="W84" s="2485"/>
      <c r="X84" s="2485"/>
      <c r="Y84" s="2485"/>
      <c r="Z84" s="2485"/>
      <c r="AA84" s="2485"/>
      <c r="AB84" s="2485"/>
      <c r="AC84" s="2485"/>
      <c r="AD84" s="2485"/>
      <c r="AE84" s="2485"/>
    </row>
    <row r="85" spans="1:31" ht="15" thickTop="1">
      <c r="A85" s="367"/>
      <c r="B85" s="469" t="s">
        <v>1726</v>
      </c>
      <c r="C85" s="509" t="s">
        <v>1721</v>
      </c>
      <c r="D85" s="509" t="s">
        <v>1722</v>
      </c>
      <c r="E85" s="509" t="s">
        <v>1723</v>
      </c>
      <c r="F85" s="509" t="s">
        <v>1724</v>
      </c>
      <c r="G85" s="509" t="s">
        <v>1725</v>
      </c>
      <c r="H85" s="470"/>
      <c r="I85" s="470"/>
      <c r="J85" s="470"/>
      <c r="K85" s="471"/>
      <c r="L85" s="472"/>
      <c r="M85" s="473"/>
      <c r="N85" s="2519"/>
      <c r="O85" s="2519"/>
      <c r="P85" s="2518"/>
      <c r="Q85" s="2506"/>
      <c r="R85" s="2485"/>
      <c r="S85" s="2485"/>
      <c r="T85" s="2485"/>
      <c r="U85" s="2485"/>
      <c r="V85" s="2485"/>
      <c r="W85" s="2485"/>
      <c r="X85" s="2485"/>
      <c r="Y85" s="2485"/>
      <c r="Z85" s="2485"/>
      <c r="AA85" s="2485"/>
      <c r="AB85" s="2485"/>
      <c r="AC85" s="2485"/>
      <c r="AD85" s="2485"/>
      <c r="AE85" s="2485"/>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18"/>
      <c r="O87" s="2518"/>
      <c r="P87" s="2518"/>
      <c r="Q87" s="2506"/>
      <c r="R87" s="2437"/>
      <c r="S87" s="2437"/>
      <c r="T87" s="2437"/>
      <c r="U87" s="2437"/>
      <c r="V87" s="2437"/>
      <c r="W87" s="2437"/>
      <c r="X87" s="2437"/>
      <c r="Y87" s="2437"/>
      <c r="Z87" s="2437"/>
      <c r="AA87" s="2437"/>
      <c r="AB87" s="2437"/>
      <c r="AC87" s="2437"/>
      <c r="AD87" s="2437"/>
      <c r="AE87" s="2437"/>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0"/>
      <c r="O88" s="2520"/>
      <c r="P88" s="2518"/>
      <c r="Q88" s="2506"/>
      <c r="R88" s="2437"/>
      <c r="S88" s="2437"/>
      <c r="T88" s="2437"/>
      <c r="U88" s="2437"/>
      <c r="V88" s="2437"/>
      <c r="W88" s="2437"/>
      <c r="X88" s="2437"/>
      <c r="Y88" s="2437"/>
      <c r="Z88" s="2437"/>
      <c r="AA88" s="2437"/>
      <c r="AB88" s="2437"/>
      <c r="AC88" s="2437"/>
      <c r="AD88" s="2437"/>
      <c r="AE88" s="2437"/>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18"/>
      <c r="O89" s="2518"/>
      <c r="P89" s="2518"/>
      <c r="Q89" s="2506"/>
      <c r="R89" s="2437"/>
      <c r="S89" s="2437"/>
      <c r="T89" s="2437"/>
      <c r="U89" s="2437"/>
      <c r="V89" s="2437"/>
      <c r="W89" s="2437"/>
      <c r="X89" s="2437"/>
      <c r="Y89" s="2437"/>
      <c r="Z89" s="2437"/>
      <c r="AA89" s="2437"/>
      <c r="AB89" s="2437"/>
      <c r="AC89" s="2437"/>
      <c r="AD89" s="2437"/>
      <c r="AE89" s="2437"/>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0"/>
      <c r="O90" s="2520"/>
      <c r="P90" s="2518"/>
      <c r="Q90" s="2506"/>
      <c r="R90" s="2437"/>
      <c r="S90" s="2437"/>
      <c r="T90" s="2437"/>
      <c r="U90" s="2437"/>
      <c r="V90" s="2437"/>
      <c r="W90" s="2437"/>
      <c r="X90" s="2437"/>
      <c r="Y90" s="2437"/>
      <c r="Z90" s="2437"/>
      <c r="AA90" s="2437"/>
      <c r="AB90" s="2437"/>
      <c r="AC90" s="2437"/>
      <c r="AD90" s="2437"/>
      <c r="AE90" s="2437"/>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1"/>
      <c r="O91" s="2521"/>
      <c r="P91" s="2521"/>
      <c r="Q91" s="2513"/>
      <c r="R91" s="2491"/>
      <c r="S91" s="2491"/>
      <c r="T91" s="2491"/>
      <c r="U91" s="2491"/>
      <c r="V91" s="2491"/>
      <c r="W91" s="2491"/>
      <c r="X91" s="2491"/>
      <c r="Y91" s="2491"/>
      <c r="Z91" s="2491"/>
      <c r="AA91" s="2491"/>
      <c r="AB91" s="2491"/>
      <c r="AC91" s="2491"/>
      <c r="AD91" s="2491"/>
      <c r="AE91" s="2491"/>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1"/>
      <c r="O92" s="2521"/>
      <c r="P92" s="2521"/>
      <c r="Q92" s="2513"/>
      <c r="R92" s="2491"/>
      <c r="S92" s="2491"/>
      <c r="T92" s="2491"/>
      <c r="U92" s="2491"/>
      <c r="V92" s="2491"/>
      <c r="W92" s="2491"/>
      <c r="X92" s="2491"/>
      <c r="Y92" s="2491"/>
      <c r="Z92" s="2491"/>
      <c r="AA92" s="2491"/>
      <c r="AB92" s="2491"/>
      <c r="AC92" s="2491"/>
      <c r="AD92" s="2491"/>
      <c r="AE92" s="2491"/>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1"/>
      <c r="O93" s="2521"/>
      <c r="P93" s="2521"/>
      <c r="Q93" s="2513"/>
      <c r="R93" s="2491"/>
      <c r="S93" s="2491"/>
      <c r="T93" s="2491"/>
      <c r="U93" s="2491"/>
      <c r="V93" s="2491"/>
      <c r="W93" s="2491"/>
      <c r="X93" s="2491"/>
      <c r="Y93" s="2491"/>
      <c r="Z93" s="2491"/>
      <c r="AA93" s="2491"/>
      <c r="AB93" s="2491"/>
      <c r="AC93" s="2491"/>
      <c r="AD93" s="2491"/>
      <c r="AE93" s="2491"/>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1"/>
      <c r="O94" s="2521"/>
      <c r="P94" s="2521"/>
      <c r="Q94" s="2513"/>
      <c r="R94" s="2491"/>
      <c r="S94" s="2491"/>
      <c r="T94" s="2491"/>
      <c r="U94" s="2491"/>
      <c r="V94" s="2491"/>
      <c r="W94" s="2491"/>
      <c r="X94" s="2491"/>
      <c r="Y94" s="2491"/>
      <c r="Z94" s="2491"/>
      <c r="AA94" s="2491"/>
      <c r="AB94" s="2491"/>
      <c r="AC94" s="2491"/>
      <c r="AD94" s="2491"/>
      <c r="AE94" s="2491"/>
    </row>
    <row r="95" spans="1:31" ht="15" thickTop="1">
      <c r="A95" s="367"/>
      <c r="B95" s="469" t="str">
        <f>B27</f>
        <v>临街状况</v>
      </c>
      <c r="C95" s="470" t="s">
        <v>1909</v>
      </c>
      <c r="D95" s="470" t="s">
        <v>1910</v>
      </c>
      <c r="E95" s="470" t="s">
        <v>1911</v>
      </c>
      <c r="F95" s="470" t="s">
        <v>1912</v>
      </c>
      <c r="G95" s="470"/>
      <c r="H95" s="470"/>
      <c r="I95" s="470"/>
      <c r="J95" s="470"/>
      <c r="K95" s="471"/>
      <c r="L95" s="472"/>
      <c r="M95" s="473"/>
      <c r="N95" s="2519"/>
      <c r="O95" s="2519"/>
      <c r="P95" s="2518"/>
      <c r="Q95" s="2506"/>
      <c r="R95" s="2485"/>
      <c r="S95" s="2485"/>
      <c r="T95" s="2485"/>
      <c r="U95" s="2485"/>
      <c r="V95" s="2485"/>
      <c r="W95" s="2485"/>
      <c r="X95" s="2485"/>
      <c r="Y95" s="2485"/>
      <c r="Z95" s="2485"/>
      <c r="AA95" s="2485"/>
      <c r="AB95" s="2485"/>
      <c r="AC95" s="2485"/>
      <c r="AD95" s="2485"/>
      <c r="AE95" s="2485"/>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9.4" thickTop="1">
      <c r="A97" s="367"/>
      <c r="B97" s="469" t="s">
        <v>1815</v>
      </c>
      <c r="C97" s="485"/>
      <c r="D97" s="485"/>
      <c r="E97" s="485"/>
      <c r="F97" s="485"/>
      <c r="G97" s="485"/>
      <c r="H97" s="513"/>
      <c r="I97" s="513"/>
      <c r="J97" s="513"/>
      <c r="K97" s="514"/>
      <c r="L97" s="515"/>
      <c r="M97" s="516"/>
      <c r="N97" s="2519"/>
      <c r="O97" s="2519"/>
      <c r="P97" s="2518"/>
      <c r="Q97" s="2506"/>
      <c r="R97" s="2485"/>
      <c r="S97" s="2485"/>
      <c r="T97" s="2485"/>
      <c r="U97" s="2485"/>
      <c r="V97" s="2485"/>
      <c r="W97" s="2485"/>
      <c r="X97" s="2485"/>
      <c r="Y97" s="2485"/>
      <c r="Z97" s="2485"/>
      <c r="AA97" s="2485"/>
      <c r="AB97" s="2485"/>
      <c r="AC97" s="2485"/>
      <c r="AD97" s="2485"/>
      <c r="AE97" s="2485"/>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 thickTop="1">
      <c r="A99" s="367"/>
      <c r="B99" s="469" t="s">
        <v>1873</v>
      </c>
      <c r="C99" s="513"/>
      <c r="D99" s="513"/>
      <c r="E99" s="513"/>
      <c r="F99" s="513"/>
      <c r="G99" s="513"/>
      <c r="H99" s="513"/>
      <c r="I99" s="513"/>
      <c r="J99" s="513"/>
      <c r="K99" s="514"/>
      <c r="L99" s="515"/>
      <c r="M99" s="516"/>
      <c r="N99" s="2519"/>
      <c r="O99" s="2519"/>
      <c r="P99" s="2518"/>
      <c r="Q99" s="2506"/>
      <c r="R99" s="2485"/>
      <c r="S99" s="2485"/>
      <c r="T99" s="2485"/>
      <c r="U99" s="2485"/>
      <c r="V99" s="2485"/>
      <c r="W99" s="2485"/>
      <c r="X99" s="2485"/>
      <c r="Y99" s="2485"/>
      <c r="Z99" s="2485"/>
      <c r="AA99" s="2485"/>
      <c r="AB99" s="2485"/>
      <c r="AC99" s="2485"/>
      <c r="AD99" s="2485"/>
      <c r="AE99" s="2485"/>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4.4" thickTop="1">
      <c r="A101" s="367"/>
      <c r="B101" s="477">
        <f>B31</f>
        <v>111</v>
      </c>
      <c r="C101" s="485"/>
      <c r="D101" s="485"/>
      <c r="E101" s="485"/>
      <c r="F101" s="485"/>
      <c r="G101" s="517"/>
      <c r="H101" s="517"/>
      <c r="I101" s="517"/>
      <c r="J101" s="517"/>
      <c r="K101" s="518"/>
      <c r="L101" s="519"/>
      <c r="M101" s="520"/>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4.4" thickBot="1">
      <c r="A102" s="367"/>
      <c r="B102" s="500"/>
      <c r="C102" s="491"/>
      <c r="D102" s="467"/>
      <c r="E102" s="467"/>
      <c r="F102" s="467"/>
      <c r="G102" s="521"/>
      <c r="H102" s="521"/>
      <c r="I102" s="521"/>
      <c r="J102" s="521"/>
      <c r="K102" s="521"/>
      <c r="L102" s="521"/>
      <c r="M102" s="522"/>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4.4" thickTop="1">
      <c r="A103" s="595"/>
      <c r="B103" s="469">
        <f>B32</f>
        <v>111</v>
      </c>
      <c r="C103" s="485"/>
      <c r="D103" s="485"/>
      <c r="E103" s="485"/>
      <c r="F103" s="485"/>
      <c r="G103" s="513"/>
      <c r="H103" s="513"/>
      <c r="I103" s="513"/>
      <c r="J103" s="513"/>
      <c r="K103" s="514"/>
      <c r="L103" s="515"/>
      <c r="M103" s="516"/>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4.4" thickBot="1">
      <c r="A104" s="367"/>
      <c r="B104" s="474"/>
      <c r="C104" s="491"/>
      <c r="D104" s="491"/>
      <c r="E104" s="491"/>
      <c r="F104" s="491"/>
      <c r="G104" s="467"/>
      <c r="H104" s="467"/>
      <c r="I104" s="467"/>
      <c r="J104" s="467"/>
      <c r="K104" s="467"/>
      <c r="L104" s="467"/>
      <c r="M104" s="468"/>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8" customFormat="1" ht="14.4" thickTop="1">
      <c r="A105" s="406"/>
      <c r="B105" s="523">
        <f>B33</f>
        <v>111</v>
      </c>
      <c r="C105" s="31"/>
      <c r="D105" s="31"/>
      <c r="E105" s="31"/>
      <c r="F105" s="31"/>
      <c r="G105" s="6"/>
      <c r="H105" s="6"/>
      <c r="I105" s="6"/>
      <c r="J105" s="524"/>
      <c r="K105" s="524"/>
      <c r="L105" s="525"/>
      <c r="M105" s="526"/>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8" customFormat="1" ht="14.4" thickBot="1">
      <c r="A106" s="484"/>
      <c r="B106" s="477"/>
      <c r="C106" s="501"/>
      <c r="D106" s="501"/>
      <c r="E106" s="501"/>
      <c r="F106" s="501"/>
      <c r="G106" s="597"/>
      <c r="H106" s="597"/>
      <c r="I106" s="597"/>
      <c r="J106" s="597"/>
      <c r="K106" s="597"/>
      <c r="L106" s="597"/>
      <c r="M106" s="619"/>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c r="A108" s="367"/>
      <c r="B108" s="477"/>
      <c r="C108" s="6"/>
      <c r="D108" s="6"/>
      <c r="E108" s="6"/>
      <c r="F108" s="6"/>
      <c r="G108" s="6"/>
      <c r="H108" s="6"/>
      <c r="I108" s="6"/>
      <c r="J108" s="524"/>
      <c r="K108" s="524"/>
      <c r="L108" s="525"/>
      <c r="M108" s="526"/>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4.4" thickBot="1">
      <c r="A109" s="367"/>
      <c r="B109" s="474"/>
      <c r="C109" s="501"/>
      <c r="D109" s="521"/>
      <c r="E109" s="521"/>
      <c r="F109" s="521"/>
      <c r="G109" s="521"/>
      <c r="H109" s="521"/>
      <c r="I109" s="521"/>
      <c r="J109" s="521"/>
      <c r="K109" s="521"/>
      <c r="L109" s="521"/>
      <c r="M109" s="522"/>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4.4" thickTop="1">
      <c r="A116" s="409"/>
      <c r="B116" s="469">
        <f>B38</f>
        <v>111</v>
      </c>
      <c r="C116" s="485"/>
      <c r="D116" s="485"/>
      <c r="E116" s="485"/>
      <c r="F116" s="485"/>
      <c r="G116" s="485"/>
      <c r="H116" s="513"/>
      <c r="I116" s="513"/>
      <c r="J116" s="513"/>
      <c r="K116" s="514"/>
      <c r="L116" s="515"/>
      <c r="M116" s="516"/>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4.4" thickBot="1">
      <c r="A117" s="367"/>
      <c r="B117" s="474"/>
      <c r="C117" s="491"/>
      <c r="D117" s="467"/>
      <c r="E117" s="467"/>
      <c r="F117" s="467"/>
      <c r="G117" s="467"/>
      <c r="H117" s="467"/>
      <c r="I117" s="467"/>
      <c r="J117" s="467"/>
      <c r="K117" s="467"/>
      <c r="L117" s="467"/>
      <c r="M117" s="468"/>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4.4" thickTop="1">
      <c r="A118" s="409"/>
      <c r="B118" s="469">
        <f>B39</f>
        <v>111</v>
      </c>
      <c r="C118" s="485"/>
      <c r="D118" s="485"/>
      <c r="E118" s="485"/>
      <c r="F118" s="485"/>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4.4" thickBot="1">
      <c r="A119" s="367"/>
      <c r="B119" s="474"/>
      <c r="C119" s="491"/>
      <c r="D119" s="491"/>
      <c r="E119" s="491"/>
      <c r="F119" s="491"/>
      <c r="G119" s="467"/>
      <c r="H119" s="467"/>
      <c r="I119" s="467"/>
      <c r="J119" s="467"/>
      <c r="K119" s="467"/>
      <c r="L119" s="467"/>
      <c r="M119" s="468"/>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8" customFormat="1" ht="14.4" thickTop="1">
      <c r="A120" s="406"/>
      <c r="B120" s="469">
        <f>B40</f>
        <v>111</v>
      </c>
      <c r="C120" s="31"/>
      <c r="D120" s="31"/>
      <c r="E120" s="31"/>
      <c r="F120" s="31"/>
      <c r="G120" s="486"/>
      <c r="H120" s="486"/>
      <c r="I120" s="486"/>
      <c r="J120" s="486"/>
      <c r="K120" s="486"/>
      <c r="L120" s="487"/>
      <c r="M120" s="488"/>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8" customFormat="1" ht="14.4" thickBot="1">
      <c r="A121" s="499"/>
      <c r="B121" s="620"/>
      <c r="C121" s="501"/>
      <c r="D121" s="501"/>
      <c r="E121" s="501"/>
      <c r="F121" s="501"/>
      <c r="G121" s="521"/>
      <c r="H121" s="521"/>
      <c r="I121" s="521"/>
      <c r="J121" s="521"/>
      <c r="K121" s="521"/>
      <c r="L121" s="521"/>
      <c r="M121" s="522"/>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F54" sqref="F54"/>
      <selection pane="bottomLeft" activeCell="F54" sqref="F54"/>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71" t="s">
        <v>2084</v>
      </c>
      <c r="D1" s="3472"/>
      <c r="E1" s="3472"/>
      <c r="F1" s="3472"/>
      <c r="G1" s="3472"/>
      <c r="H1" s="3472"/>
      <c r="I1" s="3472"/>
      <c r="J1" s="3472"/>
      <c r="K1" s="3472"/>
      <c r="L1" s="3472"/>
      <c r="M1" s="3472"/>
      <c r="N1" s="3472"/>
      <c r="O1" s="3472"/>
      <c r="P1" s="3472"/>
      <c r="Q1" s="3472"/>
      <c r="R1" s="3472"/>
      <c r="S1" s="3473"/>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3" t="s">
        <v>2093</v>
      </c>
      <c r="B17" s="1984"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5"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6"/>
      <c r="E20" s="1254"/>
      <c r="F20" s="929" t="e">
        <f ca="1">SUMIF(INDIRECT("'"&amp;H20&amp;"'"&amp;"!A:A"),"承租人权益价值",INDIRECT("'"&amp;H20&amp;"'"&amp;"!c:c"))</f>
        <v>#REF!</v>
      </c>
      <c r="G20" s="929" t="s">
        <v>2097</v>
      </c>
      <c r="H20" s="1987"/>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68" t="s">
        <v>27</v>
      </c>
      <c r="D22" s="3469"/>
      <c r="E22" s="3469"/>
      <c r="F22" s="3469"/>
      <c r="G22" s="3469"/>
      <c r="H22" s="3469"/>
      <c r="I22" s="3469"/>
      <c r="J22" s="3469"/>
      <c r="K22" s="3469"/>
      <c r="L22" s="3469"/>
      <c r="M22" s="3469"/>
      <c r="N22" s="3469"/>
      <c r="O22" s="3469"/>
      <c r="P22" s="3469"/>
      <c r="Q22" s="3470"/>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8">
        <v>1</v>
      </c>
      <c r="D24" s="2569"/>
      <c r="E24" s="2568">
        <v>1</v>
      </c>
      <c r="F24" s="2569"/>
      <c r="G24" s="2568">
        <v>1</v>
      </c>
      <c r="H24" s="2569"/>
      <c r="I24" s="2568">
        <v>1</v>
      </c>
      <c r="J24" s="2569"/>
      <c r="K24" s="2568">
        <v>1</v>
      </c>
      <c r="L24" s="2569"/>
      <c r="M24" s="2568">
        <v>1</v>
      </c>
      <c r="N24" s="2569"/>
      <c r="O24" s="2568">
        <v>1</v>
      </c>
      <c r="P24" s="2569"/>
      <c r="Q24" s="2568">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9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2"/>
      <c r="C2" s="3192"/>
      <c r="D2" s="3192"/>
      <c r="E2" s="3192"/>
    </row>
    <row r="3" spans="1:5" ht="17.399999999999999">
      <c r="A3" s="3193" t="str">
        <f>IF(项目基本情况!B9="房地产市场价值","估价结果一览表（市场价值不需“结果表-1”）","估价结果一览表")</f>
        <v>估价结果一览表（市场价值不需“结果表-1”）</v>
      </c>
      <c r="B3" s="3193"/>
      <c r="C3" s="3193"/>
      <c r="D3" s="3193"/>
      <c r="E3" s="3193"/>
    </row>
    <row r="4" spans="1:5" ht="18" thickBot="1">
      <c r="A4" s="1391"/>
      <c r="B4" s="3191" t="s">
        <v>917</v>
      </c>
      <c r="C4" s="3191"/>
      <c r="D4" s="3191"/>
      <c r="E4" s="1391"/>
    </row>
    <row r="5" spans="1:5" ht="16.2" thickTop="1">
      <c r="B5" s="3189" t="s">
        <v>909</v>
      </c>
      <c r="C5" s="1392" t="s">
        <v>910</v>
      </c>
      <c r="D5" s="797" t="e">
        <f ca="1">结果表!H101</f>
        <v>#REF!</v>
      </c>
    </row>
    <row r="6" spans="1:5" ht="15.6">
      <c r="B6" s="3189"/>
      <c r="C6" s="1392" t="s">
        <v>911</v>
      </c>
      <c r="D6" s="797" t="e">
        <f ca="1">NUMBERSTRING(INT(D5*10000),2)&amp;"元整"</f>
        <v>#REF!</v>
      </c>
    </row>
    <row r="7" spans="1:5" ht="15.6">
      <c r="B7" s="3194"/>
      <c r="C7" s="1393" t="s">
        <v>912</v>
      </c>
      <c r="D7" s="798" t="e">
        <f ca="1">结果表!H102</f>
        <v>#REF!</v>
      </c>
    </row>
    <row r="8" spans="1:5" ht="15.6">
      <c r="B8" s="3195" t="str">
        <f>结果表!E103</f>
        <v>2.估价师知悉的法定优先受偿款</v>
      </c>
      <c r="C8" s="1394" t="s">
        <v>913</v>
      </c>
      <c r="D8" s="798">
        <f>结果表!H103</f>
        <v>0</v>
      </c>
    </row>
    <row r="9" spans="1:5" ht="15.6">
      <c r="B9" s="3197"/>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88" t="str">
        <f>结果表!E107</f>
        <v>3.房地产抵押价值</v>
      </c>
      <c r="C13" s="1397" t="s">
        <v>910</v>
      </c>
      <c r="D13" s="800" t="e">
        <f ca="1">结果表!H107</f>
        <v>#REF!</v>
      </c>
    </row>
    <row r="14" spans="1:5" ht="15.6">
      <c r="B14" s="3189"/>
      <c r="C14" s="1392" t="s">
        <v>911</v>
      </c>
      <c r="D14" s="797" t="e">
        <f ca="1">NUMBERSTRING(INT(D13*10000),2)&amp;"元整"</f>
        <v>#REF!</v>
      </c>
    </row>
    <row r="15" spans="1:5" ht="15.6">
      <c r="B15" s="3194"/>
      <c r="C15" s="1393" t="s">
        <v>921</v>
      </c>
      <c r="D15" s="806" t="e">
        <f ca="1">结果表!H108</f>
        <v>#REF!</v>
      </c>
    </row>
    <row r="16" spans="1:5" ht="15.6">
      <c r="B16" s="3195" t="str">
        <f>结果表!E109</f>
        <v>——</v>
      </c>
      <c r="C16" s="1397" t="s">
        <v>922</v>
      </c>
      <c r="D16" s="1398" t="str">
        <f>结果表!H109</f>
        <v>——</v>
      </c>
    </row>
    <row r="17" spans="1:5" ht="15.6">
      <c r="B17" s="3196"/>
      <c r="C17" s="1392" t="s">
        <v>923</v>
      </c>
      <c r="D17" s="797" t="e">
        <f>NUMBERSTRING(INT(D16*10000),2)&amp;"元整"</f>
        <v>#VALUE!</v>
      </c>
    </row>
    <row r="18" spans="1:5" ht="15.6">
      <c r="B18" s="3197"/>
      <c r="C18" s="1393" t="s">
        <v>912</v>
      </c>
      <c r="D18" s="806" t="str">
        <f>结果表!H110</f>
        <v>——</v>
      </c>
    </row>
    <row r="19" spans="1:5" ht="15.6">
      <c r="B19" s="3188" t="str">
        <f>结果表!E111</f>
        <v>——</v>
      </c>
      <c r="C19" s="1397" t="s">
        <v>910</v>
      </c>
      <c r="D19" s="798" t="str">
        <f>结果表!H111</f>
        <v>——</v>
      </c>
    </row>
    <row r="20" spans="1:5" ht="15.6">
      <c r="B20" s="3189"/>
      <c r="C20" s="1392" t="s">
        <v>923</v>
      </c>
      <c r="D20" s="797" t="e">
        <f>NUMBERSTRING(INT(D19*10000),2)&amp;"元整"</f>
        <v>#VALUE!</v>
      </c>
    </row>
    <row r="21" spans="1:5" ht="16.2" thickBot="1">
      <c r="B21" s="3190"/>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54" sqref="F54"/>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2"/>
      <c r="G1" s="2542"/>
      <c r="H1" s="2542"/>
      <c r="I1" s="2542"/>
      <c r="J1" s="2542"/>
      <c r="K1" s="2542"/>
      <c r="L1" s="2542"/>
      <c r="M1" s="2542"/>
      <c r="N1" s="2542"/>
      <c r="O1" s="2542"/>
      <c r="P1" s="2542"/>
    </row>
    <row r="2" spans="1:16" ht="15.6">
      <c r="A2" s="1981" t="s">
        <v>2073</v>
      </c>
      <c r="B2" s="2385" t="e">
        <f ca="1">SUMIF(B6:B13,"&lt;&gt;#ref!",B6:B13)</f>
        <v>#DIV/0!</v>
      </c>
      <c r="C2" s="1981" t="s">
        <v>2074</v>
      </c>
      <c r="D2" s="1981" t="s">
        <v>2075</v>
      </c>
      <c r="E2" s="2395">
        <f ca="1">SUMIF(E6:E13,"&lt;&gt;#ref!",E6:E13)</f>
        <v>0</v>
      </c>
      <c r="F2" s="2542"/>
      <c r="G2" s="2542"/>
      <c r="H2" s="2542"/>
      <c r="I2" s="2542"/>
      <c r="J2" s="2542"/>
      <c r="K2" s="2542"/>
      <c r="L2" s="2542"/>
      <c r="M2" s="2542"/>
      <c r="N2" s="2542"/>
      <c r="O2" s="2542"/>
      <c r="P2" s="2542"/>
    </row>
    <row r="3" spans="1:16" ht="15.6">
      <c r="A3" s="1981" t="s">
        <v>2076</v>
      </c>
      <c r="B3" s="2385" t="e">
        <f ca="1">ROUND(B2*10000/E2,0)</f>
        <v>#DIV/0!</v>
      </c>
      <c r="C3" s="1981" t="s">
        <v>2082</v>
      </c>
      <c r="D3" s="2542"/>
      <c r="E3" s="2542"/>
      <c r="F3" s="2542"/>
      <c r="G3" s="2542"/>
      <c r="H3" s="2542"/>
      <c r="I3" s="2542"/>
      <c r="J3" s="2542"/>
      <c r="K3" s="2542"/>
      <c r="L3" s="2542"/>
      <c r="M3" s="2542"/>
      <c r="N3" s="2542"/>
      <c r="O3" s="2542"/>
      <c r="P3" s="2542"/>
    </row>
    <row r="4" spans="1:16" ht="15.6">
      <c r="A4" s="2554"/>
      <c r="B4" s="2542"/>
      <c r="C4" s="2542"/>
      <c r="D4" s="2542"/>
      <c r="E4" s="2542"/>
      <c r="F4" s="2542"/>
      <c r="G4" s="2542"/>
      <c r="H4" s="2542"/>
      <c r="I4" s="2542"/>
      <c r="J4" s="2542"/>
      <c r="K4" s="2542"/>
      <c r="L4" s="2542"/>
      <c r="M4" s="2542"/>
      <c r="N4" s="2542"/>
      <c r="O4" s="2542"/>
      <c r="P4" s="2542"/>
    </row>
    <row r="5" spans="1:16" ht="31.2">
      <c r="A5" s="2391" t="s">
        <v>2077</v>
      </c>
      <c r="B5" s="2393" t="s">
        <v>2078</v>
      </c>
      <c r="C5" s="1982"/>
      <c r="D5" s="2542"/>
      <c r="E5" s="2394" t="s">
        <v>2079</v>
      </c>
      <c r="F5" s="2542"/>
      <c r="G5" s="2542"/>
      <c r="H5" s="2542"/>
      <c r="I5" s="2542"/>
      <c r="J5" s="2542"/>
      <c r="K5" s="2542"/>
      <c r="L5" s="2542"/>
      <c r="M5" s="2542"/>
      <c r="N5" s="2542"/>
      <c r="O5" s="2542"/>
      <c r="P5" s="2542"/>
    </row>
    <row r="6" spans="1:16" ht="15.6">
      <c r="A6" s="2392" t="s">
        <v>2080</v>
      </c>
      <c r="B6" s="2385" t="e">
        <f ca="1">SUMIF(INDIRECT("'"&amp;A6&amp;"'"&amp;"!A:A"),"总价",INDIRECT("'"&amp;A6&amp;"'"&amp;"!B:B"))</f>
        <v>#DIV/0!</v>
      </c>
      <c r="C6" s="1981" t="s">
        <v>2074</v>
      </c>
      <c r="D6" s="2542"/>
      <c r="E6" s="2395">
        <f ca="1">SUMIF(INDIRECT("'"&amp;A6&amp;"'"&amp;"!C:C"),"建筑面积",INDIRECT("'"&amp;A6&amp;"'"&amp;"!D:D"))</f>
        <v>0</v>
      </c>
      <c r="F6" s="2542"/>
      <c r="G6" s="2542"/>
      <c r="H6" s="2542"/>
      <c r="I6" s="2542"/>
      <c r="J6" s="2542"/>
      <c r="K6" s="2542"/>
      <c r="L6" s="2542"/>
      <c r="M6" s="2542"/>
      <c r="N6" s="2542"/>
      <c r="O6" s="2542"/>
      <c r="P6" s="2542"/>
    </row>
    <row r="7" spans="1:16" ht="15.6">
      <c r="A7" s="2392"/>
      <c r="B7" s="2385" t="e">
        <f ca="1">SUMIF(INDIRECT("'"&amp;A7&amp;"'"&amp;"!A:A"),"总价",INDIRECT("'"&amp;A7&amp;"'"&amp;"!B:B"))</f>
        <v>#REF!</v>
      </c>
      <c r="C7" s="1981" t="s">
        <v>2074</v>
      </c>
      <c r="D7" s="2542"/>
      <c r="E7" s="2395" t="e">
        <f t="shared" ref="E7:E13" ca="1" si="0">SUMIF(INDIRECT("'"&amp;A7&amp;"'"&amp;"!C:C"),"建筑面积",INDIRECT("'"&amp;A7&amp;"'"&amp;"!D:D"))</f>
        <v>#REF!</v>
      </c>
      <c r="F7" s="2542"/>
      <c r="G7" s="2542"/>
      <c r="H7" s="2542"/>
      <c r="I7" s="2542"/>
      <c r="J7" s="2542"/>
      <c r="K7" s="2542"/>
      <c r="L7" s="2542"/>
      <c r="M7" s="2542"/>
      <c r="N7" s="2542"/>
      <c r="O7" s="2542"/>
      <c r="P7" s="2542"/>
    </row>
    <row r="8" spans="1:16" ht="15.6">
      <c r="A8" s="2392"/>
      <c r="B8" s="2385" t="e">
        <f t="shared" ref="B8:B13" ca="1" si="1">SUMIF(INDIRECT("'"&amp;A8&amp;"'"&amp;"!A:A"),"总价",INDIRECT("'"&amp;A8&amp;"'"&amp;"!B:B"))</f>
        <v>#REF!</v>
      </c>
      <c r="C8" s="1981" t="s">
        <v>2074</v>
      </c>
      <c r="D8" s="2542"/>
      <c r="E8" s="2395" t="e">
        <f t="shared" ca="1" si="0"/>
        <v>#REF!</v>
      </c>
      <c r="F8" s="2542"/>
      <c r="G8" s="2542"/>
      <c r="H8" s="2542"/>
      <c r="I8" s="2542"/>
      <c r="J8" s="2542"/>
      <c r="K8" s="2542"/>
      <c r="L8" s="2542"/>
      <c r="M8" s="2542"/>
      <c r="N8" s="2542"/>
      <c r="O8" s="2542"/>
      <c r="P8" s="2542"/>
    </row>
    <row r="9" spans="1:16" ht="15.6">
      <c r="A9" s="2392"/>
      <c r="B9" s="2385" t="e">
        <f t="shared" ca="1" si="1"/>
        <v>#REF!</v>
      </c>
      <c r="C9" s="1981" t="s">
        <v>2074</v>
      </c>
      <c r="D9" s="2542"/>
      <c r="E9" s="2395" t="e">
        <f t="shared" ca="1" si="0"/>
        <v>#REF!</v>
      </c>
      <c r="F9" s="2542"/>
      <c r="G9" s="2542"/>
      <c r="H9" s="2542"/>
      <c r="I9" s="2542"/>
      <c r="J9" s="2542"/>
      <c r="K9" s="2542"/>
      <c r="L9" s="2542"/>
      <c r="M9" s="2542"/>
      <c r="N9" s="2542"/>
      <c r="O9" s="2542"/>
      <c r="P9" s="2542"/>
    </row>
    <row r="10" spans="1:16" ht="15.6">
      <c r="A10" s="2392"/>
      <c r="B10" s="2385" t="e">
        <f t="shared" ca="1" si="1"/>
        <v>#REF!</v>
      </c>
      <c r="C10" s="1981" t="s">
        <v>2074</v>
      </c>
      <c r="D10" s="2542"/>
      <c r="E10" s="2395" t="e">
        <f t="shared" ca="1" si="0"/>
        <v>#REF!</v>
      </c>
      <c r="F10" s="2542"/>
      <c r="G10" s="2542"/>
      <c r="H10" s="2542"/>
      <c r="I10" s="2542"/>
      <c r="J10" s="2542"/>
      <c r="K10" s="2542"/>
      <c r="L10" s="2542"/>
      <c r="M10" s="2542"/>
      <c r="N10" s="2542"/>
      <c r="O10" s="2542"/>
      <c r="P10" s="2542"/>
    </row>
    <row r="11" spans="1:16" ht="15.6">
      <c r="A11" s="2392"/>
      <c r="B11" s="2385" t="e">
        <f t="shared" ca="1" si="1"/>
        <v>#REF!</v>
      </c>
      <c r="C11" s="1981" t="s">
        <v>2074</v>
      </c>
      <c r="D11" s="2542"/>
      <c r="E11" s="2395" t="e">
        <f t="shared" ca="1" si="0"/>
        <v>#REF!</v>
      </c>
      <c r="F11" s="2542"/>
      <c r="G11" s="2542"/>
      <c r="H11" s="2542"/>
      <c r="I11" s="2542"/>
      <c r="J11" s="2542"/>
      <c r="K11" s="2542"/>
      <c r="L11" s="2542"/>
      <c r="M11" s="2542"/>
      <c r="N11" s="2542"/>
      <c r="O11" s="2542"/>
      <c r="P11" s="2542"/>
    </row>
    <row r="12" spans="1:16" ht="15.6">
      <c r="A12" s="2392"/>
      <c r="B12" s="2385" t="e">
        <f t="shared" ca="1" si="1"/>
        <v>#REF!</v>
      </c>
      <c r="C12" s="1981" t="s">
        <v>2074</v>
      </c>
      <c r="D12" s="2542"/>
      <c r="E12" s="2395" t="e">
        <f t="shared" ca="1" si="0"/>
        <v>#REF!</v>
      </c>
      <c r="F12" s="2542"/>
      <c r="G12" s="2542"/>
      <c r="H12" s="2542"/>
      <c r="I12" s="2542"/>
      <c r="J12" s="2542"/>
      <c r="K12" s="2542"/>
      <c r="L12" s="2542"/>
      <c r="M12" s="2542"/>
      <c r="N12" s="2542"/>
      <c r="O12" s="2542"/>
      <c r="P12" s="2542"/>
    </row>
    <row r="13" spans="1:16" ht="15.6">
      <c r="A13" s="2392"/>
      <c r="B13" s="2385" t="e">
        <f t="shared" ca="1" si="1"/>
        <v>#REF!</v>
      </c>
      <c r="C13" s="1981" t="s">
        <v>2074</v>
      </c>
      <c r="D13" s="2542"/>
      <c r="E13" s="2395"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F54" sqref="F54"/>
    </sheetView>
  </sheetViews>
  <sheetFormatPr defaultColWidth="12" defaultRowHeight="13.2"/>
  <cols>
    <col min="1" max="1" width="9.77734375" style="1892" customWidth="1"/>
    <col min="2" max="2" width="22.44140625" style="1980" customWidth="1"/>
    <col min="3" max="3" width="12" style="1842"/>
    <col min="4" max="4" width="14.88671875" style="1842" customWidth="1"/>
    <col min="5" max="5" width="14.6640625" style="1842" customWidth="1"/>
    <col min="6" max="8" width="12" style="1842"/>
    <col min="9" max="9" width="12.21875" style="1842" bestFit="1" customWidth="1"/>
    <col min="10" max="10" width="12" style="1842"/>
    <col min="11" max="11" width="8.109375" style="1888" customWidth="1"/>
    <col min="12" max="12" width="19.44140625" style="1842" customWidth="1"/>
    <col min="13" max="13" width="8.44140625" style="1842" customWidth="1"/>
    <col min="14" max="14" width="9.77734375" style="1842" customWidth="1"/>
    <col min="15" max="25" width="12" style="1842"/>
    <col min="26" max="26" width="9.33203125" style="1892" customWidth="1"/>
    <col min="27" max="32" width="9.33203125" style="1058" customWidth="1"/>
    <col min="33" max="36" width="9.33203125" style="1892" customWidth="1"/>
    <col min="37" max="38" width="9.33203125" style="1842" customWidth="1"/>
    <col min="39" max="16384" width="12" style="1842"/>
  </cols>
  <sheetData>
    <row r="1" spans="1:36" ht="31.2">
      <c r="A1" s="188" t="s">
        <v>1926</v>
      </c>
      <c r="B1" s="189"/>
      <c r="C1" s="193" t="s">
        <v>1927</v>
      </c>
      <c r="D1" s="333">
        <f>SUM(D33:D34,D37:D42)</f>
        <v>0</v>
      </c>
      <c r="E1" s="1839"/>
      <c r="F1" s="1839"/>
      <c r="G1" s="1839"/>
      <c r="H1" s="1839"/>
      <c r="I1" s="1839"/>
      <c r="J1" s="1839"/>
      <c r="K1" s="1056"/>
      <c r="L1" s="1840" t="s">
        <v>1928</v>
      </c>
      <c r="M1" s="810">
        <f>SUMPRODUCT((区片价!B5:B9=I2)*(区片价!C3:G3=E2)*(区片价!C5:G9))</f>
        <v>0</v>
      </c>
      <c r="N1" s="813">
        <f>SUMPRODUCT((因素修正幅度!B5:B9=I2)*(因素修正幅度!C3:G3=E2)*(因素修正幅度!C5:G9))</f>
        <v>0</v>
      </c>
      <c r="O1" s="1841"/>
      <c r="P1" s="1841"/>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t="e">
        <f>C30</f>
        <v>#DIV/0!</v>
      </c>
      <c r="C2" s="1843" t="s">
        <v>1935</v>
      </c>
      <c r="D2" s="162" t="s">
        <v>1936</v>
      </c>
      <c r="E2" s="3118"/>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39"/>
      <c r="K2" s="1056"/>
      <c r="L2" s="1844" t="s">
        <v>1939</v>
      </c>
      <c r="M2" s="811">
        <f>SUMPRODUCT((区片价!B10:B29=I2)*(区片价!C3:G3=E2)*(区片价!C10:G29))</f>
        <v>0</v>
      </c>
      <c r="N2" s="813">
        <f>SUMPRODUCT((因素修正幅度!B10:B29=I2)*(因素修正幅度!C3:G3=E2)*(因素修正幅度!C10:G29))</f>
        <v>0</v>
      </c>
      <c r="O2" s="1056"/>
      <c r="P2" s="1056"/>
      <c r="Q2" s="1056"/>
      <c r="R2" s="1129">
        <v>1</v>
      </c>
      <c r="S2" s="3061">
        <f>ROUND(SUMPRODUCT((B106:B110=R2)*(C105:N105=G2)*(C106:N110)),4)</f>
        <v>0</v>
      </c>
      <c r="T2" s="3061" t="e">
        <f t="shared" ref="T2:T16" si="0">ROUND($C$5*$C$22*$C$23*$C$24*S2*$C$28,0)</f>
        <v>#DIV/0!</v>
      </c>
      <c r="U2" s="1130"/>
      <c r="V2" s="3061" t="e">
        <f>ROUND(T2*U2/10000,0)</f>
        <v>#DIV/0!</v>
      </c>
      <c r="W2" s="1133"/>
      <c r="X2" s="1133"/>
      <c r="Y2" s="1133"/>
      <c r="Z2" s="1133"/>
      <c r="AA2" s="1133"/>
      <c r="AB2" s="1133"/>
      <c r="AC2" s="1134"/>
      <c r="AD2" s="1135"/>
      <c r="AE2" s="1135"/>
      <c r="AF2" s="1135"/>
      <c r="AG2" s="1135"/>
      <c r="AH2" s="1135"/>
      <c r="AI2" s="1135"/>
      <c r="AJ2" s="1136"/>
    </row>
    <row r="3" spans="1:36" ht="15.6">
      <c r="A3" s="195" t="s">
        <v>1940</v>
      </c>
      <c r="B3" s="196" t="e">
        <f>ROUND(B2*10000/D1,0)</f>
        <v>#DIV/0!</v>
      </c>
      <c r="C3" s="1843" t="s">
        <v>1941</v>
      </c>
      <c r="D3" s="162" t="s">
        <v>1942</v>
      </c>
      <c r="E3" s="3116"/>
      <c r="F3" s="1845"/>
      <c r="G3" s="708">
        <f>IF(F3="宗地容积率",'数据-汇总表'!I4,IF(F3="估价对象容积率",'数据-汇总表'!I6,'数据-汇总表'!I7))</f>
        <v>2.5</v>
      </c>
      <c r="H3" s="162" t="s">
        <v>1943</v>
      </c>
      <c r="I3" s="729"/>
      <c r="J3" s="1839" t="s">
        <v>1944</v>
      </c>
      <c r="K3" s="1056"/>
      <c r="L3" s="1844" t="s">
        <v>1945</v>
      </c>
      <c r="M3" s="811">
        <f>SUMPRODUCT((区片价!B30:B54=I2)*(区片价!C3:G3=E2)*(区片价!C30:G54))</f>
        <v>0</v>
      </c>
      <c r="N3" s="813">
        <f>SUMPRODUCT((因素修正幅度!B30:B54=I2)*(因素修正幅度!C3:G3=E2)*(因素修正幅度!C30:G54))</f>
        <v>0</v>
      </c>
      <c r="O3" s="1056"/>
      <c r="P3" s="1056"/>
      <c r="Q3" s="1056"/>
      <c r="R3" s="1129">
        <v>2</v>
      </c>
      <c r="S3" s="3061">
        <f>ROUND(SUMPRODUCT((B106:B110=R3)*(C105:N105=G2)*(C106:N110)),4)</f>
        <v>0</v>
      </c>
      <c r="T3" s="3061" t="e">
        <f t="shared" si="0"/>
        <v>#DIV/0!</v>
      </c>
      <c r="U3" s="1130"/>
      <c r="V3" s="3061" t="e">
        <f t="shared" ref="V3:V16" si="1">ROUND(T3*U3/10000,0)</f>
        <v>#DIV/0!</v>
      </c>
      <c r="W3" s="1133"/>
      <c r="X3" s="1133"/>
      <c r="Y3" s="1133"/>
      <c r="Z3" s="1133"/>
      <c r="AA3" s="1133"/>
      <c r="AB3" s="1133"/>
      <c r="AC3" s="1134"/>
      <c r="AD3" s="1135"/>
      <c r="AE3" s="1135"/>
      <c r="AF3" s="1135"/>
      <c r="AG3" s="1135"/>
      <c r="AH3" s="1135"/>
      <c r="AI3" s="1135"/>
      <c r="AJ3" s="1136"/>
    </row>
    <row r="4" spans="1:36" ht="15.6">
      <c r="A4" s="3481"/>
      <c r="B4" s="3482"/>
      <c r="C4" s="3482"/>
      <c r="D4" s="3483"/>
      <c r="E4" s="3483"/>
      <c r="F4" s="3483"/>
      <c r="G4" s="3483"/>
      <c r="H4" s="3483"/>
      <c r="I4" s="3483"/>
      <c r="J4" s="3484"/>
      <c r="K4" s="1056"/>
      <c r="L4" s="1844" t="s">
        <v>1946</v>
      </c>
      <c r="M4" s="811">
        <f>SUMPRODUCT((区片价!B55:B86=I2)*(区片价!C3:G3=E2)*(区片价!C55:G86))</f>
        <v>0</v>
      </c>
      <c r="N4" s="813">
        <f>SUMPRODUCT((因素修正幅度!B55:B86=I2)*(因素修正幅度!C3:G3=E2)*(因素修正幅度!C55:G86))</f>
        <v>0</v>
      </c>
      <c r="O4" s="1056"/>
      <c r="P4" s="1056"/>
      <c r="Q4" s="1056"/>
      <c r="R4" s="1129">
        <v>3</v>
      </c>
      <c r="S4" s="3061">
        <f>ROUND(SUMPRODUCT((B106:B110=R4)*(C105:N105=G2)*(C106:N110)),4)</f>
        <v>0</v>
      </c>
      <c r="T4" s="3061" t="e">
        <f t="shared" si="0"/>
        <v>#DIV/0!</v>
      </c>
      <c r="U4" s="1130"/>
      <c r="V4" s="3061" t="e">
        <f t="shared" si="1"/>
        <v>#DIV/0!</v>
      </c>
      <c r="W4" s="1133"/>
      <c r="X4" s="1133"/>
      <c r="Y4" s="1133"/>
      <c r="Z4" s="1133"/>
      <c r="AA4" s="1133"/>
      <c r="AB4" s="1133"/>
      <c r="AC4" s="1134"/>
      <c r="AD4" s="1135"/>
      <c r="AE4" s="1135"/>
      <c r="AF4" s="1135"/>
      <c r="AG4" s="1135"/>
      <c r="AH4" s="1135"/>
      <c r="AI4" s="1135"/>
      <c r="AJ4" s="1136"/>
    </row>
    <row r="5" spans="1:36" s="1855" customFormat="1" ht="15.6" thickBot="1">
      <c r="A5" s="1846" t="s">
        <v>362</v>
      </c>
      <c r="B5" s="1847" t="s">
        <v>1947</v>
      </c>
      <c r="C5" s="709" t="e">
        <f>ROUND(IF(E2="商业",C6*C7*C17+C20,(IF(E2="住宅",C6*C13*C17+C20,IF(E2="办公",C6*C12*C17+C20,C6+C20)))),0)</f>
        <v>#DIV/0!</v>
      </c>
      <c r="D5" s="1252" t="e">
        <f>ROUND(C6*C17+C20,0)</f>
        <v>#DIV/0!</v>
      </c>
      <c r="E5" s="1252"/>
      <c r="F5" s="1848"/>
      <c r="G5" s="1849"/>
      <c r="H5" s="1849"/>
      <c r="I5" s="1849"/>
      <c r="J5" s="1850"/>
      <c r="K5" s="1851"/>
      <c r="L5" s="1844" t="s">
        <v>1948</v>
      </c>
      <c r="M5" s="811">
        <f>SUMPRODUCT((区片价!B87:B126=I2)*(区片价!C3:G3=E2)*(区片价!C87:G126))</f>
        <v>0</v>
      </c>
      <c r="N5" s="813">
        <f>SUMPRODUCT((因素修正幅度!B87:B126=I2)*(因素修正幅度!C3:G3=E2)*(因素修正幅度!C87:G126))</f>
        <v>0</v>
      </c>
      <c r="O5" s="1056"/>
      <c r="P5" s="1056"/>
      <c r="Q5" s="1056"/>
      <c r="R5" s="1129">
        <v>4</v>
      </c>
      <c r="S5" s="3061">
        <f>ROUND(SUMPRODUCT((B106:B110=R5)*(C105:N105=G2)*(C106:N110)),4)</f>
        <v>0</v>
      </c>
      <c r="T5" s="3061" t="e">
        <f t="shared" si="0"/>
        <v>#DIV/0!</v>
      </c>
      <c r="U5" s="1130"/>
      <c r="V5" s="3061" t="e">
        <f t="shared" si="1"/>
        <v>#DIV/0!</v>
      </c>
      <c r="W5" s="1133"/>
      <c r="X5" s="1133"/>
      <c r="Y5" s="1133"/>
      <c r="Z5" s="1133"/>
      <c r="AA5" s="1133"/>
      <c r="AB5" s="1133"/>
      <c r="AC5" s="1852"/>
      <c r="AD5" s="1853"/>
      <c r="AE5" s="1853"/>
      <c r="AF5" s="1853"/>
      <c r="AG5" s="1853"/>
      <c r="AH5" s="1853"/>
      <c r="AI5" s="1853"/>
      <c r="AJ5" s="1854"/>
    </row>
    <row r="6" spans="1:36" ht="15.6" thickBot="1">
      <c r="A6" s="1856" t="s">
        <v>1949</v>
      </c>
      <c r="B6" s="1857" t="s">
        <v>1950</v>
      </c>
      <c r="C6" s="710">
        <f>SUMIF(L1:L12,G2,M1:M12)</f>
        <v>0</v>
      </c>
      <c r="D6" s="1858"/>
      <c r="E6" s="1859"/>
      <c r="F6" s="1859"/>
      <c r="G6" s="1860"/>
      <c r="H6" s="1860"/>
      <c r="I6" s="1860"/>
      <c r="J6" s="1861"/>
      <c r="K6" s="1292"/>
      <c r="L6" s="1844" t="s">
        <v>1951</v>
      </c>
      <c r="M6" s="811">
        <f>SUMPRODUCT((区片价!B127:B189=I2)*(区片价!C3:G3=E2)*(区片价!C127:G189))</f>
        <v>0</v>
      </c>
      <c r="N6" s="813">
        <f>SUMPRODUCT((因素修正幅度!B127:B189=I2)*(因素修正幅度!C3:G3=E2)*(因素修正幅度!C127:G189))</f>
        <v>0</v>
      </c>
      <c r="O6" s="1056"/>
      <c r="P6" s="1056"/>
      <c r="Q6" s="1056"/>
      <c r="R6" s="1129">
        <v>5</v>
      </c>
      <c r="S6" s="3061">
        <f>ROUND(SUMPRODUCT((B106:B110=R6)*(C105:N105=G2)*(C106:N110)),4)</f>
        <v>0</v>
      </c>
      <c r="T6" s="3061" t="e">
        <f t="shared" si="0"/>
        <v>#DIV/0!</v>
      </c>
      <c r="U6" s="1130"/>
      <c r="V6" s="3061" t="e">
        <f t="shared" si="1"/>
        <v>#DIV/0!</v>
      </c>
      <c r="W6" s="1133"/>
      <c r="X6" s="1133"/>
      <c r="Y6" s="1133"/>
      <c r="Z6" s="1133"/>
      <c r="AA6" s="1133"/>
      <c r="AB6" s="1133"/>
      <c r="AC6" s="1852"/>
      <c r="AD6" s="1853"/>
      <c r="AE6" s="1853"/>
      <c r="AF6" s="1853"/>
      <c r="AG6" s="1853"/>
      <c r="AH6" s="1853"/>
      <c r="AI6" s="1853"/>
      <c r="AJ6" s="1854"/>
    </row>
    <row r="7" spans="1:36" ht="24.6" thickBot="1">
      <c r="A7" s="3010" t="s">
        <v>3236</v>
      </c>
      <c r="B7" s="1862" t="s">
        <v>1952</v>
      </c>
      <c r="C7" s="711" t="e">
        <f>IF(C8="不临65条商业街",1,ROUND(1+(1.6*E8+1.2*E9+0.8*E10+0.4*E11)*C9,4))</f>
        <v>#DIV/0!</v>
      </c>
      <c r="D7" s="1863" t="s">
        <v>1953</v>
      </c>
      <c r="E7" s="730"/>
      <c r="F7" s="1864"/>
      <c r="G7" s="1865"/>
      <c r="H7" s="1865"/>
      <c r="I7" s="1865"/>
      <c r="J7" s="1866"/>
      <c r="K7" s="1292"/>
      <c r="L7" s="1844" t="s">
        <v>1954</v>
      </c>
      <c r="M7" s="811">
        <f>SUMPRODUCT((区片价!B190:B233=I2)*(区片价!C3:G3=E2)*(区片价!C190:G233))</f>
        <v>0</v>
      </c>
      <c r="N7" s="813">
        <f>SUMPRODUCT((因素修正幅度!B190:B233=I2)*(因素修正幅度!C3:G3=E2)*(因素修正幅度!C190:G233))</f>
        <v>0</v>
      </c>
      <c r="O7" s="1056"/>
      <c r="P7" s="1056"/>
      <c r="Q7" s="1056"/>
      <c r="R7" s="1129">
        <v>6</v>
      </c>
      <c r="S7" s="3115"/>
      <c r="T7" s="3061" t="e">
        <f t="shared" si="0"/>
        <v>#DIV/0!</v>
      </c>
      <c r="U7" s="1130"/>
      <c r="V7" s="3061" t="e">
        <f t="shared" si="1"/>
        <v>#DIV/0!</v>
      </c>
      <c r="W7" s="1267" t="s">
        <v>1955</v>
      </c>
      <c r="X7" s="1131">
        <f>G2</f>
        <v>0</v>
      </c>
      <c r="Y7" s="1131" t="s">
        <v>1956</v>
      </c>
      <c r="Z7" s="1132">
        <f>G3</f>
        <v>2.5</v>
      </c>
      <c r="AA7" s="1133"/>
      <c r="AB7" s="1133"/>
      <c r="AC7" s="1134"/>
      <c r="AD7" s="1135"/>
      <c r="AE7" s="1135"/>
      <c r="AF7" s="1135"/>
      <c r="AG7" s="1135"/>
      <c r="AH7" s="1135"/>
      <c r="AI7" s="1135"/>
      <c r="AJ7" s="1136"/>
    </row>
    <row r="8" spans="1:36" ht="15">
      <c r="A8" s="3007"/>
      <c r="B8" s="162" t="s">
        <v>1957</v>
      </c>
      <c r="C8" s="1867"/>
      <c r="D8" s="712" t="s">
        <v>112</v>
      </c>
      <c r="E8" s="713" t="e">
        <f>ROUND(C11/E7,4)</f>
        <v>#DIV/0!</v>
      </c>
      <c r="F8" s="1868" t="s">
        <v>1958</v>
      </c>
      <c r="G8" s="1869"/>
      <c r="H8" s="1869"/>
      <c r="I8" s="1869"/>
      <c r="J8" s="1870"/>
      <c r="K8" s="1056"/>
      <c r="L8" s="1844" t="s">
        <v>1959</v>
      </c>
      <c r="M8" s="811">
        <f>SUMPRODUCT((区片价!B234:B276=I2)*(区片价!C3:G3=E2)*(区片价!C234:G276))</f>
        <v>0</v>
      </c>
      <c r="N8" s="813">
        <f>SUMPRODUCT((因素修正幅度!B234:B276=I2)*(因素修正幅度!C3:G3=E2)*(因素修正幅度!C234:G276))</f>
        <v>0</v>
      </c>
      <c r="O8" s="1056"/>
      <c r="P8" s="1056"/>
      <c r="Q8" s="1056"/>
      <c r="R8" s="1129">
        <v>7</v>
      </c>
      <c r="S8" s="1130"/>
      <c r="T8" s="3061" t="e">
        <f t="shared" si="0"/>
        <v>#DIV/0!</v>
      </c>
      <c r="U8" s="1130"/>
      <c r="V8" s="3061" t="e">
        <f t="shared" si="1"/>
        <v>#DIV/0!</v>
      </c>
      <c r="W8" s="3478" t="s">
        <v>1960</v>
      </c>
      <c r="X8" s="3479"/>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7"/>
      <c r="B9" s="162" t="s">
        <v>1973</v>
      </c>
      <c r="C9" s="714">
        <f>SUMIF(修正!C71:C138,C8,修正!E71:E138)</f>
        <v>0</v>
      </c>
      <c r="D9" s="163" t="s">
        <v>113</v>
      </c>
      <c r="E9" s="163" t="e">
        <f>ROUND(C11/E7,4)</f>
        <v>#DIV/0!</v>
      </c>
      <c r="F9" s="1868" t="s">
        <v>1974</v>
      </c>
      <c r="G9" s="1869"/>
      <c r="H9" s="1869"/>
      <c r="I9" s="1869"/>
      <c r="J9" s="1870"/>
      <c r="K9" s="1056"/>
      <c r="L9" s="1844" t="s">
        <v>1975</v>
      </c>
      <c r="M9" s="811">
        <f>SUMPRODUCT((区片价!B277:B326=I2)*(区片价!C3:G3=E2)*(区片价!C277:G326))</f>
        <v>0</v>
      </c>
      <c r="N9" s="813">
        <f>SUMPRODUCT((因素修正幅度!B277:B326=I2)*(因素修正幅度!C3:G3=E2)*(因素修正幅度!C277:G326))</f>
        <v>0</v>
      </c>
      <c r="O9" s="1056"/>
      <c r="P9" s="1056"/>
      <c r="Q9" s="1056"/>
      <c r="R9" s="1129">
        <v>8</v>
      </c>
      <c r="S9" s="1130"/>
      <c r="T9" s="3061" t="e">
        <f t="shared" si="0"/>
        <v>#DIV/0!</v>
      </c>
      <c r="U9" s="1130"/>
      <c r="V9" s="3061" t="e">
        <f t="shared" si="1"/>
        <v>#DIV/0!</v>
      </c>
      <c r="W9" s="3480"/>
      <c r="X9" s="3062" t="s">
        <v>3267</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2" t="s">
        <v>1976</v>
      </c>
      <c r="C10" s="163">
        <f>SUMIF(修正!C71:C138,C8,修正!F71:F138)</f>
        <v>0</v>
      </c>
      <c r="D10" s="163" t="s">
        <v>114</v>
      </c>
      <c r="E10" s="163" t="e">
        <f>ROUND(C11/E7,4)</f>
        <v>#DIV/0!</v>
      </c>
      <c r="F10" s="1868" t="s">
        <v>1977</v>
      </c>
      <c r="G10" s="1869"/>
      <c r="H10" s="1869"/>
      <c r="I10" s="1869"/>
      <c r="J10" s="1870"/>
      <c r="K10" s="1056"/>
      <c r="L10" s="1844"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1" t="e">
        <f t="shared" si="0"/>
        <v>#DIV/0!</v>
      </c>
      <c r="U10" s="1130"/>
      <c r="V10" s="3061" t="e">
        <f t="shared" si="1"/>
        <v>#DIV/0!</v>
      </c>
      <c r="W10" s="3480"/>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6" thickBot="1">
      <c r="A11" s="3009"/>
      <c r="B11" s="1871" t="s">
        <v>1979</v>
      </c>
      <c r="C11" s="715">
        <f>C10/4</f>
        <v>0</v>
      </c>
      <c r="D11" s="715" t="s">
        <v>115</v>
      </c>
      <c r="E11" s="715" t="e">
        <f>ROUND(C11/E7,4)</f>
        <v>#DIV/0!</v>
      </c>
      <c r="F11" s="1872" t="s">
        <v>1980</v>
      </c>
      <c r="G11" s="1873"/>
      <c r="H11" s="1873"/>
      <c r="I11" s="1873"/>
      <c r="J11" s="1874"/>
      <c r="K11" s="1056"/>
      <c r="L11" s="1844"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1" t="e">
        <f t="shared" si="0"/>
        <v>#DIV/0!</v>
      </c>
      <c r="U11" s="1130"/>
      <c r="V11" s="3061" t="e">
        <f t="shared" si="1"/>
        <v>#DIV/0!</v>
      </c>
      <c r="W11" s="1133"/>
      <c r="X11" s="1133"/>
      <c r="Y11" s="1133"/>
      <c r="Z11" s="1133"/>
      <c r="AA11" s="1133"/>
      <c r="AB11" s="1133"/>
      <c r="AC11" s="1134"/>
      <c r="AD11" s="2551"/>
      <c r="AE11" s="2551"/>
      <c r="AF11" s="2551"/>
      <c r="AG11" s="2551"/>
      <c r="AH11" s="2551"/>
      <c r="AI11" s="2551"/>
      <c r="AJ11" s="2552"/>
    </row>
    <row r="12" spans="1:36" ht="25.8" thickBot="1">
      <c r="A12" s="3010" t="s">
        <v>3237</v>
      </c>
      <c r="B12" s="3011" t="s">
        <v>3238</v>
      </c>
      <c r="C12" s="3012"/>
      <c r="D12" s="3013" t="s">
        <v>3239</v>
      </c>
      <c r="E12" s="3014" t="s">
        <v>3240</v>
      </c>
      <c r="F12" s="3015"/>
      <c r="G12" s="3016"/>
      <c r="H12" s="3016"/>
      <c r="I12" s="3016"/>
      <c r="J12" s="3017"/>
      <c r="K12" s="1056"/>
      <c r="L12" s="1793"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1" t="e">
        <f t="shared" si="0"/>
        <v>#DIV/0!</v>
      </c>
      <c r="U12" s="1130"/>
      <c r="V12" s="3061" t="e">
        <f t="shared" si="1"/>
        <v>#DIV/0!</v>
      </c>
      <c r="W12" s="1133"/>
      <c r="X12" s="1133"/>
      <c r="Y12" s="1133"/>
      <c r="Z12" s="1133"/>
      <c r="AA12" s="1133"/>
      <c r="AB12" s="1133"/>
      <c r="AC12" s="1134"/>
      <c r="AD12" s="2551"/>
      <c r="AE12" s="2551"/>
      <c r="AF12" s="2551"/>
      <c r="AG12" s="2551"/>
      <c r="AH12" s="2551"/>
      <c r="AI12" s="2551"/>
      <c r="AJ12" s="2552"/>
    </row>
    <row r="13" spans="1:36" ht="24.6" thickBot="1">
      <c r="A13" s="3010" t="s">
        <v>3241</v>
      </c>
      <c r="B13" s="1875" t="s">
        <v>1982</v>
      </c>
      <c r="C13" s="711">
        <f>ROUND(C16*D16*E16*F16*G16*H16*I16*J16,4)</f>
        <v>0</v>
      </c>
      <c r="D13" s="1876" t="s">
        <v>1983</v>
      </c>
      <c r="E13" s="1877"/>
      <c r="F13" s="1877"/>
      <c r="G13" s="1878"/>
      <c r="H13" s="1878"/>
      <c r="I13" s="1878"/>
      <c r="J13" s="1879"/>
      <c r="K13" s="1056"/>
      <c r="L13" s="3"/>
      <c r="M13" s="4"/>
      <c r="N13" s="3008"/>
      <c r="O13" s="1056"/>
      <c r="P13" s="1056"/>
      <c r="Q13" s="1056"/>
      <c r="R13" s="1129">
        <v>12</v>
      </c>
      <c r="S13" s="1130"/>
      <c r="T13" s="3061" t="e">
        <f t="shared" si="0"/>
        <v>#DIV/0!</v>
      </c>
      <c r="U13" s="1130"/>
      <c r="V13" s="3061" t="e">
        <f t="shared" si="1"/>
        <v>#DIV/0!</v>
      </c>
      <c r="W13" s="1133"/>
      <c r="X13" s="1133"/>
      <c r="Y13" s="1133"/>
      <c r="Z13" s="1133"/>
      <c r="AA13" s="1133"/>
      <c r="AB13" s="1133"/>
      <c r="AC13" s="1134"/>
      <c r="AD13" s="2551"/>
      <c r="AE13" s="2551"/>
      <c r="AF13" s="2551"/>
      <c r="AG13" s="2551"/>
      <c r="AH13" s="2551"/>
      <c r="AI13" s="2551"/>
      <c r="AJ13" s="2552"/>
    </row>
    <row r="14" spans="1:36" ht="24">
      <c r="A14" s="3006"/>
      <c r="B14" s="1880" t="s">
        <v>1985</v>
      </c>
      <c r="C14" s="1881" t="s">
        <v>1986</v>
      </c>
      <c r="D14" s="1261" t="s">
        <v>1987</v>
      </c>
      <c r="E14" s="27" t="s">
        <v>1988</v>
      </c>
      <c r="F14" s="3018" t="s">
        <v>3242</v>
      </c>
      <c r="G14" s="3018" t="s">
        <v>3242</v>
      </c>
      <c r="H14" s="3018" t="s">
        <v>3242</v>
      </c>
      <c r="I14" s="3018" t="s">
        <v>3242</v>
      </c>
      <c r="J14" s="3018" t="s">
        <v>3242</v>
      </c>
      <c r="K14" s="1056"/>
      <c r="L14" s="1056"/>
      <c r="M14" s="1056"/>
      <c r="N14" s="1056"/>
      <c r="O14" s="1056"/>
      <c r="P14" s="1056"/>
      <c r="Q14" s="1056"/>
      <c r="R14" s="1129">
        <v>13</v>
      </c>
      <c r="S14" s="1130"/>
      <c r="T14" s="3061" t="e">
        <f t="shared" si="0"/>
        <v>#DIV/0!</v>
      </c>
      <c r="U14" s="1130"/>
      <c r="V14" s="3061" t="e">
        <f t="shared" si="1"/>
        <v>#DIV/0!</v>
      </c>
      <c r="W14" s="1133"/>
      <c r="X14" s="1133"/>
      <c r="Y14" s="1133"/>
      <c r="Z14" s="1133"/>
      <c r="AA14" s="1133"/>
      <c r="AB14" s="1133"/>
      <c r="AC14" s="1134"/>
      <c r="AD14" s="2551"/>
      <c r="AE14" s="2551"/>
      <c r="AF14" s="2551"/>
      <c r="AG14" s="2551"/>
      <c r="AH14" s="2551"/>
      <c r="AI14" s="2551"/>
      <c r="AJ14" s="2552"/>
    </row>
    <row r="15" spans="1:36" ht="15">
      <c r="A15" s="3006"/>
      <c r="B15" s="1882"/>
      <c r="C15" s="1883"/>
      <c r="D15" s="1884"/>
      <c r="E15" s="1885"/>
      <c r="F15" s="1470" t="s">
        <v>3243</v>
      </c>
      <c r="G15" s="1925"/>
      <c r="H15" s="3019"/>
      <c r="I15" s="3020"/>
      <c r="J15" s="3021"/>
      <c r="K15" s="1056"/>
      <c r="L15" s="1056"/>
      <c r="M15" s="1056"/>
      <c r="N15" s="1056"/>
      <c r="O15" s="1056"/>
      <c r="P15" s="1056"/>
      <c r="Q15" s="1056"/>
      <c r="R15" s="1129">
        <v>14</v>
      </c>
      <c r="S15" s="1130"/>
      <c r="T15" s="3061" t="e">
        <f t="shared" si="0"/>
        <v>#DIV/0!</v>
      </c>
      <c r="U15" s="1130"/>
      <c r="V15" s="3061" t="e">
        <f t="shared" si="1"/>
        <v>#DIV/0!</v>
      </c>
      <c r="W15" s="1133"/>
      <c r="X15" s="1133"/>
      <c r="Y15" s="1133"/>
      <c r="Z15" s="1133"/>
      <c r="AA15" s="1133"/>
      <c r="AB15" s="1133"/>
      <c r="AC15" s="1134"/>
      <c r="AD15" s="2551"/>
      <c r="AE15" s="2551"/>
      <c r="AF15" s="2551"/>
      <c r="AG15" s="2551"/>
      <c r="AH15" s="2551"/>
      <c r="AI15" s="2551"/>
      <c r="AJ15" s="2552"/>
    </row>
    <row r="16" spans="1:36" ht="15.6" thickBot="1">
      <c r="A16" s="3006"/>
      <c r="B16" s="3024" t="s">
        <v>1989</v>
      </c>
      <c r="C16" s="3022"/>
      <c r="D16" s="3022"/>
      <c r="E16" s="3022"/>
      <c r="F16" s="3022">
        <v>1</v>
      </c>
      <c r="G16" s="3022">
        <v>1</v>
      </c>
      <c r="H16" s="3022">
        <v>1</v>
      </c>
      <c r="I16" s="3022">
        <v>1</v>
      </c>
      <c r="J16" s="3023">
        <v>1</v>
      </c>
      <c r="K16" s="1056"/>
      <c r="L16" s="1841"/>
      <c r="M16" s="1841"/>
      <c r="N16" s="1841"/>
      <c r="O16" s="1841"/>
      <c r="P16" s="1841"/>
      <c r="Q16" s="1056"/>
      <c r="R16" s="1129">
        <v>15</v>
      </c>
      <c r="S16" s="1130"/>
      <c r="T16" s="3061" t="e">
        <f t="shared" si="0"/>
        <v>#DIV/0!</v>
      </c>
      <c r="U16" s="1130"/>
      <c r="V16" s="3061" t="e">
        <f t="shared" si="1"/>
        <v>#DIV/0!</v>
      </c>
      <c r="W16" s="1133"/>
      <c r="X16" s="1133"/>
      <c r="Y16" s="1133"/>
      <c r="Z16" s="1133"/>
      <c r="AA16" s="1133"/>
      <c r="AB16" s="1133"/>
      <c r="AC16" s="1134"/>
      <c r="AD16" s="2551"/>
      <c r="AE16" s="2551"/>
      <c r="AF16" s="2551"/>
      <c r="AG16" s="2551"/>
      <c r="AH16" s="2551"/>
      <c r="AI16" s="2551"/>
      <c r="AJ16" s="2552"/>
    </row>
    <row r="17" spans="1:37" ht="24">
      <c r="A17" s="3033" t="s">
        <v>3244</v>
      </c>
      <c r="B17" s="3025" t="s">
        <v>3245</v>
      </c>
      <c r="C17" s="3034">
        <f>ROUND(IF(OR(E2="工业",E2="公共服务"),1,IF(AND(E18=0,E19=0),1,IF(AND(E18=J24,E19=G19),0.8,IF(E19=0,1+E17*(-0.2),1+E17*G17*(-0.2))))),4)</f>
        <v>1</v>
      </c>
      <c r="D17" s="3026" t="s">
        <v>3246</v>
      </c>
      <c r="E17" s="3034" t="e">
        <f>ROUND(G18/I18,2)</f>
        <v>#DIV/0!</v>
      </c>
      <c r="F17" s="3026" t="s">
        <v>3249</v>
      </c>
      <c r="G17" s="3034" t="e">
        <f>ROUND(E19/G19,2)</f>
        <v>#DIV/0!</v>
      </c>
      <c r="H17" s="3034"/>
      <c r="I17" s="3034"/>
      <c r="J17" s="3035"/>
      <c r="K17" s="1056"/>
      <c r="L17" s="1841"/>
      <c r="M17" s="1841"/>
      <c r="N17" s="1841"/>
      <c r="O17" s="1841"/>
      <c r="P17" s="1841"/>
      <c r="Q17" s="1056"/>
      <c r="R17" s="1056"/>
      <c r="S17" s="1056"/>
      <c r="T17" s="1056"/>
      <c r="U17" s="1056"/>
      <c r="V17" s="1056"/>
      <c r="W17" s="1056"/>
      <c r="X17" s="1056"/>
      <c r="Y17" s="1056"/>
      <c r="Z17" s="1057"/>
      <c r="AA17" s="1057"/>
      <c r="AB17" s="1057"/>
      <c r="AC17" s="1057"/>
      <c r="AD17" s="1057"/>
      <c r="AE17" s="1056"/>
      <c r="AF17" s="1056"/>
      <c r="AG17" s="1841"/>
      <c r="AH17" s="1841"/>
      <c r="AI17" s="1841"/>
      <c r="AJ17" s="1841"/>
    </row>
    <row r="18" spans="1:37" s="1855" customFormat="1" ht="13.8">
      <c r="A18" s="3036"/>
      <c r="B18" s="2307"/>
      <c r="C18" s="3032"/>
      <c r="D18" s="3027" t="s">
        <v>3247</v>
      </c>
      <c r="E18" s="2354"/>
      <c r="F18" s="3028" t="s">
        <v>3250</v>
      </c>
      <c r="G18" s="3032">
        <f>ROUND(1-(1/(POWER(1+G24,E18))),4)</f>
        <v>0</v>
      </c>
      <c r="H18" s="3028" t="s">
        <v>3252</v>
      </c>
      <c r="I18" s="3032">
        <f>ROUND(1-(1/(POWER(1+G24,J24))),4)</f>
        <v>0</v>
      </c>
      <c r="J18" s="3037"/>
      <c r="K18" s="1056"/>
      <c r="L18" s="1841"/>
      <c r="M18" s="1841"/>
      <c r="N18" s="1841"/>
      <c r="O18" s="1841"/>
      <c r="P18" s="1841"/>
      <c r="Q18" s="1056"/>
      <c r="R18" s="1060"/>
      <c r="S18" s="1060"/>
      <c r="T18" s="1057"/>
      <c r="U18" s="1057"/>
      <c r="V18" s="1057"/>
      <c r="W18" s="1056"/>
      <c r="X18" s="1056"/>
      <c r="Y18" s="1056"/>
      <c r="Z18" s="1061"/>
      <c r="AA18" s="1061"/>
      <c r="AB18" s="1061"/>
      <c r="AC18" s="1061"/>
      <c r="AD18" s="1061"/>
      <c r="AE18" s="1057"/>
      <c r="AF18" s="1057"/>
      <c r="AG18" s="1977"/>
      <c r="AH18" s="1977"/>
      <c r="AI18" s="1977"/>
      <c r="AJ18" s="2550"/>
    </row>
    <row r="19" spans="1:37" s="1855" customFormat="1" ht="14.4" thickBot="1">
      <c r="A19" s="3038"/>
      <c r="B19" s="3039"/>
      <c r="C19" s="3040"/>
      <c r="D19" s="3040" t="s">
        <v>3248</v>
      </c>
      <c r="E19" s="3041"/>
      <c r="F19" s="3042" t="s">
        <v>3251</v>
      </c>
      <c r="G19" s="3041"/>
      <c r="H19" s="3040"/>
      <c r="I19" s="3040"/>
      <c r="J19" s="3043"/>
      <c r="K19" s="1056"/>
      <c r="L19" s="1841"/>
      <c r="M19" s="1841"/>
      <c r="N19" s="1841"/>
      <c r="O19" s="1841"/>
      <c r="P19" s="1841"/>
      <c r="Q19" s="1060"/>
      <c r="R19" s="1060"/>
      <c r="S19" s="1060"/>
      <c r="T19" s="1057"/>
      <c r="U19" s="1057"/>
      <c r="V19" s="1057"/>
      <c r="W19" s="1056"/>
      <c r="X19" s="1056"/>
      <c r="Y19" s="1056"/>
      <c r="Z19" s="1061"/>
      <c r="AA19" s="1061"/>
      <c r="AB19" s="1061"/>
      <c r="AC19" s="1061"/>
      <c r="AD19" s="1061"/>
      <c r="AE19" s="1061"/>
      <c r="AF19" s="1060"/>
      <c r="AG19" s="2553"/>
      <c r="AH19" s="1977"/>
      <c r="AI19" s="561"/>
      <c r="AJ19" s="561"/>
      <c r="AK19" s="1896"/>
    </row>
    <row r="20" spans="1:37" s="1855" customFormat="1" ht="13.8">
      <c r="A20" s="3485" t="s">
        <v>3253</v>
      </c>
      <c r="B20" s="159" t="s">
        <v>1994</v>
      </c>
      <c r="C20" s="3029" t="e">
        <f>ROUND(IF(F21="与级别开发程度一致",0,(G21-E21)/C21),0)</f>
        <v>#DIV/0!</v>
      </c>
      <c r="D20" s="3044" t="s">
        <v>1998</v>
      </c>
      <c r="E20" s="3045"/>
      <c r="F20" s="3491" t="s">
        <v>1995</v>
      </c>
      <c r="G20" s="3492"/>
      <c r="H20" s="3030"/>
      <c r="I20" s="3030"/>
      <c r="J20" s="3031"/>
      <c r="K20" s="1886"/>
      <c r="L20" s="1886"/>
      <c r="M20" s="1886"/>
      <c r="N20" s="1886"/>
      <c r="O20" s="1887"/>
      <c r="P20" s="1841"/>
      <c r="Q20" s="1060"/>
      <c r="R20" s="1060"/>
      <c r="S20" s="1060"/>
      <c r="T20" s="1057"/>
      <c r="U20" s="1057"/>
      <c r="V20" s="1057"/>
      <c r="W20" s="1056"/>
      <c r="X20" s="1056"/>
      <c r="Y20" s="1056"/>
      <c r="Z20" s="1061"/>
      <c r="AA20" s="1061"/>
      <c r="AB20" s="1061"/>
      <c r="AC20" s="1061"/>
      <c r="AD20" s="1061"/>
      <c r="AE20" s="1061"/>
      <c r="AF20" s="1061"/>
      <c r="AG20" s="2550"/>
      <c r="AH20" s="2550"/>
      <c r="AI20" s="2550"/>
      <c r="AJ20" s="2550"/>
    </row>
    <row r="21" spans="1:37" s="1855" customFormat="1" ht="14.4" thickBot="1">
      <c r="A21" s="3486"/>
      <c r="B21" s="1999" t="s">
        <v>1997</v>
      </c>
      <c r="C21" s="2000">
        <f>IF(E3="M4科研用地",SUMPRODUCT((修正!A2:A7=E3)*(修正!B1:M1=G2)*(修正!B2:M7)),SUMPRODUCT((修正!A2:A7=E2)*(修正!B1:M1=G2)*(修正!B2:M7)))</f>
        <v>0</v>
      </c>
      <c r="D21" s="179" t="str">
        <f>IF(OR(G2="八级",G2="九级",G2="十级",G2="十一级",G2="十二级"),"五通一平","七通一平")</f>
        <v>七通一平</v>
      </c>
      <c r="E21" s="1990">
        <f>SUMPRODUCT((修正!B1:M1=G2)*(修正!B17:M17))</f>
        <v>0</v>
      </c>
      <c r="F21" s="1991"/>
      <c r="G21" s="1992">
        <f>SUM(H21:O21)</f>
        <v>0</v>
      </c>
      <c r="H21" s="2000">
        <f>SUMPRODUCT((七通一平=H20)*(修正!B1:M1=G2)*(修正!B8:M16))</f>
        <v>0</v>
      </c>
      <c r="I21" s="2000">
        <f>SUMPRODUCT((七通一平=I20)*(修正!B1:M1=G2)*(修正!B8:M16))</f>
        <v>0</v>
      </c>
      <c r="J21" s="2001">
        <f>SUMPRODUCT((七通一平=J20)*(修正!B1:M1=G2)*(修正!B8:M16))</f>
        <v>0</v>
      </c>
      <c r="K21" s="2000">
        <f>SUMPRODUCT((七通一平=K20)*(修正!B1:M1=G2)*(修正!B8:M16))</f>
        <v>0</v>
      </c>
      <c r="L21" s="2000">
        <f>SUMPRODUCT((七通一平=L20)*(修正!B1:M1=G2)*(修正!B8:M16))</f>
        <v>0</v>
      </c>
      <c r="M21" s="2000">
        <f>SUMPRODUCT((七通一平=M20)*(修正!B1:M1=G2)*(修正!B8:M16))</f>
        <v>0</v>
      </c>
      <c r="N21" s="2000">
        <f>SUMPRODUCT((七通一平=N20)*(修正!B1:M1=G2)*(修正!B8:M16))</f>
        <v>0</v>
      </c>
      <c r="O21" s="2002">
        <f>SUMPRODUCT((七通一平=O20)*(修正!B1:M1=G2)*(修正!B8:M16))</f>
        <v>0</v>
      </c>
      <c r="P21" s="1841"/>
      <c r="Q21" s="2550"/>
      <c r="R21" s="1060"/>
      <c r="S21" s="1060"/>
      <c r="T21" s="1057"/>
      <c r="U21" s="1057"/>
      <c r="V21" s="1057"/>
      <c r="W21" s="1056"/>
      <c r="X21" s="1056"/>
      <c r="Y21" s="1056"/>
      <c r="Z21" s="1061"/>
      <c r="AA21" s="1061"/>
      <c r="AB21" s="1061"/>
      <c r="AC21" s="1061"/>
      <c r="AD21" s="1061"/>
      <c r="AE21" s="1061"/>
      <c r="AF21" s="1061"/>
      <c r="AG21" s="2550"/>
      <c r="AH21" s="2550"/>
      <c r="AI21" s="2550"/>
      <c r="AJ21" s="2550"/>
    </row>
    <row r="22" spans="1:37" s="1855" customFormat="1" ht="15" thickBot="1">
      <c r="A22" s="1993" t="s">
        <v>363</v>
      </c>
      <c r="B22" s="1994" t="s">
        <v>2000</v>
      </c>
      <c r="C22" s="1995">
        <f>SUMIF(修正!C20:C51,E3,修正!E20:E51)</f>
        <v>0</v>
      </c>
      <c r="D22" s="1996"/>
      <c r="E22" s="1997"/>
      <c r="F22" s="1997"/>
      <c r="G22" s="1997"/>
      <c r="H22" s="1997"/>
      <c r="I22" s="1997"/>
      <c r="J22" s="1998"/>
      <c r="K22" s="1061"/>
      <c r="L22" s="2550"/>
      <c r="M22" s="2550"/>
      <c r="N22" s="2550"/>
      <c r="O22" s="1059"/>
      <c r="P22" s="1059"/>
      <c r="Q22" s="2550"/>
      <c r="R22" s="1060"/>
      <c r="S22" s="1060"/>
      <c r="T22" s="1057"/>
      <c r="U22" s="1057"/>
      <c r="V22" s="1057"/>
      <c r="W22" s="1056"/>
      <c r="X22" s="1056"/>
      <c r="Y22" s="1056"/>
      <c r="Z22" s="1061"/>
      <c r="AA22" s="1061"/>
      <c r="AB22" s="1061"/>
      <c r="AC22" s="1061"/>
      <c r="AD22" s="1061"/>
      <c r="AE22" s="1061"/>
      <c r="AF22" s="1061"/>
      <c r="AG22" s="2550"/>
      <c r="AH22" s="2550"/>
      <c r="AI22" s="2550"/>
      <c r="AJ22" s="2550"/>
    </row>
    <row r="23" spans="1:37" ht="27" thickBot="1">
      <c r="A23" s="1889" t="s">
        <v>364</v>
      </c>
      <c r="B23" s="1890"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3" t="s">
        <v>2002</v>
      </c>
      <c r="E23" s="717">
        <v>44197</v>
      </c>
      <c r="F23" s="1893" t="s">
        <v>2003</v>
      </c>
      <c r="G23" s="718">
        <f>'数据-取费表'!B2</f>
        <v>45755</v>
      </c>
      <c r="H23" s="3046" t="s">
        <v>3255</v>
      </c>
      <c r="I23" s="3047" t="str">
        <f>IF(H23="季度增幅（自定义）",SUMIF(N25:N28,E2,O25:O28),"")</f>
        <v/>
      </c>
      <c r="J23" s="3139" t="s">
        <v>3254</v>
      </c>
      <c r="K23" s="1061"/>
      <c r="L23" s="1894" t="s">
        <v>2004</v>
      </c>
      <c r="M23" s="1241">
        <f>ROUND(SUMIF(地价!B2:G2,E2,地价!B16:G16),0)</f>
        <v>0</v>
      </c>
      <c r="N23" s="1895" t="s">
        <v>2005</v>
      </c>
      <c r="O23" s="719">
        <f>ROUNDDOWN(DATEDIF(E23,G23,"M")/3,0)</f>
        <v>17</v>
      </c>
      <c r="P23" s="1057"/>
      <c r="Q23" s="2550"/>
      <c r="R23" s="1060"/>
      <c r="S23" s="1060"/>
      <c r="T23" s="1057"/>
      <c r="U23" s="1057"/>
      <c r="V23" s="1057"/>
      <c r="W23" s="1056"/>
      <c r="X23" s="1056"/>
      <c r="Y23" s="1056"/>
      <c r="Z23" s="1061"/>
      <c r="AA23" s="1061"/>
      <c r="AB23" s="1061"/>
      <c r="AC23" s="1061"/>
      <c r="AD23" s="1061"/>
      <c r="AE23" s="1057"/>
      <c r="AF23" s="1057"/>
      <c r="AG23" s="1977"/>
      <c r="AH23" s="1977"/>
      <c r="AI23" s="1977"/>
      <c r="AJ23" s="1977"/>
      <c r="AK23" s="1892"/>
    </row>
    <row r="24" spans="1:37" s="1855" customFormat="1" ht="24.6" thickBot="1">
      <c r="A24" s="1897" t="s">
        <v>365</v>
      </c>
      <c r="B24" s="1898" t="s">
        <v>2006</v>
      </c>
      <c r="C24" s="720" t="e">
        <f>ROUND(POWER(1+G24,J24-I24)*(POWER(1+G24,I24)-1)/(POWER(1+G24,J24)-1),4)</f>
        <v>#DIV/0!</v>
      </c>
      <c r="D24" s="1899" t="s">
        <v>2007</v>
      </c>
      <c r="E24" s="1248">
        <f>存贷款利率!E27/100</f>
        <v>4.3499999999999997E-2</v>
      </c>
      <c r="F24" s="1899" t="s">
        <v>1999</v>
      </c>
      <c r="G24" s="724">
        <f>SUMIF(M30:Q30,E2,M33:Q33)</f>
        <v>0</v>
      </c>
      <c r="H24" s="1899" t="s">
        <v>2008</v>
      </c>
      <c r="I24" s="725" t="e">
        <f>SUMIF('数据-取费表'!C6:C15,E2,'数据-取费表'!F6:F15)/COUNTIF('数据-取费表'!C6:C15,E2)</f>
        <v>#DIV/0!</v>
      </c>
      <c r="J24" s="726">
        <f>IF(E2="住宅",70,IF(E2="商业",40,50))</f>
        <v>50</v>
      </c>
      <c r="K24" s="1061"/>
      <c r="L24" s="1900" t="s">
        <v>2009</v>
      </c>
      <c r="M24" s="1242">
        <f>ROUND(SUMPRODUCT((地价!A4:A16=YEAR(G23)&amp;"-"&amp;ROUNDUP(MONTH(G23)/3,0))*(地价!B2:G2=E2)*(地价!B4:G16)),0)</f>
        <v>0</v>
      </c>
      <c r="N24" s="1901" t="s">
        <v>2010</v>
      </c>
      <c r="O24" s="1902" t="s">
        <v>2011</v>
      </c>
      <c r="P24" s="1903" t="s">
        <v>2012</v>
      </c>
      <c r="Q24" s="1841"/>
      <c r="R24" s="1060"/>
      <c r="S24" s="1060"/>
      <c r="T24" s="1057"/>
      <c r="U24" s="1057"/>
      <c r="V24" s="1057"/>
      <c r="W24" s="1056"/>
      <c r="X24" s="1056"/>
      <c r="Y24" s="1056"/>
      <c r="Z24" s="1061"/>
      <c r="AA24" s="1061"/>
      <c r="AB24" s="1061"/>
      <c r="AC24" s="1061"/>
      <c r="AD24" s="1061"/>
      <c r="AE24" s="1061"/>
      <c r="AF24" s="1061"/>
      <c r="AG24" s="2550"/>
      <c r="AH24" s="2550"/>
      <c r="AI24" s="2550"/>
      <c r="AJ24" s="2550"/>
    </row>
    <row r="25" spans="1:37" ht="14.4">
      <c r="A25" s="1904" t="s">
        <v>366</v>
      </c>
      <c r="B25" s="1905" t="s">
        <v>3334</v>
      </c>
      <c r="C25" s="461">
        <f>IF(B25="容积率修正",IF(G3&lt;10,D26,J26),C27)</f>
        <v>0</v>
      </c>
      <c r="D25" s="1906"/>
      <c r="E25" s="1906"/>
      <c r="F25" s="1906"/>
      <c r="G25" s="1906"/>
      <c r="H25" s="1906"/>
      <c r="I25" s="1906"/>
      <c r="J25" s="1907"/>
      <c r="K25" s="1061"/>
      <c r="L25" s="2550"/>
      <c r="M25" s="2550"/>
      <c r="N25" s="1908" t="s">
        <v>2013</v>
      </c>
      <c r="O25" s="1093"/>
      <c r="P25" s="1094">
        <f>SUMPRODUCT((地价!A3:A40=YEAR(G23)&amp;"-"&amp;ROUNDUP(MONTH(G23)/3,0))*(地价!AD2:AH2=N25)*(地价!AD3:AH40))</f>
        <v>0</v>
      </c>
      <c r="Q25" s="2550"/>
      <c r="R25" s="1060"/>
      <c r="S25" s="1060"/>
      <c r="T25" s="1057"/>
      <c r="U25" s="1057"/>
      <c r="V25" s="1057"/>
      <c r="W25" s="1056"/>
      <c r="X25" s="1056"/>
      <c r="Y25" s="1056"/>
      <c r="Z25" s="1061"/>
      <c r="AA25" s="1061"/>
      <c r="AB25" s="1061"/>
      <c r="AC25" s="1061"/>
      <c r="AD25" s="1061"/>
      <c r="AE25" s="1057"/>
      <c r="AF25" s="1057"/>
      <c r="AG25" s="1977"/>
      <c r="AH25" s="1977"/>
      <c r="AI25" s="1977"/>
      <c r="AJ25" s="1977"/>
    </row>
    <row r="26" spans="1:37" ht="14.4">
      <c r="A26" s="1803" t="s">
        <v>2014</v>
      </c>
      <c r="B26" s="1909" t="s">
        <v>2015</v>
      </c>
      <c r="C26" s="1909" t="s">
        <v>3256</v>
      </c>
      <c r="D26" s="1263">
        <f>IF(E26=G26,F26,IF(G3&lt;10,ROUND(F26+(H26-F26)*(G3-E26)/(G26-E26),4),"——"))</f>
        <v>0</v>
      </c>
      <c r="E26" s="708">
        <f>ROUNDDOWN(G3,1)</f>
        <v>2.5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2.5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09" t="s">
        <v>3257</v>
      </c>
      <c r="J26" s="374" t="str">
        <f>IF(G3&gt;=10,D115,"——")</f>
        <v>——</v>
      </c>
      <c r="K26" s="1061"/>
      <c r="L26" s="2550"/>
      <c r="M26" s="2550"/>
      <c r="N26" s="1908" t="s">
        <v>2016</v>
      </c>
      <c r="O26" s="1093"/>
      <c r="P26" s="1094">
        <f>SUMPRODUCT((地价!A3:A40=YEAR(G23)&amp;"-"&amp;ROUNDUP(MONTH(G23)/3,0))*(地价!AD2:AH2=N26)*(地价!AD3:AH40))</f>
        <v>0</v>
      </c>
      <c r="Q26" s="1841"/>
      <c r="R26" s="1060"/>
      <c r="S26" s="1060"/>
      <c r="T26" s="1057"/>
      <c r="U26" s="1057"/>
      <c r="V26" s="1057"/>
      <c r="W26" s="1056"/>
      <c r="X26" s="1056"/>
      <c r="Y26" s="1056"/>
      <c r="Z26" s="1061"/>
      <c r="AA26" s="1061"/>
      <c r="AB26" s="1061"/>
      <c r="AC26" s="1061"/>
      <c r="AD26" s="1061"/>
      <c r="AE26" s="1057"/>
      <c r="AF26" s="1057"/>
      <c r="AG26" s="1977"/>
      <c r="AH26" s="1977"/>
      <c r="AI26" s="1977"/>
      <c r="AJ26" s="1977"/>
    </row>
    <row r="27" spans="1:37" ht="15" thickBot="1">
      <c r="A27" s="1803" t="s">
        <v>2017</v>
      </c>
      <c r="B27" s="1910" t="s">
        <v>2018</v>
      </c>
      <c r="C27" s="791">
        <f>ROUND(IF(I3&lt;6,SUMPRODUCT((B106:B110=I3)*(C105:N105=G2)*(C106:N110)),SUMIF(C105:N105,G2,C112:N112)),4)</f>
        <v>0</v>
      </c>
      <c r="D27" s="1839"/>
      <c r="E27" s="1839"/>
      <c r="F27" s="1911"/>
      <c r="G27" s="1912"/>
      <c r="H27" s="1913"/>
      <c r="I27" s="1914"/>
      <c r="J27" s="1915"/>
      <c r="K27" s="1056"/>
      <c r="L27" s="1841"/>
      <c r="M27" s="1841"/>
      <c r="N27" s="1908" t="s">
        <v>2019</v>
      </c>
      <c r="O27" s="1093"/>
      <c r="P27" s="1094">
        <f>SUMPRODUCT((地价!A3:A40=YEAR(G23)&amp;"-"&amp;ROUNDUP(MONTH(G23)/3,0))*(地价!AD2:AH2=N27)*(地价!AD3:AH40))</f>
        <v>0</v>
      </c>
      <c r="Q27" s="1841"/>
      <c r="R27" s="1060"/>
      <c r="S27" s="1060"/>
      <c r="T27" s="1057"/>
      <c r="U27" s="1057"/>
      <c r="V27" s="1057"/>
      <c r="W27" s="1056"/>
      <c r="X27" s="1056"/>
      <c r="Y27" s="1056"/>
      <c r="Z27" s="1061"/>
      <c r="AA27" s="1061"/>
      <c r="AB27" s="1061"/>
      <c r="AC27" s="1061"/>
      <c r="AD27" s="1061"/>
      <c r="AE27" s="1057"/>
      <c r="AF27" s="1057"/>
      <c r="AG27" s="1977"/>
      <c r="AH27" s="1977"/>
      <c r="AI27" s="1977"/>
      <c r="AJ27" s="1977"/>
    </row>
    <row r="28" spans="1:37" ht="15" thickBot="1">
      <c r="A28" s="1897" t="s">
        <v>367</v>
      </c>
      <c r="B28" s="1890" t="s">
        <v>2020</v>
      </c>
      <c r="C28" s="716">
        <f>SUMIF(A47:A101,E2,B47:B101)</f>
        <v>0</v>
      </c>
      <c r="D28" s="1891"/>
      <c r="E28" s="1916"/>
      <c r="F28" s="1916"/>
      <c r="G28" s="1916"/>
      <c r="H28" s="1916"/>
      <c r="I28" s="1916"/>
      <c r="J28" s="1917"/>
      <c r="K28" s="1061"/>
      <c r="L28" s="2550"/>
      <c r="M28" s="2550"/>
      <c r="N28" s="1918"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7"/>
      <c r="AH28" s="1977"/>
      <c r="AI28" s="1977"/>
      <c r="AJ28" s="1977"/>
    </row>
    <row r="29" spans="1:37" ht="15" thickBot="1">
      <c r="A29" s="1897" t="s">
        <v>368</v>
      </c>
      <c r="B29" s="1919" t="s">
        <v>2022</v>
      </c>
      <c r="C29" s="721"/>
      <c r="D29" s="1865"/>
      <c r="E29" s="1865"/>
      <c r="F29" s="1920"/>
      <c r="G29" s="1865"/>
      <c r="H29" s="1865"/>
      <c r="I29" s="1865"/>
      <c r="J29" s="1866"/>
      <c r="K29" s="1056"/>
      <c r="L29" s="1841"/>
      <c r="M29" s="1841"/>
      <c r="N29" s="2547" t="s">
        <v>2023</v>
      </c>
      <c r="O29" s="2548"/>
      <c r="P29" s="2549">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1"/>
      <c r="AH29" s="1841"/>
      <c r="AI29" s="1841"/>
      <c r="AJ29" s="1841"/>
    </row>
    <row r="30" spans="1:37" ht="14.4">
      <c r="A30" s="1921"/>
      <c r="B30" s="1909" t="s">
        <v>2024</v>
      </c>
      <c r="C30" s="2142" t="e">
        <f>IF(B25="容积率修正",E33+SUM(E37:E42),SUM(V2:V16)+SUM(E37:E42))</f>
        <v>#DIV/0!</v>
      </c>
      <c r="D30" s="1922"/>
      <c r="E30" s="1839"/>
      <c r="F30" s="1923"/>
      <c r="G30" s="1839"/>
      <c r="H30" s="1839"/>
      <c r="I30" s="1839"/>
      <c r="J30" s="1924"/>
      <c r="K30" s="1056"/>
      <c r="L30" s="3053" t="s">
        <v>1936</v>
      </c>
      <c r="M30" s="3054" t="s">
        <v>1990</v>
      </c>
      <c r="N30" s="3054" t="s">
        <v>1991</v>
      </c>
      <c r="O30" s="3054" t="s">
        <v>1992</v>
      </c>
      <c r="P30" s="3054" t="s">
        <v>1993</v>
      </c>
      <c r="Q30" s="3057" t="s">
        <v>3261</v>
      </c>
      <c r="R30" s="1060"/>
      <c r="S30" s="1060"/>
      <c r="T30" s="1057"/>
      <c r="U30" s="1057"/>
      <c r="V30" s="1057"/>
      <c r="W30" s="1056"/>
      <c r="X30" s="1056"/>
      <c r="Y30" s="1056"/>
      <c r="Z30" s="1061"/>
      <c r="AA30" s="1061"/>
      <c r="AB30" s="1061"/>
      <c r="AC30" s="1061"/>
      <c r="AD30" s="1061"/>
      <c r="AE30" s="1056"/>
      <c r="AF30" s="1056"/>
      <c r="AG30" s="1841"/>
      <c r="AH30" s="1841"/>
      <c r="AI30" s="1841"/>
      <c r="AJ30" s="1841"/>
    </row>
    <row r="31" spans="1:37" ht="15" thickBot="1">
      <c r="A31" s="1921"/>
      <c r="B31" s="1925" t="s">
        <v>2025</v>
      </c>
      <c r="C31" s="722" t="e">
        <f>E34+SUM(I37:I42)</f>
        <v>#DIV/0!</v>
      </c>
      <c r="D31" s="1926"/>
      <c r="E31" s="1927"/>
      <c r="F31" s="1928"/>
      <c r="G31" s="1927"/>
      <c r="H31" s="1927"/>
      <c r="I31" s="1927"/>
      <c r="J31" s="1929"/>
      <c r="K31" s="1056"/>
      <c r="L31" s="3055" t="s">
        <v>1996</v>
      </c>
      <c r="M31" s="162">
        <v>0.25</v>
      </c>
      <c r="N31" s="162">
        <v>0.2</v>
      </c>
      <c r="O31" s="162">
        <v>0.15</v>
      </c>
      <c r="P31" s="162">
        <v>0.1</v>
      </c>
      <c r="Q31" s="3050">
        <v>0.15</v>
      </c>
      <c r="R31" s="1060"/>
      <c r="S31" s="1060"/>
      <c r="T31" s="1057"/>
      <c r="U31" s="1057"/>
      <c r="V31" s="1057"/>
      <c r="W31" s="1056"/>
      <c r="X31" s="1056"/>
      <c r="Y31" s="1056"/>
      <c r="Z31" s="1061"/>
      <c r="AA31" s="1061"/>
      <c r="AB31" s="1061"/>
      <c r="AC31" s="1061"/>
      <c r="AD31" s="1061"/>
      <c r="AE31" s="1056"/>
      <c r="AF31" s="1056"/>
      <c r="AG31" s="1841"/>
      <c r="AH31" s="1841"/>
      <c r="AI31" s="1841"/>
      <c r="AJ31" s="1841"/>
    </row>
    <row r="32" spans="1:37" ht="15" thickBot="1">
      <c r="A32" s="1930"/>
      <c r="B32" s="1931" t="s">
        <v>2026</v>
      </c>
      <c r="C32" s="1932" t="s">
        <v>2027</v>
      </c>
      <c r="D32" s="1932" t="s">
        <v>2028</v>
      </c>
      <c r="E32" s="1933" t="s">
        <v>2029</v>
      </c>
      <c r="F32" s="1934"/>
      <c r="G32" s="1878"/>
      <c r="H32" s="1878"/>
      <c r="I32" s="1878"/>
      <c r="J32" s="1879"/>
      <c r="K32" s="1056"/>
      <c r="L32" s="3056" t="s">
        <v>1999</v>
      </c>
      <c r="M32" s="2353">
        <f>ROUND($E$24*(1+M31),3)</f>
        <v>5.3999999999999999E-2</v>
      </c>
      <c r="N32" s="2353">
        <f>ROUND($E$24*(1+N31),3)</f>
        <v>5.1999999999999998E-2</v>
      </c>
      <c r="O32" s="2353">
        <f>ROUND($E$24*(1+O31),3)</f>
        <v>0.05</v>
      </c>
      <c r="P32" s="2353">
        <f>ROUND($E$24*(1+P31),3)</f>
        <v>4.8000000000000001E-2</v>
      </c>
      <c r="Q32" s="3058">
        <f>ROUND($E$24*(1+Q31),3)</f>
        <v>0.05</v>
      </c>
      <c r="R32" s="1060"/>
      <c r="S32" s="1060"/>
      <c r="T32" s="1057"/>
      <c r="U32" s="1057"/>
      <c r="V32" s="1057"/>
      <c r="W32" s="1056"/>
      <c r="X32" s="1056"/>
      <c r="Y32" s="1056"/>
      <c r="Z32" s="1061"/>
      <c r="AA32" s="1061"/>
      <c r="AB32" s="1061"/>
      <c r="AC32" s="1061"/>
      <c r="AD32" s="1061"/>
      <c r="AE32" s="1056"/>
      <c r="AF32" s="1056"/>
      <c r="AG32" s="1841"/>
      <c r="AH32" s="1841"/>
      <c r="AI32" s="1841"/>
      <c r="AJ32" s="1841"/>
    </row>
    <row r="33" spans="1:37" ht="13.8">
      <c r="A33" s="1935"/>
      <c r="B33" s="1936" t="s">
        <v>2030</v>
      </c>
      <c r="C33" s="167" t="e">
        <f>ROUND(C5*C22*C23*C24*C25*C28,0)</f>
        <v>#DIV/0!</v>
      </c>
      <c r="D33" s="1937"/>
      <c r="E33" s="727" t="e">
        <f>ROUND(C33*D33/10000,0)</f>
        <v>#DIV/0!</v>
      </c>
      <c r="F33" s="3048" t="s">
        <v>3259</v>
      </c>
      <c r="G33" s="1938"/>
      <c r="H33" s="1938"/>
      <c r="I33" s="1938"/>
      <c r="J33" s="1939"/>
      <c r="K33" s="1056"/>
      <c r="L33" s="3051" t="s">
        <v>3262</v>
      </c>
      <c r="M33" s="3052">
        <v>5.5E-2</v>
      </c>
      <c r="N33" s="3052">
        <v>5.5E-2</v>
      </c>
      <c r="O33" s="3052">
        <v>0.05</v>
      </c>
      <c r="P33" s="3052">
        <v>0.05</v>
      </c>
      <c r="Q33" s="3052">
        <v>0.05</v>
      </c>
      <c r="R33" s="1060"/>
      <c r="S33" s="1060"/>
      <c r="T33" s="1057"/>
      <c r="U33" s="1057"/>
      <c r="V33" s="1057"/>
      <c r="W33" s="1056"/>
      <c r="X33" s="1056"/>
      <c r="Y33" s="1056"/>
      <c r="Z33" s="1061"/>
      <c r="AA33" s="1061"/>
      <c r="AB33" s="1061"/>
      <c r="AC33" s="1061"/>
      <c r="AD33" s="1061"/>
      <c r="AE33" s="1057"/>
      <c r="AF33" s="1057"/>
      <c r="AG33" s="1977"/>
      <c r="AH33" s="1977"/>
      <c r="AI33" s="1977"/>
      <c r="AJ33" s="1977"/>
    </row>
    <row r="34" spans="1:37" ht="25.8" thickBot="1">
      <c r="A34" s="1940"/>
      <c r="B34" s="1941" t="s">
        <v>2031</v>
      </c>
      <c r="C34" s="179" t="e">
        <f>ROUND(IF(E2="工业",C33*M42,IF(B25="楼层修正",SUM(V2:V16)*M41*10000/D34,C33*M41)),0)</f>
        <v>#DIV/0!</v>
      </c>
      <c r="D34" s="1942"/>
      <c r="E34" s="727" t="e">
        <f>ROUND(IF(B25="楼层修正",SUM(V2:V16)*M40,C34*D34/10000),0)</f>
        <v>#DIV/0!</v>
      </c>
      <c r="F34" s="1943" t="s">
        <v>2032</v>
      </c>
      <c r="G34" s="1944"/>
      <c r="H34" s="1944"/>
      <c r="I34" s="1944"/>
      <c r="J34" s="1945"/>
      <c r="K34" s="1056"/>
      <c r="L34" s="3051" t="s">
        <v>3263</v>
      </c>
      <c r="M34" s="3052">
        <v>6.5000000000000002E-2</v>
      </c>
      <c r="N34" s="3052">
        <v>6.5000000000000002E-2</v>
      </c>
      <c r="O34" s="3052">
        <v>0.06</v>
      </c>
      <c r="P34" s="3052">
        <v>0.06</v>
      </c>
      <c r="Q34" s="3052">
        <v>0.06</v>
      </c>
      <c r="R34" s="1060"/>
      <c r="S34" s="1060"/>
      <c r="T34" s="1057"/>
      <c r="U34" s="1057"/>
      <c r="V34" s="1057"/>
      <c r="W34" s="1056"/>
      <c r="X34" s="1056"/>
      <c r="Y34" s="1056"/>
      <c r="Z34" s="1061"/>
      <c r="AA34" s="1061"/>
      <c r="AB34" s="1061"/>
      <c r="AC34" s="1061"/>
      <c r="AD34" s="1061"/>
      <c r="AE34" s="1057"/>
      <c r="AF34" s="1057"/>
      <c r="AG34" s="1977"/>
      <c r="AH34" s="1977"/>
      <c r="AI34" s="1977"/>
      <c r="AJ34" s="1977"/>
    </row>
    <row r="35" spans="1:37">
      <c r="A35" s="1946"/>
      <c r="B35" s="1947" t="s">
        <v>2033</v>
      </c>
      <c r="C35" s="3049" t="s">
        <v>3260</v>
      </c>
      <c r="D35" s="1878"/>
      <c r="E35" s="1948"/>
      <c r="F35" s="1948"/>
      <c r="G35" s="1876" t="s">
        <v>2034</v>
      </c>
      <c r="H35" s="1878"/>
      <c r="I35" s="1949"/>
      <c r="J35" s="1879"/>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7"/>
      <c r="AH35" s="1977"/>
      <c r="AI35" s="1977"/>
      <c r="AJ35" s="1977"/>
    </row>
    <row r="36" spans="1:37" ht="36.6" thickBot="1">
      <c r="A36" s="1935"/>
      <c r="B36" s="1950"/>
      <c r="C36" s="436" t="s">
        <v>2027</v>
      </c>
      <c r="D36" s="433" t="s">
        <v>2028</v>
      </c>
      <c r="E36" s="433" t="s">
        <v>2029</v>
      </c>
      <c r="F36" s="333" t="s">
        <v>2035</v>
      </c>
      <c r="G36" s="1951" t="s">
        <v>2027</v>
      </c>
      <c r="H36" s="1951" t="s">
        <v>2028</v>
      </c>
      <c r="I36" s="1951" t="s">
        <v>2029</v>
      </c>
      <c r="J36" s="235"/>
      <c r="K36" s="1961" t="s">
        <v>3264</v>
      </c>
      <c r="L36" s="3140">
        <f ca="1">'数据-取费表'!B40</f>
        <v>3.1E-2</v>
      </c>
      <c r="M36" s="2363">
        <f ca="1">ROUND($L$36*(1+M31),3)</f>
        <v>3.9E-2</v>
      </c>
      <c r="N36" s="2363">
        <f ca="1">ROUND($L$36*(1+N31),3)</f>
        <v>3.6999999999999998E-2</v>
      </c>
      <c r="O36" s="2363">
        <f ca="1">ROUND($L$36*(1+O31),3)</f>
        <v>3.5999999999999997E-2</v>
      </c>
      <c r="P36" s="2363">
        <f ca="1">ROUND($L$36*(1+P31),3)</f>
        <v>3.4000000000000002E-2</v>
      </c>
      <c r="Q36" s="2363">
        <f ca="1">ROUND($L$36*(1+Q31),3)</f>
        <v>3.5999999999999997E-2</v>
      </c>
      <c r="R36" s="1056"/>
      <c r="S36" s="1056"/>
      <c r="T36" s="1056"/>
      <c r="U36" s="1056"/>
      <c r="V36" s="1056"/>
      <c r="W36" s="1056"/>
      <c r="X36" s="1056"/>
      <c r="Y36" s="1056"/>
      <c r="Z36" s="1057"/>
      <c r="AA36" s="1057"/>
      <c r="AB36" s="1057"/>
      <c r="AC36" s="1057"/>
      <c r="AD36" s="1057"/>
      <c r="AE36" s="1057"/>
      <c r="AF36" s="1057"/>
      <c r="AG36" s="1977"/>
      <c r="AH36" s="1977"/>
      <c r="AI36" s="1977"/>
      <c r="AJ36" s="1977"/>
    </row>
    <row r="37" spans="1:37" ht="24.6" thickBot="1">
      <c r="A37" s="3489"/>
      <c r="B37" s="1952" t="s">
        <v>2036</v>
      </c>
      <c r="C37" s="167" t="e">
        <f>ROUND(D5*C22*C23*C24*C28*F37,0)</f>
        <v>#DIV/0!</v>
      </c>
      <c r="D37" s="1937"/>
      <c r="E37" s="163" t="e">
        <f>ROUND(C37*D37/10000,0)</f>
        <v>#DIV/0!</v>
      </c>
      <c r="F37" s="163">
        <f>SUMIF(修正!A57:A68,G2,修正!B57:B68)</f>
        <v>0</v>
      </c>
      <c r="G37" s="163" t="e">
        <f>ROUND(IF(E2="工业",C37*$M$42,C37*$M$41),0)</f>
        <v>#DIV/0!</v>
      </c>
      <c r="H37" s="163">
        <f>D37</f>
        <v>0</v>
      </c>
      <c r="I37" s="163" t="e">
        <f>ROUND(G37*H37/10000,0)</f>
        <v>#DIV/0!</v>
      </c>
      <c r="J37" s="2752"/>
      <c r="K37" s="3059" t="s">
        <v>3265</v>
      </c>
      <c r="L37" s="1961">
        <f ca="1">L36+K38</f>
        <v>3.5999999999999997E-2</v>
      </c>
      <c r="M37" s="2363">
        <f ca="1">ROUND($L$37*(1+M31),3)</f>
        <v>4.4999999999999998E-2</v>
      </c>
      <c r="N37" s="2363">
        <f t="shared" ref="N37:Q37" ca="1" si="3">ROUND($L$37*(1+N31),3)</f>
        <v>4.2999999999999997E-2</v>
      </c>
      <c r="O37" s="2363">
        <f t="shared" ca="1" si="3"/>
        <v>4.1000000000000002E-2</v>
      </c>
      <c r="P37" s="2363">
        <f t="shared" ca="1" si="3"/>
        <v>0.04</v>
      </c>
      <c r="Q37" s="2363">
        <f t="shared" ca="1" si="3"/>
        <v>4.1000000000000002E-2</v>
      </c>
      <c r="R37" s="1056"/>
      <c r="S37" s="1056"/>
      <c r="T37" s="1056"/>
      <c r="U37" s="1056"/>
      <c r="V37" s="1056"/>
      <c r="W37" s="1056"/>
      <c r="X37" s="1056"/>
      <c r="Y37" s="1056"/>
      <c r="Z37" s="1057"/>
      <c r="AA37" s="1057"/>
      <c r="AB37" s="1057"/>
      <c r="AC37" s="1057"/>
      <c r="AD37" s="1057"/>
      <c r="AE37" s="1057"/>
      <c r="AF37" s="1057"/>
      <c r="AG37" s="1977"/>
      <c r="AH37" s="1977"/>
      <c r="AI37" s="1977"/>
      <c r="AJ37" s="1977"/>
    </row>
    <row r="38" spans="1:37">
      <c r="A38" s="3490"/>
      <c r="B38" s="1881" t="s">
        <v>2037</v>
      </c>
      <c r="C38" s="167" t="e">
        <f>ROUND(D5*C22*C23*C24*C28*F38,0)</f>
        <v>#DIV/0!</v>
      </c>
      <c r="D38" s="1937"/>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1"/>
      <c r="K38" s="1961">
        <v>5.0000000000000001E-3</v>
      </c>
      <c r="L38" s="1961"/>
      <c r="M38" s="1961"/>
      <c r="N38" s="1961"/>
      <c r="O38" s="1961"/>
      <c r="P38" s="1961"/>
      <c r="Q38" s="1961"/>
      <c r="R38" s="1056"/>
      <c r="S38" s="1056"/>
      <c r="T38" s="1056"/>
      <c r="U38" s="1056"/>
      <c r="V38" s="1056"/>
      <c r="W38" s="1056"/>
      <c r="X38" s="1056"/>
      <c r="Y38" s="1056"/>
      <c r="Z38" s="1057"/>
      <c r="AA38" s="1057"/>
      <c r="AB38" s="1057"/>
      <c r="AC38" s="1057"/>
      <c r="AD38" s="1057"/>
    </row>
    <row r="39" spans="1:37" ht="13.8" thickBot="1">
      <c r="A39" s="3490"/>
      <c r="B39" s="1881" t="s">
        <v>3258</v>
      </c>
      <c r="C39" s="167" t="e">
        <f>ROUND(D5*C22*C23*C24*C28*F39,0)</f>
        <v>#DIV/0!</v>
      </c>
      <c r="D39" s="1937"/>
      <c r="E39" s="163" t="e">
        <f t="shared" si="4"/>
        <v>#DIV/0!</v>
      </c>
      <c r="F39" s="163">
        <f>SUMIF(修正!A57:A68,G2,修正!D57:D68)</f>
        <v>0</v>
      </c>
      <c r="G39" s="163" t="e">
        <f>ROUND(IF(E2="工业",C39*$M$42,C39*$M$41),0)</f>
        <v>#DIV/0!</v>
      </c>
      <c r="H39" s="163">
        <f t="shared" si="5"/>
        <v>0</v>
      </c>
      <c r="I39" s="163" t="e">
        <f t="shared" si="6"/>
        <v>#DIV/0!</v>
      </c>
      <c r="J39" s="2751"/>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3"/>
      <c r="B40" s="1881" t="s">
        <v>2038</v>
      </c>
      <c r="C40" s="163" t="e">
        <f>ROUND(D5*C22*C23*C24*C28*F40,0)</f>
        <v>#DIV/0!</v>
      </c>
      <c r="D40" s="1937"/>
      <c r="E40" s="163" t="e">
        <f t="shared" si="4"/>
        <v>#DIV/0!</v>
      </c>
      <c r="F40" s="167">
        <f>SUMIF(修正!A57:A68,G2,修正!E57:E68)</f>
        <v>0</v>
      </c>
      <c r="G40" s="163" t="e">
        <f>ROUND(IF(E2="工业",C40*$M$42,C40*$M$41),0)</f>
        <v>#DIV/0!</v>
      </c>
      <c r="H40" s="163">
        <f t="shared" si="5"/>
        <v>0</v>
      </c>
      <c r="I40" s="163" t="e">
        <f t="shared" si="6"/>
        <v>#DIV/0!</v>
      </c>
      <c r="J40" s="939"/>
      <c r="L40" s="1954" t="s">
        <v>2039</v>
      </c>
      <c r="M40" s="1955"/>
      <c r="Z40" s="1057"/>
      <c r="AA40" s="1057"/>
      <c r="AB40" s="1057"/>
      <c r="AC40" s="1057"/>
      <c r="AD40" s="1057"/>
      <c r="AE40" s="1057"/>
      <c r="AF40" s="1057"/>
      <c r="AG40" s="1057"/>
      <c r="AH40" s="1057"/>
      <c r="AI40" s="1057"/>
      <c r="AJ40" s="1057"/>
    </row>
    <row r="41" spans="1:37" s="1056" customFormat="1">
      <c r="A41" s="1953"/>
      <c r="B41" s="1881" t="s">
        <v>2040</v>
      </c>
      <c r="C41" s="163" t="e">
        <f>ROUND(D5*C22*C23*C44*C28*F41,0)</f>
        <v>#DIV/0!</v>
      </c>
      <c r="D41" s="1937"/>
      <c r="E41" s="163" t="e">
        <f t="shared" si="4"/>
        <v>#DIV/0!</v>
      </c>
      <c r="F41" s="167">
        <f>SUMIF(修正!A57:A68,G2,修正!F57:F68)</f>
        <v>0</v>
      </c>
      <c r="G41" s="163" t="e">
        <f>ROUND(IF(E2="工业",C41*$M$42,C41*$M$41),0)</f>
        <v>#DIV/0!</v>
      </c>
      <c r="H41" s="163">
        <f t="shared" si="5"/>
        <v>0</v>
      </c>
      <c r="I41" s="163" t="e">
        <f t="shared" si="6"/>
        <v>#DIV/0!</v>
      </c>
      <c r="J41" s="939"/>
      <c r="L41" s="3060" t="s">
        <v>3266</v>
      </c>
      <c r="M41" s="1956">
        <v>0.25</v>
      </c>
      <c r="Z41" s="1057"/>
      <c r="AA41" s="1057"/>
      <c r="AB41" s="1057"/>
      <c r="AC41" s="1057"/>
      <c r="AD41" s="1057"/>
      <c r="AE41" s="1057"/>
      <c r="AF41" s="1057"/>
      <c r="AG41" s="1057"/>
      <c r="AH41" s="1057"/>
      <c r="AI41" s="1057"/>
      <c r="AJ41" s="1057"/>
    </row>
    <row r="42" spans="1:37" s="1056" customFormat="1" ht="13.8" thickBot="1">
      <c r="A42" s="1940"/>
      <c r="B42" s="1957" t="s">
        <v>2041</v>
      </c>
      <c r="C42" s="179" t="e">
        <f>ROUND(D5*C22*C23*C44*C28*F42,0)</f>
        <v>#DIV/0!</v>
      </c>
      <c r="D42" s="1942"/>
      <c r="E42" s="179" t="e">
        <f t="shared" si="4"/>
        <v>#DIV/0!</v>
      </c>
      <c r="F42" s="723">
        <f>SUMIF(修正!A57:A68,G2,修正!G57:G68)</f>
        <v>0</v>
      </c>
      <c r="G42" s="179" t="e">
        <f>ROUND(IF(E2="工业",C42*$M$42,C42*$M$41),0)</f>
        <v>#DIV/0!</v>
      </c>
      <c r="H42" s="179">
        <f t="shared" si="5"/>
        <v>0</v>
      </c>
      <c r="I42" s="179" t="e">
        <f t="shared" si="6"/>
        <v>#DIV/0!</v>
      </c>
      <c r="J42" s="1958"/>
      <c r="L42" s="1959" t="s">
        <v>1993</v>
      </c>
      <c r="M42" s="1960">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89" t="s">
        <v>2122</v>
      </c>
      <c r="C44" s="333" t="e">
        <f>ROUND(POWER(1+E44,H44-G44)*(POWER(1+E44,G44)-1)/(POWER(1+E44,H44)-1),4)</f>
        <v>#DIV/0!</v>
      </c>
      <c r="D44" s="163" t="s">
        <v>1999</v>
      </c>
      <c r="E44" s="1988">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1"/>
      <c r="Z45" s="1057"/>
      <c r="AA45" s="1057"/>
      <c r="AB45" s="1057"/>
      <c r="AC45" s="1057"/>
      <c r="AD45" s="1057"/>
      <c r="AE45" s="1057"/>
      <c r="AF45" s="1057"/>
      <c r="AG45" s="1057"/>
      <c r="AH45" s="1057"/>
      <c r="AI45" s="1057"/>
      <c r="AJ45" s="1057"/>
    </row>
    <row r="46" spans="1:37" s="1056" customFormat="1">
      <c r="A46" s="1057"/>
      <c r="B46" s="1961"/>
      <c r="AA46" s="1057"/>
      <c r="AB46" s="1057"/>
      <c r="AC46" s="1057"/>
      <c r="AD46" s="1057"/>
      <c r="AE46" s="1057"/>
      <c r="AF46" s="1057"/>
      <c r="AG46" s="1057"/>
      <c r="AH46" s="1057"/>
      <c r="AI46" s="1057"/>
      <c r="AJ46" s="1057"/>
      <c r="AK46" s="1057"/>
    </row>
    <row r="47" spans="1:37" s="1056" customFormat="1" ht="15" thickBot="1">
      <c r="A47" s="1962" t="s">
        <v>2042</v>
      </c>
      <c r="B47" s="1963"/>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4" t="s">
        <v>2043</v>
      </c>
      <c r="B48" s="1965">
        <f>1+E50</f>
        <v>1</v>
      </c>
      <c r="C48" s="1726"/>
      <c r="D48" s="699"/>
      <c r="E48" s="700"/>
      <c r="F48" s="1966"/>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67" t="s">
        <v>2044</v>
      </c>
      <c r="B49" s="1262" t="s">
        <v>2045</v>
      </c>
      <c r="C49" s="1262" t="s">
        <v>2046</v>
      </c>
      <c r="D49" s="1262" t="s">
        <v>2047</v>
      </c>
      <c r="E49" s="701" t="s">
        <v>2048</v>
      </c>
      <c r="F49" s="1968" t="s">
        <v>2049</v>
      </c>
      <c r="G49" s="1262" t="s">
        <v>310</v>
      </c>
      <c r="H49" s="1969"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c r="A50" s="1967" t="s">
        <v>2052</v>
      </c>
      <c r="B50" s="1970" t="str">
        <f>估价对象房地状况!C4</f>
        <v>估价对象位于XX商圈，周边商业氛围成熟，人流量大，商业繁华度好</v>
      </c>
      <c r="C50" s="1884"/>
      <c r="D50" s="1002">
        <f t="shared" ref="D50:D58" si="7">SUMIF($J$49:$N$49,C50,J50:N50)</f>
        <v>0</v>
      </c>
      <c r="E50" s="702">
        <f>ROUND(SUM(D50:D58),4)</f>
        <v>0</v>
      </c>
      <c r="F50" s="1675" t="str">
        <f>IF(E2="商业",SUMIF(L1:L12,G2,N1:N12),"——")</f>
        <v>——</v>
      </c>
      <c r="G50" s="1000"/>
      <c r="H50" s="1003" t="str">
        <f t="shared" ref="H50:H58" si="8">IFERROR(ROUNDDOWN($F$50*I50/2,4),"——")</f>
        <v>——</v>
      </c>
      <c r="I50" s="3066">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c r="A51" s="1967" t="s">
        <v>2053</v>
      </c>
      <c r="B51" s="1262" t="str">
        <f>估价对象房地状况!C18</f>
        <v>估价对象周边道路状况、公共交通通达情况、停车便捷程度，综合评价交通便捷度较好</v>
      </c>
      <c r="C51" s="1884"/>
      <c r="D51" s="1002">
        <f t="shared" si="7"/>
        <v>0</v>
      </c>
      <c r="E51" s="703"/>
      <c r="F51" s="1675"/>
      <c r="G51" s="1000"/>
      <c r="H51" s="1003" t="str">
        <f t="shared" si="8"/>
        <v>——</v>
      </c>
      <c r="I51" s="3066">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68" t="s">
        <v>3268</v>
      </c>
      <c r="B52" s="1262">
        <f>估价对象房地状况!C19</f>
        <v>0</v>
      </c>
      <c r="C52" s="1884"/>
      <c r="D52" s="1002">
        <f t="shared" si="7"/>
        <v>0</v>
      </c>
      <c r="E52" s="703"/>
      <c r="F52" s="1675"/>
      <c r="G52" s="1000"/>
      <c r="H52" s="1003" t="str">
        <f t="shared" si="8"/>
        <v>——</v>
      </c>
      <c r="I52" s="3066">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67" t="s">
        <v>2054</v>
      </c>
      <c r="B53" s="1971" t="s">
        <v>2055</v>
      </c>
      <c r="C53" s="1884"/>
      <c r="D53" s="1002">
        <f t="shared" si="7"/>
        <v>0</v>
      </c>
      <c r="E53" s="703"/>
      <c r="F53" s="1675"/>
      <c r="G53" s="1000"/>
      <c r="H53" s="1003" t="str">
        <f t="shared" si="8"/>
        <v>——</v>
      </c>
      <c r="I53" s="3066">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7" t="s">
        <v>2056</v>
      </c>
      <c r="B54" s="1262">
        <f>估价对象房地状况!C24</f>
        <v>0</v>
      </c>
      <c r="C54" s="1884"/>
      <c r="D54" s="1002">
        <f t="shared" si="7"/>
        <v>0</v>
      </c>
      <c r="E54" s="703"/>
      <c r="F54" s="1675"/>
      <c r="G54" s="1000"/>
      <c r="H54" s="1003" t="str">
        <f t="shared" si="8"/>
        <v>——</v>
      </c>
      <c r="I54" s="3066">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67" t="s">
        <v>2057</v>
      </c>
      <c r="B55" s="1972" t="s">
        <v>2058</v>
      </c>
      <c r="C55" s="1884"/>
      <c r="D55" s="1002">
        <f t="shared" si="7"/>
        <v>0</v>
      </c>
      <c r="E55" s="703"/>
      <c r="F55" s="1675"/>
      <c r="G55" s="1000"/>
      <c r="H55" s="1003" t="str">
        <f t="shared" si="8"/>
        <v>——</v>
      </c>
      <c r="I55" s="3066">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c r="A56" s="1973" t="s">
        <v>2059</v>
      </c>
      <c r="B56" s="1240" t="str">
        <f>估价对象房地状况!C21</f>
        <v>估价对象所在区域公共配套设施齐备情况</v>
      </c>
      <c r="C56" s="1884"/>
      <c r="D56" s="1002">
        <f t="shared" si="7"/>
        <v>0</v>
      </c>
      <c r="E56" s="703"/>
      <c r="F56" s="1675"/>
      <c r="G56" s="1000"/>
      <c r="H56" s="1003" t="str">
        <f t="shared" si="8"/>
        <v>——</v>
      </c>
      <c r="I56" s="3066">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3" t="s">
        <v>2060</v>
      </c>
      <c r="B57" s="1262" t="str">
        <f>估价对象房地状况!C22</f>
        <v>估价对象所在区域基础设施水平</v>
      </c>
      <c r="C57" s="1884"/>
      <c r="D57" s="1002">
        <f t="shared" si="7"/>
        <v>0</v>
      </c>
      <c r="E57" s="703"/>
      <c r="F57" s="1675"/>
      <c r="G57" s="1000"/>
      <c r="H57" s="1003" t="str">
        <f t="shared" si="8"/>
        <v>——</v>
      </c>
      <c r="I57" s="3066">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thickBot="1">
      <c r="A58" s="1974" t="s">
        <v>2061</v>
      </c>
      <c r="B58" s="1975" t="str">
        <f>估价对象房地状况!C20</f>
        <v>区域自然环境：；人文环境；综合评价环境状况一般</v>
      </c>
      <c r="C58" s="1884"/>
      <c r="D58" s="1002">
        <f t="shared" si="7"/>
        <v>0</v>
      </c>
      <c r="E58" s="704"/>
      <c r="F58" s="1675"/>
      <c r="G58" s="1000"/>
      <c r="H58" s="1003" t="str">
        <f t="shared" si="8"/>
        <v>——</v>
      </c>
      <c r="I58" s="3067">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4" t="s">
        <v>2062</v>
      </c>
      <c r="B59" s="1965">
        <f>1+E61</f>
        <v>1</v>
      </c>
      <c r="C59" s="699"/>
      <c r="D59" s="699"/>
      <c r="E59" s="700"/>
      <c r="F59" s="1966"/>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67" t="s">
        <v>2044</v>
      </c>
      <c r="B60" s="1262"/>
      <c r="C60" s="1262" t="s">
        <v>2046</v>
      </c>
      <c r="D60" s="1262" t="s">
        <v>2047</v>
      </c>
      <c r="E60" s="701" t="s">
        <v>2048</v>
      </c>
      <c r="F60" s="1968" t="s">
        <v>2063</v>
      </c>
      <c r="G60" s="1262" t="s">
        <v>310</v>
      </c>
      <c r="H60" s="1969"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c r="A61" s="1967" t="s">
        <v>2064</v>
      </c>
      <c r="B61" s="1970" t="str">
        <f>估价对象房地状况!C17</f>
        <v>估价对象位于XX商圈，周边办公楼项目较多，入驻率高，办公集聚程度较好</v>
      </c>
      <c r="C61" s="1884"/>
      <c r="D61" s="1002">
        <f t="shared" ref="D61:D69" si="12">SUMIF($J$60:$N$60,C61,J61:N61)</f>
        <v>0</v>
      </c>
      <c r="E61" s="702">
        <f>ROUND(SUM(D61:D69),4)</f>
        <v>0</v>
      </c>
      <c r="F61" s="1675" t="str">
        <f>IF(E2="办公",SUMIF(L1:L12,G2,N1:N12),"——")</f>
        <v>——</v>
      </c>
      <c r="G61" s="1000"/>
      <c r="H61" s="1003" t="str">
        <f t="shared" ref="H61:H69" si="13">IFERROR(ROUNDDOWN($F$61*I61/2,4),"——")</f>
        <v>——</v>
      </c>
      <c r="I61" s="3066">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c r="A62" s="1967" t="s">
        <v>2053</v>
      </c>
      <c r="B62" s="1262" t="str">
        <f>估价对象房地状况!C18</f>
        <v>估价对象周边道路状况、公共交通通达情况、停车便捷程度，综合评价交通便捷度较好</v>
      </c>
      <c r="C62" s="1884"/>
      <c r="D62" s="1002">
        <f t="shared" si="12"/>
        <v>0</v>
      </c>
      <c r="E62" s="703"/>
      <c r="F62" s="1675"/>
      <c r="G62" s="1000"/>
      <c r="H62" s="1003" t="str">
        <f t="shared" si="13"/>
        <v>——</v>
      </c>
      <c r="I62" s="3066">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68" t="s">
        <v>3268</v>
      </c>
      <c r="B63" s="1262">
        <f>估价对象房地状况!C19</f>
        <v>0</v>
      </c>
      <c r="C63" s="1884"/>
      <c r="D63" s="1002">
        <f t="shared" si="12"/>
        <v>0</v>
      </c>
      <c r="E63" s="703"/>
      <c r="F63" s="1675"/>
      <c r="G63" s="1000"/>
      <c r="H63" s="1003" t="str">
        <f t="shared" si="13"/>
        <v>——</v>
      </c>
      <c r="I63" s="3066">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67" t="s">
        <v>2054</v>
      </c>
      <c r="B64" s="1971" t="s">
        <v>2055</v>
      </c>
      <c r="C64" s="1884"/>
      <c r="D64" s="1002">
        <f t="shared" si="12"/>
        <v>0</v>
      </c>
      <c r="E64" s="703"/>
      <c r="F64" s="1675"/>
      <c r="G64" s="1000"/>
      <c r="H64" s="1003" t="str">
        <f t="shared" si="13"/>
        <v>——</v>
      </c>
      <c r="I64" s="3066">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7" t="s">
        <v>2056</v>
      </c>
      <c r="B65" s="1262">
        <f>估价对象房地状况!C24</f>
        <v>0</v>
      </c>
      <c r="C65" s="1884"/>
      <c r="D65" s="1002">
        <f t="shared" si="12"/>
        <v>0</v>
      </c>
      <c r="E65" s="703"/>
      <c r="F65" s="1675"/>
      <c r="G65" s="1000"/>
      <c r="H65" s="1003" t="str">
        <f t="shared" si="13"/>
        <v>——</v>
      </c>
      <c r="I65" s="3066">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67" t="s">
        <v>2057</v>
      </c>
      <c r="B66" s="1972" t="s">
        <v>2058</v>
      </c>
      <c r="C66" s="1884"/>
      <c r="D66" s="1002">
        <f t="shared" si="12"/>
        <v>0</v>
      </c>
      <c r="E66" s="703"/>
      <c r="F66" s="1675"/>
      <c r="G66" s="1000"/>
      <c r="H66" s="1003" t="str">
        <f t="shared" si="13"/>
        <v>——</v>
      </c>
      <c r="I66" s="3066">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c r="A67" s="1967" t="s">
        <v>2059</v>
      </c>
      <c r="B67" s="1240" t="str">
        <f>估价对象房地状况!C21</f>
        <v>估价对象所在区域公共配套设施齐备情况</v>
      </c>
      <c r="C67" s="1884"/>
      <c r="D67" s="1002">
        <f t="shared" si="12"/>
        <v>0</v>
      </c>
      <c r="E67" s="703"/>
      <c r="F67" s="1675"/>
      <c r="G67" s="1000"/>
      <c r="H67" s="1003" t="str">
        <f t="shared" si="13"/>
        <v>——</v>
      </c>
      <c r="I67" s="3066">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67" t="s">
        <v>2060</v>
      </c>
      <c r="B68" s="1240" t="str">
        <f>估价对象房地状况!C22</f>
        <v>估价对象所在区域基础设施水平</v>
      </c>
      <c r="C68" s="1884"/>
      <c r="D68" s="1002">
        <f t="shared" si="12"/>
        <v>0</v>
      </c>
      <c r="E68" s="703"/>
      <c r="F68" s="1675"/>
      <c r="G68" s="1000"/>
      <c r="H68" s="1003" t="str">
        <f t="shared" si="13"/>
        <v>——</v>
      </c>
      <c r="I68" s="3066">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thickBot="1">
      <c r="A69" s="1974" t="s">
        <v>2061</v>
      </c>
      <c r="B69" s="1976" t="str">
        <f>估价对象房地状况!C20</f>
        <v>区域自然环境：；人文环境；综合评价环境状况一般</v>
      </c>
      <c r="C69" s="1884"/>
      <c r="D69" s="1002">
        <f t="shared" si="12"/>
        <v>0</v>
      </c>
      <c r="E69" s="704"/>
      <c r="F69" s="1675"/>
      <c r="G69" s="1000"/>
      <c r="H69" s="1003" t="str">
        <f t="shared" si="13"/>
        <v>——</v>
      </c>
      <c r="I69" s="3067">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4" t="s">
        <v>2065</v>
      </c>
      <c r="B70" s="1965">
        <f>1+E72</f>
        <v>1</v>
      </c>
      <c r="C70" s="699"/>
      <c r="D70" s="699"/>
      <c r="E70" s="700"/>
      <c r="F70" s="1966"/>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67" t="s">
        <v>2044</v>
      </c>
      <c r="B71" s="1262"/>
      <c r="C71" s="1262" t="s">
        <v>2046</v>
      </c>
      <c r="D71" s="1262" t="s">
        <v>2047</v>
      </c>
      <c r="E71" s="701" t="s">
        <v>2048</v>
      </c>
      <c r="F71" s="1968" t="s">
        <v>2063</v>
      </c>
      <c r="G71" s="1262" t="s">
        <v>310</v>
      </c>
      <c r="H71" s="1969"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67" t="s">
        <v>2066</v>
      </c>
      <c r="B72" s="1970" t="str">
        <f>估价对象房地状况!C15</f>
        <v>估价对象周边居住用地比例、居住小区规模和社区发展完善程度，综合评价居住社区成熟度一般</v>
      </c>
      <c r="C72" s="1884"/>
      <c r="D72" s="1002">
        <f t="shared" ref="D72:D80" si="17">SUMIF($J$71:$N$71,C72,J72:N72)</f>
        <v>0</v>
      </c>
      <c r="E72" s="702">
        <f>ROUND(SUM(D72:D80),4)</f>
        <v>0</v>
      </c>
      <c r="F72" s="1675" t="str">
        <f>IF(E2="住宅",SUMIF(L1:L12,G2,N1:N12),"——")</f>
        <v>——</v>
      </c>
      <c r="G72" s="1000"/>
      <c r="H72" s="1003" t="str">
        <f t="shared" ref="H72:H80" si="18">IFERROR(ROUNDDOWN($F$72*I72/2,4),"——")</f>
        <v>——</v>
      </c>
      <c r="I72" s="3066">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c r="A73" s="1967" t="s">
        <v>2053</v>
      </c>
      <c r="B73" s="1262" t="str">
        <f>估价对象房地状况!C18</f>
        <v>估价对象周边道路状况、公共交通通达情况、停车便捷程度，综合评价交通便捷度较好</v>
      </c>
      <c r="C73" s="1884"/>
      <c r="D73" s="1002">
        <f t="shared" si="17"/>
        <v>0</v>
      </c>
      <c r="E73" s="705"/>
      <c r="F73" s="1675"/>
      <c r="G73" s="1000"/>
      <c r="H73" s="1003" t="str">
        <f t="shared" si="18"/>
        <v>——</v>
      </c>
      <c r="I73" s="3066">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1" customFormat="1" ht="48">
      <c r="A74" s="3068" t="s">
        <v>3268</v>
      </c>
      <c r="B74" s="1262">
        <f>估价对象房地状况!C19</f>
        <v>0</v>
      </c>
      <c r="C74" s="1884"/>
      <c r="D74" s="1002">
        <f t="shared" si="17"/>
        <v>0</v>
      </c>
      <c r="E74" s="705"/>
      <c r="F74" s="1675"/>
      <c r="G74" s="1000"/>
      <c r="H74" s="1003" t="str">
        <f t="shared" si="18"/>
        <v>——</v>
      </c>
      <c r="I74" s="3066">
        <v>0.1</v>
      </c>
      <c r="J74" s="1001">
        <f t="shared" si="19"/>
        <v>0</v>
      </c>
      <c r="K74" s="1001">
        <f t="shared" si="20"/>
        <v>0</v>
      </c>
      <c r="L74" s="1001">
        <v>0</v>
      </c>
      <c r="M74" s="1001">
        <f t="shared" si="21"/>
        <v>0</v>
      </c>
      <c r="N74" s="1001">
        <f t="shared" si="21"/>
        <v>0</v>
      </c>
      <c r="O74" s="1056"/>
      <c r="P74" s="1056"/>
      <c r="Q74" s="1056"/>
      <c r="AA74" s="1977"/>
      <c r="AB74" s="1057"/>
      <c r="AC74" s="1057"/>
      <c r="AD74" s="1057"/>
      <c r="AE74" s="1057"/>
      <c r="AF74" s="1057"/>
      <c r="AG74" s="1057"/>
      <c r="AH74" s="1977"/>
      <c r="AI74" s="1977"/>
      <c r="AJ74" s="1977"/>
      <c r="AK74" s="1977"/>
    </row>
    <row r="75" spans="1:37" ht="13.8">
      <c r="A75" s="1967" t="s">
        <v>2067</v>
      </c>
      <c r="B75" s="1262">
        <f>估价对象房地状况!C24</f>
        <v>0</v>
      </c>
      <c r="C75" s="1884"/>
      <c r="D75" s="1002">
        <f t="shared" si="17"/>
        <v>0</v>
      </c>
      <c r="E75" s="705"/>
      <c r="F75" s="1675"/>
      <c r="G75" s="1000"/>
      <c r="H75" s="1003" t="str">
        <f t="shared" si="18"/>
        <v>——</v>
      </c>
      <c r="I75" s="3066">
        <v>0.05</v>
      </c>
      <c r="J75" s="1001">
        <f t="shared" si="19"/>
        <v>0</v>
      </c>
      <c r="K75" s="1001">
        <f t="shared" si="20"/>
        <v>0</v>
      </c>
      <c r="L75" s="1001">
        <v>0</v>
      </c>
      <c r="M75" s="1001">
        <f t="shared" si="21"/>
        <v>0</v>
      </c>
      <c r="N75" s="1001">
        <f t="shared" si="21"/>
        <v>0</v>
      </c>
      <c r="O75" s="1056"/>
      <c r="P75" s="1056"/>
      <c r="Q75" s="1841"/>
      <c r="Z75" s="1842"/>
      <c r="AA75" s="1892"/>
      <c r="AG75" s="1058"/>
      <c r="AK75" s="1892"/>
    </row>
    <row r="76" spans="1:37" ht="26.4">
      <c r="A76" s="1967" t="s">
        <v>2059</v>
      </c>
      <c r="B76" s="1240" t="str">
        <f>估价对象房地状况!C21</f>
        <v>估价对象所在区域公共配套设施齐备情况</v>
      </c>
      <c r="C76" s="1884"/>
      <c r="D76" s="1002">
        <f t="shared" si="17"/>
        <v>0</v>
      </c>
      <c r="E76" s="705"/>
      <c r="F76" s="1675"/>
      <c r="G76" s="1000"/>
      <c r="H76" s="1003" t="str">
        <f t="shared" si="18"/>
        <v>——</v>
      </c>
      <c r="I76" s="3066">
        <v>0.08</v>
      </c>
      <c r="J76" s="1001">
        <f t="shared" si="19"/>
        <v>0</v>
      </c>
      <c r="K76" s="1001">
        <f t="shared" si="20"/>
        <v>0</v>
      </c>
      <c r="L76" s="1001">
        <v>0</v>
      </c>
      <c r="M76" s="1001">
        <f t="shared" si="21"/>
        <v>0</v>
      </c>
      <c r="N76" s="1001">
        <f t="shared" si="21"/>
        <v>0</v>
      </c>
      <c r="O76" s="1056"/>
      <c r="P76" s="1056"/>
      <c r="Z76" s="1842"/>
      <c r="AA76" s="1892"/>
      <c r="AG76" s="1058"/>
      <c r="AK76" s="1892"/>
    </row>
    <row r="77" spans="1:37" ht="26.4">
      <c r="A77" s="1967" t="s">
        <v>2060</v>
      </c>
      <c r="B77" s="1240" t="str">
        <f>估价对象房地状况!C22</f>
        <v>估价对象所在区域基础设施水平</v>
      </c>
      <c r="C77" s="1884"/>
      <c r="D77" s="1002">
        <f t="shared" si="17"/>
        <v>0</v>
      </c>
      <c r="E77" s="705"/>
      <c r="F77" s="1675"/>
      <c r="G77" s="1000"/>
      <c r="H77" s="1003" t="str">
        <f t="shared" si="18"/>
        <v>——</v>
      </c>
      <c r="I77" s="3066">
        <v>0.09</v>
      </c>
      <c r="J77" s="1001">
        <f t="shared" si="19"/>
        <v>0</v>
      </c>
      <c r="K77" s="1001">
        <f t="shared" si="20"/>
        <v>0</v>
      </c>
      <c r="L77" s="1001">
        <v>0</v>
      </c>
      <c r="M77" s="1001">
        <f t="shared" si="21"/>
        <v>0</v>
      </c>
      <c r="N77" s="1001">
        <f t="shared" si="21"/>
        <v>0</v>
      </c>
      <c r="O77" s="1056"/>
      <c r="P77" s="1056"/>
      <c r="Z77" s="1842"/>
      <c r="AA77" s="1892"/>
      <c r="AG77" s="1058"/>
      <c r="AK77" s="1892"/>
    </row>
    <row r="78" spans="1:37" ht="36">
      <c r="A78" s="1967" t="s">
        <v>2057</v>
      </c>
      <c r="B78" s="1972" t="s">
        <v>2058</v>
      </c>
      <c r="C78" s="1884"/>
      <c r="D78" s="1002">
        <f t="shared" si="17"/>
        <v>0</v>
      </c>
      <c r="E78" s="705"/>
      <c r="F78" s="1675"/>
      <c r="G78" s="1000"/>
      <c r="H78" s="1003" t="str">
        <f t="shared" si="18"/>
        <v>——</v>
      </c>
      <c r="I78" s="3066">
        <v>0.05</v>
      </c>
      <c r="J78" s="1001">
        <f t="shared" si="19"/>
        <v>0</v>
      </c>
      <c r="K78" s="1001">
        <f t="shared" si="20"/>
        <v>0</v>
      </c>
      <c r="L78" s="1001">
        <v>0</v>
      </c>
      <c r="M78" s="1001">
        <f t="shared" si="21"/>
        <v>0</v>
      </c>
      <c r="N78" s="1001">
        <f t="shared" si="21"/>
        <v>0</v>
      </c>
      <c r="O78" s="1841"/>
      <c r="P78" s="1841"/>
      <c r="Z78" s="1842"/>
      <c r="AA78" s="1892"/>
      <c r="AG78" s="1058"/>
      <c r="AK78" s="1892"/>
    </row>
    <row r="79" spans="1:37" ht="39.6">
      <c r="A79" s="1967" t="s">
        <v>2061</v>
      </c>
      <c r="B79" s="1970" t="str">
        <f>估价对象房地状况!C20</f>
        <v>区域自然环境：；人文环境；综合评价环境状况一般</v>
      </c>
      <c r="C79" s="1884"/>
      <c r="D79" s="1002">
        <f t="shared" si="17"/>
        <v>0</v>
      </c>
      <c r="E79" s="705"/>
      <c r="F79" s="1675"/>
      <c r="G79" s="1000"/>
      <c r="H79" s="1003" t="str">
        <f t="shared" si="18"/>
        <v>——</v>
      </c>
      <c r="I79" s="3066">
        <v>0.12</v>
      </c>
      <c r="J79" s="1001">
        <f t="shared" si="19"/>
        <v>0</v>
      </c>
      <c r="K79" s="1001">
        <f t="shared" si="20"/>
        <v>0</v>
      </c>
      <c r="L79" s="1001">
        <v>0</v>
      </c>
      <c r="M79" s="1001">
        <f t="shared" si="21"/>
        <v>0</v>
      </c>
      <c r="N79" s="1001">
        <f t="shared" si="21"/>
        <v>0</v>
      </c>
      <c r="Z79" s="1842"/>
      <c r="AA79" s="1892"/>
      <c r="AG79" s="1058"/>
      <c r="AK79" s="1892"/>
    </row>
    <row r="80" spans="1:37" ht="36.6" thickBot="1">
      <c r="A80" s="1974" t="s">
        <v>2068</v>
      </c>
      <c r="B80" s="1978"/>
      <c r="C80" s="1884"/>
      <c r="D80" s="1002">
        <f t="shared" si="17"/>
        <v>0</v>
      </c>
      <c r="E80" s="706"/>
      <c r="F80" s="1675"/>
      <c r="G80" s="1000"/>
      <c r="H80" s="1003" t="str">
        <f t="shared" si="18"/>
        <v>——</v>
      </c>
      <c r="I80" s="3067">
        <v>0.05</v>
      </c>
      <c r="J80" s="1001">
        <f t="shared" si="19"/>
        <v>0</v>
      </c>
      <c r="K80" s="1001">
        <f t="shared" si="20"/>
        <v>0</v>
      </c>
      <c r="L80" s="1001">
        <v>0</v>
      </c>
      <c r="M80" s="1001">
        <f t="shared" si="21"/>
        <v>0</v>
      </c>
      <c r="N80" s="1001">
        <f t="shared" si="21"/>
        <v>0</v>
      </c>
      <c r="Z80" s="1842"/>
      <c r="AA80" s="1892"/>
      <c r="AG80" s="1058"/>
      <c r="AK80" s="1892"/>
    </row>
    <row r="81" spans="1:37" ht="14.4">
      <c r="A81" s="1964" t="s">
        <v>2069</v>
      </c>
      <c r="B81" s="1965">
        <f>1+E83</f>
        <v>1</v>
      </c>
      <c r="C81" s="699"/>
      <c r="D81" s="699"/>
      <c r="E81" s="700"/>
      <c r="F81" s="1966"/>
      <c r="G81" s="3"/>
      <c r="H81" s="3"/>
      <c r="I81" s="3"/>
      <c r="J81" s="4"/>
      <c r="K81" s="4"/>
      <c r="L81" s="4"/>
      <c r="M81" s="4"/>
      <c r="N81" s="4"/>
      <c r="Z81" s="1842"/>
      <c r="AA81" s="1892"/>
      <c r="AG81" s="1058"/>
      <c r="AK81" s="1892"/>
    </row>
    <row r="82" spans="1:37" ht="25.2">
      <c r="A82" s="1967" t="s">
        <v>2044</v>
      </c>
      <c r="B82" s="1262"/>
      <c r="C82" s="1262" t="s">
        <v>2046</v>
      </c>
      <c r="D82" s="1262" t="s">
        <v>2047</v>
      </c>
      <c r="E82" s="701" t="s">
        <v>2048</v>
      </c>
      <c r="F82" s="1968" t="s">
        <v>2063</v>
      </c>
      <c r="G82" s="1262" t="s">
        <v>310</v>
      </c>
      <c r="H82" s="1969" t="s">
        <v>2050</v>
      </c>
      <c r="I82" s="1262" t="s">
        <v>2051</v>
      </c>
      <c r="J82" s="530" t="s">
        <v>1721</v>
      </c>
      <c r="K82" s="530" t="s">
        <v>1722</v>
      </c>
      <c r="L82" s="530" t="s">
        <v>1723</v>
      </c>
      <c r="M82" s="530" t="s">
        <v>1724</v>
      </c>
      <c r="N82" s="530" t="s">
        <v>1725</v>
      </c>
      <c r="Z82" s="1842"/>
      <c r="AA82" s="1892"/>
      <c r="AG82" s="1058"/>
      <c r="AK82" s="1892"/>
    </row>
    <row r="83" spans="1:37" ht="39.6">
      <c r="A83" s="1967" t="s">
        <v>2070</v>
      </c>
      <c r="B83" s="1262" t="str">
        <f>估价对象房地状况!G15</f>
        <v>估价对象位于XX开发区，园区建设成熟度XX，产业集聚程度XX</v>
      </c>
      <c r="C83" s="1884"/>
      <c r="D83" s="1002">
        <f t="shared" ref="D83:D90" si="22">SUMIF($J$82:$N$82,C83,J83:N83)</f>
        <v>0</v>
      </c>
      <c r="E83" s="702">
        <f>ROUND(SUM(D83:D90),4)</f>
        <v>0</v>
      </c>
      <c r="F83" s="1675" t="str">
        <f>IF(E2="工业",SUMIF(L1:L12,G2,N1:N12),"——")</f>
        <v>——</v>
      </c>
      <c r="G83" s="1000"/>
      <c r="H83" s="1003" t="str">
        <f t="shared" ref="H83:H90" si="23">IFERROR(ROUNDDOWN($F$83*I83/2,4),"——")</f>
        <v>——</v>
      </c>
      <c r="I83" s="3066">
        <v>0.26</v>
      </c>
      <c r="J83" s="1001">
        <f t="shared" ref="J83:J90" si="24">K83+$G83</f>
        <v>0</v>
      </c>
      <c r="K83" s="1001">
        <f t="shared" ref="K83:K90" si="25">$L83+$G83</f>
        <v>0</v>
      </c>
      <c r="L83" s="1001">
        <v>0</v>
      </c>
      <c r="M83" s="1001">
        <f t="shared" ref="M83:N90" si="26">L83-$G83</f>
        <v>0</v>
      </c>
      <c r="N83" s="1001">
        <f t="shared" si="26"/>
        <v>0</v>
      </c>
      <c r="Z83" s="1842"/>
      <c r="AA83" s="1892"/>
      <c r="AG83" s="1058"/>
      <c r="AK83" s="1892"/>
    </row>
    <row r="84" spans="1:37" ht="52.8">
      <c r="A84" s="1967" t="s">
        <v>2053</v>
      </c>
      <c r="B84" s="1262" t="str">
        <f>估价对象房地状况!G16</f>
        <v>估价对象周边道路状况、公共交通通达情况、停车便捷程度，综合评价交通便捷度较好</v>
      </c>
      <c r="C84" s="1884"/>
      <c r="D84" s="1002">
        <f t="shared" si="22"/>
        <v>0</v>
      </c>
      <c r="E84" s="705"/>
      <c r="F84" s="1675"/>
      <c r="G84" s="1000"/>
      <c r="H84" s="1003" t="str">
        <f t="shared" si="23"/>
        <v>——</v>
      </c>
      <c r="I84" s="3066">
        <v>0.3</v>
      </c>
      <c r="J84" s="1001">
        <f t="shared" si="24"/>
        <v>0</v>
      </c>
      <c r="K84" s="1001">
        <f t="shared" si="25"/>
        <v>0</v>
      </c>
      <c r="L84" s="1001">
        <v>0</v>
      </c>
      <c r="M84" s="1001">
        <f t="shared" si="26"/>
        <v>0</v>
      </c>
      <c r="N84" s="1001">
        <f t="shared" si="26"/>
        <v>0</v>
      </c>
      <c r="Z84" s="1842"/>
      <c r="AA84" s="1892"/>
      <c r="AG84" s="1058"/>
      <c r="AK84" s="1892"/>
    </row>
    <row r="85" spans="1:37" ht="48">
      <c r="A85" s="3068" t="s">
        <v>3269</v>
      </c>
      <c r="B85" s="1262">
        <f>估价对象房地状况!G17</f>
        <v>0</v>
      </c>
      <c r="C85" s="1884"/>
      <c r="D85" s="1002">
        <f t="shared" si="22"/>
        <v>0</v>
      </c>
      <c r="E85" s="705"/>
      <c r="F85" s="1675"/>
      <c r="G85" s="1000"/>
      <c r="H85" s="1003" t="str">
        <f t="shared" si="23"/>
        <v>——</v>
      </c>
      <c r="I85" s="3066">
        <v>0.1</v>
      </c>
      <c r="J85" s="1001">
        <f t="shared" si="24"/>
        <v>0</v>
      </c>
      <c r="K85" s="1001">
        <f t="shared" si="25"/>
        <v>0</v>
      </c>
      <c r="L85" s="1001">
        <v>0</v>
      </c>
      <c r="M85" s="1001">
        <f t="shared" si="26"/>
        <v>0</v>
      </c>
      <c r="N85" s="1001">
        <f t="shared" si="26"/>
        <v>0</v>
      </c>
      <c r="Z85" s="1842"/>
      <c r="AA85" s="1892"/>
      <c r="AG85" s="1058"/>
      <c r="AK85" s="1892"/>
    </row>
    <row r="86" spans="1:37" ht="13.8">
      <c r="A86" s="1967" t="s">
        <v>2067</v>
      </c>
      <c r="B86" s="1262">
        <f>估价对象房地状况!G22</f>
        <v>0</v>
      </c>
      <c r="C86" s="1884"/>
      <c r="D86" s="1002">
        <f t="shared" si="22"/>
        <v>0</v>
      </c>
      <c r="E86" s="705"/>
      <c r="F86" s="1675"/>
      <c r="G86" s="1000"/>
      <c r="H86" s="1003" t="str">
        <f t="shared" si="23"/>
        <v>——</v>
      </c>
      <c r="I86" s="3066">
        <v>0.05</v>
      </c>
      <c r="J86" s="1001">
        <f t="shared" si="24"/>
        <v>0</v>
      </c>
      <c r="K86" s="1001">
        <f t="shared" si="25"/>
        <v>0</v>
      </c>
      <c r="L86" s="1001">
        <v>0</v>
      </c>
      <c r="M86" s="1001">
        <f t="shared" si="26"/>
        <v>0</v>
      </c>
      <c r="N86" s="1001">
        <f t="shared" si="26"/>
        <v>0</v>
      </c>
      <c r="Z86" s="1842"/>
      <c r="AA86" s="1892"/>
      <c r="AG86" s="1058"/>
      <c r="AK86" s="1892"/>
    </row>
    <row r="87" spans="1:37" ht="26.4">
      <c r="A87" s="1967" t="s">
        <v>2059</v>
      </c>
      <c r="B87" s="1240" t="str">
        <f>估价对象房地状况!G19</f>
        <v>估价对象所在区域公共配套设施齐备情况</v>
      </c>
      <c r="C87" s="1884"/>
      <c r="D87" s="1002">
        <f t="shared" si="22"/>
        <v>0</v>
      </c>
      <c r="E87" s="705"/>
      <c r="F87" s="1675"/>
      <c r="G87" s="1000"/>
      <c r="H87" s="1003" t="str">
        <f t="shared" si="23"/>
        <v>——</v>
      </c>
      <c r="I87" s="3066">
        <v>0.06</v>
      </c>
      <c r="J87" s="1001">
        <f t="shared" si="24"/>
        <v>0</v>
      </c>
      <c r="K87" s="1001">
        <f t="shared" si="25"/>
        <v>0</v>
      </c>
      <c r="L87" s="1001">
        <v>0</v>
      </c>
      <c r="M87" s="1001">
        <f t="shared" si="26"/>
        <v>0</v>
      </c>
      <c r="N87" s="1001">
        <f t="shared" si="26"/>
        <v>0</v>
      </c>
    </row>
    <row r="88" spans="1:37" ht="26.4">
      <c r="A88" s="1967" t="s">
        <v>2060</v>
      </c>
      <c r="B88" s="1240" t="str">
        <f>估价对象房地状况!G20</f>
        <v>估价对象所在区域基础设施水平</v>
      </c>
      <c r="C88" s="1884"/>
      <c r="D88" s="1002">
        <f t="shared" si="22"/>
        <v>0</v>
      </c>
      <c r="E88" s="705"/>
      <c r="F88" s="1675"/>
      <c r="G88" s="1000"/>
      <c r="H88" s="1003" t="str">
        <f t="shared" si="23"/>
        <v>——</v>
      </c>
      <c r="I88" s="3066">
        <v>0.12</v>
      </c>
      <c r="J88" s="1001">
        <f t="shared" si="24"/>
        <v>0</v>
      </c>
      <c r="K88" s="1001">
        <f t="shared" si="25"/>
        <v>0</v>
      </c>
      <c r="L88" s="1001">
        <v>0</v>
      </c>
      <c r="M88" s="1001">
        <f t="shared" si="26"/>
        <v>0</v>
      </c>
      <c r="N88" s="1001">
        <f t="shared" si="26"/>
        <v>0</v>
      </c>
    </row>
    <row r="89" spans="1:37" ht="36">
      <c r="A89" s="1967" t="s">
        <v>2057</v>
      </c>
      <c r="B89" s="1972" t="s">
        <v>2071</v>
      </c>
      <c r="C89" s="1884"/>
      <c r="D89" s="1002">
        <f t="shared" si="22"/>
        <v>0</v>
      </c>
      <c r="E89" s="705"/>
      <c r="F89" s="1675"/>
      <c r="G89" s="1000"/>
      <c r="H89" s="1003" t="str">
        <f t="shared" si="23"/>
        <v>——</v>
      </c>
      <c r="I89" s="3066">
        <v>0.06</v>
      </c>
      <c r="J89" s="1001">
        <f t="shared" si="24"/>
        <v>0</v>
      </c>
      <c r="K89" s="1001">
        <f t="shared" si="25"/>
        <v>0</v>
      </c>
      <c r="L89" s="1001">
        <v>0</v>
      </c>
      <c r="M89" s="1001">
        <f t="shared" si="26"/>
        <v>0</v>
      </c>
      <c r="N89" s="1001">
        <f t="shared" si="26"/>
        <v>0</v>
      </c>
    </row>
    <row r="90" spans="1:37" ht="40.200000000000003" thickBot="1">
      <c r="A90" s="1974" t="s">
        <v>2072</v>
      </c>
      <c r="B90" s="1979" t="str">
        <f>估价对象房地状况!G18</f>
        <v>该园区内是否有污染型企业，绿化情况，卫生条件，整体环境状况判断</v>
      </c>
      <c r="C90" s="1884"/>
      <c r="D90" s="1002">
        <f t="shared" si="22"/>
        <v>0</v>
      </c>
      <c r="E90" s="706"/>
      <c r="F90" s="1675"/>
      <c r="G90" s="1000"/>
      <c r="H90" s="1003" t="str">
        <f t="shared" si="23"/>
        <v>——</v>
      </c>
      <c r="I90" s="3067">
        <v>0.05</v>
      </c>
      <c r="J90" s="1001">
        <f t="shared" si="24"/>
        <v>0</v>
      </c>
      <c r="K90" s="1001">
        <f t="shared" si="25"/>
        <v>0</v>
      </c>
      <c r="L90" s="1001">
        <v>0</v>
      </c>
      <c r="M90" s="1001">
        <f t="shared" si="26"/>
        <v>0</v>
      </c>
      <c r="N90" s="1001">
        <f t="shared" si="26"/>
        <v>0</v>
      </c>
    </row>
    <row r="91" spans="1:37" ht="13.8">
      <c r="A91" s="3076" t="s">
        <v>2611</v>
      </c>
      <c r="B91" s="3077">
        <f>1+E93</f>
        <v>1</v>
      </c>
      <c r="C91" s="3070"/>
      <c r="D91" s="3071"/>
      <c r="E91" s="1675"/>
      <c r="F91" s="1675"/>
      <c r="G91" s="3072"/>
      <c r="H91" s="3073"/>
      <c r="I91" s="3074"/>
      <c r="J91" s="3075"/>
      <c r="K91" s="3075"/>
      <c r="L91" s="3075"/>
      <c r="M91" s="3075"/>
      <c r="N91" s="3075"/>
    </row>
    <row r="92" spans="1:37" ht="25.2">
      <c r="A92" s="3078" t="s">
        <v>3270</v>
      </c>
      <c r="B92" s="2307"/>
      <c r="C92" s="2307" t="s">
        <v>3279</v>
      </c>
      <c r="D92" s="2307" t="s">
        <v>3280</v>
      </c>
      <c r="E92" s="3050" t="s">
        <v>3281</v>
      </c>
      <c r="F92" s="3080" t="s">
        <v>3282</v>
      </c>
      <c r="G92" s="2307" t="s">
        <v>3283</v>
      </c>
      <c r="H92" s="3087" t="s">
        <v>3286</v>
      </c>
      <c r="I92" s="2307" t="s">
        <v>3287</v>
      </c>
      <c r="J92" s="2147" t="s">
        <v>3288</v>
      </c>
      <c r="K92" s="2147" t="s">
        <v>3289</v>
      </c>
      <c r="L92" s="2147" t="s">
        <v>3290</v>
      </c>
      <c r="M92" s="2147" t="s">
        <v>3291</v>
      </c>
      <c r="N92" s="2147" t="s">
        <v>3292</v>
      </c>
    </row>
    <row r="93" spans="1:37" ht="24">
      <c r="A93" s="3068" t="s">
        <v>3271</v>
      </c>
      <c r="B93" s="1221"/>
      <c r="C93" s="1884"/>
      <c r="D93" s="2307">
        <f>SUMIF($J$92:$N$92,C93,J93:N93)</f>
        <v>0</v>
      </c>
      <c r="E93" s="3081">
        <f>ROUND(SUM(D93:D101),4)</f>
        <v>0</v>
      </c>
      <c r="F93" s="1675" t="str">
        <f>IF(E2="公共服务",SUMIF(L1:L12,G2,N1:N12),"——")</f>
        <v>——</v>
      </c>
      <c r="G93" s="3072"/>
      <c r="H93" s="3117" t="str">
        <f>IFERROR(ROUNDDOWN($F$93*I93/2,4),"——")</f>
        <v>——</v>
      </c>
      <c r="I93" s="3066">
        <v>0.25</v>
      </c>
      <c r="J93" s="1909">
        <f t="shared" ref="J93:J101" si="27">K93+$G93</f>
        <v>0</v>
      </c>
      <c r="K93" s="1909">
        <f t="shared" ref="K93:K101" si="28">$L93+$G93</f>
        <v>0</v>
      </c>
      <c r="L93" s="1909">
        <v>0</v>
      </c>
      <c r="M93" s="1909">
        <f t="shared" ref="M93:N101" si="29">L93-$G93</f>
        <v>0</v>
      </c>
      <c r="N93" s="1909">
        <f t="shared" si="29"/>
        <v>0</v>
      </c>
    </row>
    <row r="94" spans="1:37" ht="52.8">
      <c r="A94" s="3078" t="s">
        <v>3272</v>
      </c>
      <c r="B94" s="3069" t="str">
        <f>估价对象房地状况!C18</f>
        <v>估价对象周边道路状况、公共交通通达情况、停车便捷程度，综合评价交通便捷度较好</v>
      </c>
      <c r="C94" s="1884"/>
      <c r="D94" s="2307">
        <f t="shared" ref="D94:D101" si="30">SUMIF($J$60:$N$60,C94,J94:N94)</f>
        <v>0</v>
      </c>
      <c r="E94" s="3082"/>
      <c r="F94" s="1675"/>
      <c r="G94" s="3072"/>
      <c r="H94" s="3117" t="str">
        <f>IFERROR(ROUNDDOWN($F$93*I94/2,4),"——")</f>
        <v>——</v>
      </c>
      <c r="I94" s="3066">
        <v>0.26</v>
      </c>
      <c r="J94" s="1909">
        <f t="shared" si="27"/>
        <v>0</v>
      </c>
      <c r="K94" s="1909">
        <f t="shared" si="28"/>
        <v>0</v>
      </c>
      <c r="L94" s="1909">
        <v>0</v>
      </c>
      <c r="M94" s="1909">
        <f t="shared" si="29"/>
        <v>0</v>
      </c>
      <c r="N94" s="1909">
        <f t="shared" si="29"/>
        <v>0</v>
      </c>
    </row>
    <row r="95" spans="1:37" ht="48">
      <c r="A95" s="3068" t="s">
        <v>3268</v>
      </c>
      <c r="B95" s="3069">
        <f>估价对象房地状况!C19</f>
        <v>0</v>
      </c>
      <c r="C95" s="1884"/>
      <c r="D95" s="2307">
        <f t="shared" si="30"/>
        <v>0</v>
      </c>
      <c r="E95" s="3082"/>
      <c r="F95" s="1675"/>
      <c r="G95" s="3072"/>
      <c r="H95" s="3117" t="str">
        <f t="shared" ref="H95:H101" si="31">IFERROR(ROUNDDOWN($F$93*I95/2,4),"——")</f>
        <v>——</v>
      </c>
      <c r="I95" s="3066">
        <v>0.11</v>
      </c>
      <c r="J95" s="1909">
        <f t="shared" si="27"/>
        <v>0</v>
      </c>
      <c r="K95" s="1909">
        <f t="shared" si="28"/>
        <v>0</v>
      </c>
      <c r="L95" s="1909">
        <v>0</v>
      </c>
      <c r="M95" s="1909">
        <f t="shared" si="29"/>
        <v>0</v>
      </c>
      <c r="N95" s="1909">
        <f t="shared" si="29"/>
        <v>0</v>
      </c>
    </row>
    <row r="96" spans="1:37" ht="37.200000000000003">
      <c r="A96" s="3078" t="s">
        <v>3273</v>
      </c>
      <c r="B96" s="3084" t="s">
        <v>3284</v>
      </c>
      <c r="C96" s="1884"/>
      <c r="D96" s="2307">
        <f t="shared" si="30"/>
        <v>0</v>
      </c>
      <c r="E96" s="3082"/>
      <c r="F96" s="1675"/>
      <c r="G96" s="3072"/>
      <c r="H96" s="3117" t="str">
        <f t="shared" si="31"/>
        <v>——</v>
      </c>
      <c r="I96" s="3066">
        <v>0.05</v>
      </c>
      <c r="J96" s="1909">
        <f t="shared" si="27"/>
        <v>0</v>
      </c>
      <c r="K96" s="1909">
        <f t="shared" si="28"/>
        <v>0</v>
      </c>
      <c r="L96" s="1909">
        <v>0</v>
      </c>
      <c r="M96" s="1909">
        <f t="shared" si="29"/>
        <v>0</v>
      </c>
      <c r="N96" s="1909">
        <f t="shared" si="29"/>
        <v>0</v>
      </c>
    </row>
    <row r="97" spans="1:14" ht="24">
      <c r="A97" s="3078" t="s">
        <v>3274</v>
      </c>
      <c r="B97" s="3069">
        <f>估价对象房地状况!C24</f>
        <v>0</v>
      </c>
      <c r="C97" s="1884"/>
      <c r="D97" s="2307">
        <f t="shared" si="30"/>
        <v>0</v>
      </c>
      <c r="E97" s="3082"/>
      <c r="F97" s="1675"/>
      <c r="G97" s="3072"/>
      <c r="H97" s="3117" t="str">
        <f t="shared" si="31"/>
        <v>——</v>
      </c>
      <c r="I97" s="3066">
        <v>0.05</v>
      </c>
      <c r="J97" s="1909">
        <f t="shared" si="27"/>
        <v>0</v>
      </c>
      <c r="K97" s="1909">
        <f t="shared" si="28"/>
        <v>0</v>
      </c>
      <c r="L97" s="1909">
        <v>0</v>
      </c>
      <c r="M97" s="1909">
        <f t="shared" si="29"/>
        <v>0</v>
      </c>
      <c r="N97" s="1909">
        <f t="shared" si="29"/>
        <v>0</v>
      </c>
    </row>
    <row r="98" spans="1:14" ht="36">
      <c r="A98" s="3078" t="s">
        <v>3275</v>
      </c>
      <c r="B98" s="3085" t="s">
        <v>3285</v>
      </c>
      <c r="C98" s="1884"/>
      <c r="D98" s="2307">
        <f t="shared" si="30"/>
        <v>0</v>
      </c>
      <c r="E98" s="3082"/>
      <c r="F98" s="1675"/>
      <c r="G98" s="3072"/>
      <c r="H98" s="3117" t="str">
        <f t="shared" si="31"/>
        <v>——</v>
      </c>
      <c r="I98" s="3066">
        <v>0.06</v>
      </c>
      <c r="J98" s="1909">
        <f t="shared" si="27"/>
        <v>0</v>
      </c>
      <c r="K98" s="1909">
        <f t="shared" si="28"/>
        <v>0</v>
      </c>
      <c r="L98" s="1909">
        <v>0</v>
      </c>
      <c r="M98" s="1909">
        <f t="shared" si="29"/>
        <v>0</v>
      </c>
      <c r="N98" s="1909">
        <f t="shared" si="29"/>
        <v>0</v>
      </c>
    </row>
    <row r="99" spans="1:14" ht="26.4">
      <c r="A99" s="3078" t="s">
        <v>3276</v>
      </c>
      <c r="B99" s="3069" t="str">
        <f>估价对象房地状况!C21</f>
        <v>估价对象所在区域公共配套设施齐备情况</v>
      </c>
      <c r="C99" s="1884"/>
      <c r="D99" s="2307">
        <f t="shared" si="30"/>
        <v>0</v>
      </c>
      <c r="E99" s="3082"/>
      <c r="F99" s="1675"/>
      <c r="G99" s="3072"/>
      <c r="H99" s="3117" t="str">
        <f t="shared" si="31"/>
        <v>——</v>
      </c>
      <c r="I99" s="3066">
        <v>0.06</v>
      </c>
      <c r="J99" s="1909">
        <f t="shared" si="27"/>
        <v>0</v>
      </c>
      <c r="K99" s="1909">
        <f t="shared" si="28"/>
        <v>0</v>
      </c>
      <c r="L99" s="1909">
        <v>0</v>
      </c>
      <c r="M99" s="1909">
        <f t="shared" si="29"/>
        <v>0</v>
      </c>
      <c r="N99" s="1909">
        <f t="shared" si="29"/>
        <v>0</v>
      </c>
    </row>
    <row r="100" spans="1:14" ht="26.4">
      <c r="A100" s="3078" t="s">
        <v>3277</v>
      </c>
      <c r="B100" s="3069" t="str">
        <f>估价对象房地状况!C22</f>
        <v>估价对象所在区域基础设施水平</v>
      </c>
      <c r="C100" s="1884"/>
      <c r="D100" s="2307">
        <f t="shared" si="30"/>
        <v>0</v>
      </c>
      <c r="E100" s="3082"/>
      <c r="F100" s="1675"/>
      <c r="G100" s="3072"/>
      <c r="H100" s="3117" t="str">
        <f t="shared" si="31"/>
        <v>——</v>
      </c>
      <c r="I100" s="3066">
        <v>0.09</v>
      </c>
      <c r="J100" s="1909">
        <f t="shared" si="27"/>
        <v>0</v>
      </c>
      <c r="K100" s="1909">
        <f t="shared" si="28"/>
        <v>0</v>
      </c>
      <c r="L100" s="1909">
        <v>0</v>
      </c>
      <c r="M100" s="1909">
        <f t="shared" si="29"/>
        <v>0</v>
      </c>
      <c r="N100" s="1909">
        <f t="shared" si="29"/>
        <v>0</v>
      </c>
    </row>
    <row r="101" spans="1:14" ht="40.200000000000003" thickBot="1">
      <c r="A101" s="3079" t="s">
        <v>3278</v>
      </c>
      <c r="B101" s="3086" t="str">
        <f>估价对象房地状况!C20</f>
        <v>区域自然环境：；人文环境；综合评价环境状况一般</v>
      </c>
      <c r="C101" s="1884"/>
      <c r="D101" s="2307">
        <f t="shared" si="30"/>
        <v>0</v>
      </c>
      <c r="E101" s="3083"/>
      <c r="F101" s="1675"/>
      <c r="G101" s="3072"/>
      <c r="H101" s="3117" t="str">
        <f t="shared" si="31"/>
        <v>——</v>
      </c>
      <c r="I101" s="3067">
        <v>7.0000000000000007E-2</v>
      </c>
      <c r="J101" s="1909">
        <f t="shared" si="27"/>
        <v>0</v>
      </c>
      <c r="K101" s="1909">
        <f t="shared" si="28"/>
        <v>0</v>
      </c>
      <c r="L101" s="1909">
        <v>0</v>
      </c>
      <c r="M101" s="1909">
        <f t="shared" si="29"/>
        <v>0</v>
      </c>
      <c r="N101" s="1909">
        <f t="shared" si="29"/>
        <v>0</v>
      </c>
    </row>
    <row r="103" spans="1:14">
      <c r="A103" s="3487" t="s">
        <v>3293</v>
      </c>
      <c r="B103" s="3487"/>
      <c r="C103" s="3487"/>
      <c r="D103" s="3487"/>
      <c r="E103" s="3487"/>
      <c r="F103" s="3487"/>
      <c r="G103" s="3487"/>
      <c r="H103" s="3487"/>
      <c r="I103" s="3487"/>
      <c r="J103" s="3487"/>
      <c r="K103" s="1667"/>
      <c r="L103" s="1667"/>
      <c r="M103" s="1667"/>
      <c r="N103" s="1667"/>
    </row>
    <row r="104" spans="1:14">
      <c r="A104" s="3488" t="s">
        <v>3294</v>
      </c>
      <c r="B104" s="3488" t="s">
        <v>3295</v>
      </c>
      <c r="C104" s="3088" t="s">
        <v>3296</v>
      </c>
      <c r="D104" s="3089"/>
      <c r="E104" s="3089"/>
      <c r="F104" s="3089"/>
      <c r="G104" s="3089"/>
      <c r="H104" s="3089"/>
      <c r="I104" s="3089"/>
      <c r="J104" s="3090"/>
      <c r="K104" s="3091"/>
      <c r="L104" s="3091"/>
      <c r="M104" s="3091"/>
      <c r="N104" s="3091"/>
    </row>
    <row r="105" spans="1:14">
      <c r="A105" s="3488"/>
      <c r="B105" s="3488"/>
      <c r="C105" s="3092" t="s">
        <v>3297</v>
      </c>
      <c r="D105" s="3092" t="s">
        <v>3298</v>
      </c>
      <c r="E105" s="3092" t="s">
        <v>3299</v>
      </c>
      <c r="F105" s="3092" t="s">
        <v>3300</v>
      </c>
      <c r="G105" s="3092" t="s">
        <v>3301</v>
      </c>
      <c r="H105" s="3092" t="s">
        <v>3302</v>
      </c>
      <c r="I105" s="3092" t="s">
        <v>3303</v>
      </c>
      <c r="J105" s="3092" t="s">
        <v>3304</v>
      </c>
      <c r="K105" s="3092" t="s">
        <v>3305</v>
      </c>
      <c r="L105" s="3092" t="s">
        <v>3306</v>
      </c>
      <c r="M105" s="3092" t="s">
        <v>3307</v>
      </c>
      <c r="N105" s="3092" t="s">
        <v>3308</v>
      </c>
    </row>
    <row r="106" spans="1:14">
      <c r="A106" s="3474" t="s">
        <v>3309</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475"/>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475"/>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475"/>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475"/>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475"/>
      <c r="B111" s="3092" t="s">
        <v>3267</v>
      </c>
      <c r="C111" s="3093">
        <f>$I$3</f>
        <v>0</v>
      </c>
      <c r="D111" s="3093">
        <f t="shared" ref="D111:M111" si="32">$I$3</f>
        <v>0</v>
      </c>
      <c r="E111" s="3093">
        <f t="shared" si="32"/>
        <v>0</v>
      </c>
      <c r="F111" s="3093">
        <f t="shared" si="32"/>
        <v>0</v>
      </c>
      <c r="G111" s="3093">
        <f t="shared" si="32"/>
        <v>0</v>
      </c>
      <c r="H111" s="3093">
        <f t="shared" si="32"/>
        <v>0</v>
      </c>
      <c r="I111" s="3093">
        <f t="shared" si="32"/>
        <v>0</v>
      </c>
      <c r="J111" s="3093">
        <f t="shared" si="32"/>
        <v>0</v>
      </c>
      <c r="K111" s="3093">
        <f t="shared" si="32"/>
        <v>0</v>
      </c>
      <c r="L111" s="3093">
        <f t="shared" si="32"/>
        <v>0</v>
      </c>
      <c r="M111" s="3093">
        <f t="shared" si="32"/>
        <v>0</v>
      </c>
      <c r="N111" s="3093">
        <f>$I$3</f>
        <v>0</v>
      </c>
    </row>
    <row r="112" spans="1:14">
      <c r="A112" s="3476"/>
      <c r="B112" s="3092">
        <v>6</v>
      </c>
      <c r="C112" s="3087">
        <f>(-0.5556*(C111^2)-0.2719*C111+8944)*(10^(-4))</f>
        <v>0.89440000000000008</v>
      </c>
      <c r="D112" s="3087">
        <f>(-0.5556*(D111^2)-0.2719*D111+8944)*(10^(-4))</f>
        <v>0.89440000000000008</v>
      </c>
      <c r="E112" s="3087">
        <f>(-0.7912*(E111^2)-11.3794*E111+8482)*(10^(-4))</f>
        <v>0.84820000000000007</v>
      </c>
      <c r="F112" s="3087">
        <f t="shared" ref="F112:I112" si="33">(-0.7912*(F111^2)-11.3794*F111+8482)*(10^(-4))</f>
        <v>0.84820000000000007</v>
      </c>
      <c r="G112" s="3087">
        <f t="shared" si="33"/>
        <v>0.84820000000000007</v>
      </c>
      <c r="H112" s="3087">
        <f t="shared" si="33"/>
        <v>0.84820000000000007</v>
      </c>
      <c r="I112" s="3087">
        <f t="shared" si="33"/>
        <v>0.84820000000000007</v>
      </c>
      <c r="J112" s="3087">
        <f>(-0.989*(J111^2)-63.78*J111+7771)*(10^(-4))</f>
        <v>0.77710000000000001</v>
      </c>
      <c r="K112" s="3087">
        <f t="shared" ref="K112:N112" si="34">(-0.989*(K111^2)-63.78*K111+7771)*(10^(-4))</f>
        <v>0.77710000000000001</v>
      </c>
      <c r="L112" s="3087">
        <f t="shared" si="34"/>
        <v>0.77710000000000001</v>
      </c>
      <c r="M112" s="3087">
        <f t="shared" si="34"/>
        <v>0.77710000000000001</v>
      </c>
      <c r="N112" s="3087">
        <f t="shared" si="34"/>
        <v>0.77710000000000001</v>
      </c>
    </row>
    <row r="113" spans="1:14">
      <c r="A113" s="3477" t="s">
        <v>3310</v>
      </c>
      <c r="B113" s="3477"/>
      <c r="C113" s="3477"/>
      <c r="D113" s="3477"/>
      <c r="E113" s="3477"/>
      <c r="F113" s="3477"/>
      <c r="G113" s="3477"/>
      <c r="H113" s="3477"/>
      <c r="I113" s="3477"/>
      <c r="J113" s="3477"/>
      <c r="K113" s="3094"/>
      <c r="L113" s="3094"/>
      <c r="M113" s="3094"/>
      <c r="N113" s="3094"/>
    </row>
    <row r="114" spans="1:14">
      <c r="A114" s="3095"/>
      <c r="B114" s="3095"/>
      <c r="C114" s="3095"/>
      <c r="D114" s="3095"/>
      <c r="E114" s="3095"/>
      <c r="F114" s="3095"/>
      <c r="G114" s="3095"/>
      <c r="H114" s="3095"/>
      <c r="I114" s="3095"/>
      <c r="J114" s="3095"/>
      <c r="K114" s="1961"/>
      <c r="L114" s="3095"/>
      <c r="M114" s="3095"/>
      <c r="N114" s="3095"/>
    </row>
    <row r="115" spans="1:14" ht="13.8" thickBot="1">
      <c r="A115" s="3095"/>
      <c r="B115" s="3095"/>
      <c r="C115" s="3095"/>
      <c r="D115" s="3095"/>
      <c r="E115" s="3095"/>
      <c r="F115" s="3095"/>
      <c r="G115" s="3095"/>
      <c r="H115" s="3095"/>
      <c r="I115" s="3095"/>
      <c r="J115" s="3095"/>
      <c r="K115" s="1961"/>
      <c r="L115" s="3095"/>
      <c r="M115" s="3095"/>
      <c r="N115" s="3095"/>
    </row>
    <row r="116" spans="1:14" ht="25.8" thickBot="1">
      <c r="A116" s="3096" t="s">
        <v>3311</v>
      </c>
      <c r="B116" s="3112">
        <f>G3</f>
        <v>2.5</v>
      </c>
      <c r="C116" s="3097" t="s">
        <v>3312</v>
      </c>
      <c r="D116" s="3098">
        <f>SUMPRODUCT((A118:A122=F116)*(B117:M117=H116)*B118:M122)</f>
        <v>0</v>
      </c>
      <c r="E116" s="162" t="s">
        <v>3313</v>
      </c>
      <c r="F116" s="3099">
        <f>E2</f>
        <v>0</v>
      </c>
      <c r="G116" s="162" t="s">
        <v>3314</v>
      </c>
      <c r="H116" s="3099">
        <f>G2</f>
        <v>0</v>
      </c>
      <c r="I116" s="162"/>
      <c r="J116" s="3100"/>
      <c r="K116" s="3100"/>
      <c r="L116" s="3100"/>
      <c r="M116" s="3100"/>
      <c r="N116" s="3095"/>
    </row>
    <row r="117" spans="1:14">
      <c r="A117" s="3101"/>
      <c r="B117" s="3102" t="s">
        <v>3315</v>
      </c>
      <c r="C117" s="3102" t="s">
        <v>3316</v>
      </c>
      <c r="D117" s="3102" t="s">
        <v>3317</v>
      </c>
      <c r="E117" s="3103" t="s">
        <v>3318</v>
      </c>
      <c r="F117" s="3103" t="s">
        <v>3319</v>
      </c>
      <c r="G117" s="3103" t="s">
        <v>3320</v>
      </c>
      <c r="H117" s="3104" t="s">
        <v>3321</v>
      </c>
      <c r="I117" s="3104" t="s">
        <v>3322</v>
      </c>
      <c r="J117" s="3105" t="s">
        <v>3323</v>
      </c>
      <c r="K117" s="3105" t="s">
        <v>3324</v>
      </c>
      <c r="L117" s="3105" t="s">
        <v>3325</v>
      </c>
      <c r="M117" s="3106" t="s">
        <v>3326</v>
      </c>
      <c r="N117" s="3095"/>
    </row>
    <row r="118" spans="1:14">
      <c r="A118" s="3055" t="s">
        <v>3327</v>
      </c>
      <c r="B118" s="3087">
        <f>ROUND(0.9968-0.011*B116,4)</f>
        <v>0.96930000000000005</v>
      </c>
      <c r="C118" s="3087">
        <f>B118</f>
        <v>0.96930000000000005</v>
      </c>
      <c r="D118" s="3087">
        <f>ROUND(0.949-0.014*B116,4)</f>
        <v>0.91400000000000003</v>
      </c>
      <c r="E118" s="3087">
        <f>D118</f>
        <v>0.91400000000000003</v>
      </c>
      <c r="F118" s="3087">
        <f>E118</f>
        <v>0.91400000000000003</v>
      </c>
      <c r="G118" s="3087">
        <f>F118</f>
        <v>0.91400000000000003</v>
      </c>
      <c r="H118" s="3087">
        <f>G118</f>
        <v>0.91400000000000003</v>
      </c>
      <c r="I118" s="3087">
        <f>ROUND(0.8486-0.018*B116,4)</f>
        <v>0.80359999999999998</v>
      </c>
      <c r="J118" s="3087">
        <f t="shared" ref="J118:M122" si="35">I118</f>
        <v>0.80359999999999998</v>
      </c>
      <c r="K118" s="3087">
        <f t="shared" si="35"/>
        <v>0.80359999999999998</v>
      </c>
      <c r="L118" s="3087">
        <f t="shared" si="35"/>
        <v>0.80359999999999998</v>
      </c>
      <c r="M118" s="3107">
        <f t="shared" si="35"/>
        <v>0.80359999999999998</v>
      </c>
      <c r="N118" s="3095"/>
    </row>
    <row r="119" spans="1:14">
      <c r="A119" s="3055" t="s">
        <v>3328</v>
      </c>
      <c r="B119" s="3087">
        <f>ROUND(0.993-0.0112*B116,4)</f>
        <v>0.96499999999999997</v>
      </c>
      <c r="C119" s="3087">
        <f>B119</f>
        <v>0.96499999999999997</v>
      </c>
      <c r="D119" s="3087">
        <f>ROUND(0.9415-0.0142*B116,4)</f>
        <v>0.90600000000000003</v>
      </c>
      <c r="E119" s="3087">
        <f t="shared" ref="E119:H120" si="36">D119</f>
        <v>0.90600000000000003</v>
      </c>
      <c r="F119" s="3087">
        <f t="shared" si="36"/>
        <v>0.90600000000000003</v>
      </c>
      <c r="G119" s="3087">
        <f t="shared" si="36"/>
        <v>0.90600000000000003</v>
      </c>
      <c r="H119" s="3087">
        <f t="shared" si="36"/>
        <v>0.90600000000000003</v>
      </c>
      <c r="I119" s="3087">
        <f>ROUND(0.838-0.0182*B116,4)</f>
        <v>0.79249999999999998</v>
      </c>
      <c r="J119" s="3087">
        <f t="shared" si="35"/>
        <v>0.79249999999999998</v>
      </c>
      <c r="K119" s="3087">
        <f t="shared" si="35"/>
        <v>0.79249999999999998</v>
      </c>
      <c r="L119" s="3087">
        <f t="shared" si="35"/>
        <v>0.79249999999999998</v>
      </c>
      <c r="M119" s="3107">
        <f t="shared" si="35"/>
        <v>0.79249999999999998</v>
      </c>
      <c r="N119" s="3095"/>
    </row>
    <row r="120" spans="1:14">
      <c r="A120" s="3055" t="s">
        <v>3329</v>
      </c>
      <c r="B120" s="3087">
        <f>ROUND(0.9448-0.0115*B116,4)</f>
        <v>0.91610000000000003</v>
      </c>
      <c r="C120" s="3087">
        <f>B120</f>
        <v>0.91610000000000003</v>
      </c>
      <c r="D120" s="3087">
        <f>ROUND(0.937-0.0145*B116,4)</f>
        <v>0.90080000000000005</v>
      </c>
      <c r="E120" s="3087">
        <f t="shared" si="36"/>
        <v>0.90080000000000005</v>
      </c>
      <c r="F120" s="3087">
        <f t="shared" si="36"/>
        <v>0.90080000000000005</v>
      </c>
      <c r="G120" s="3087">
        <f t="shared" si="36"/>
        <v>0.90080000000000005</v>
      </c>
      <c r="H120" s="3087">
        <f t="shared" si="36"/>
        <v>0.90080000000000005</v>
      </c>
      <c r="I120" s="3087">
        <f>ROUND(0.7965-0.0185*B116,4)</f>
        <v>0.75029999999999997</v>
      </c>
      <c r="J120" s="3087">
        <f t="shared" si="35"/>
        <v>0.75029999999999997</v>
      </c>
      <c r="K120" s="3087">
        <f t="shared" si="35"/>
        <v>0.75029999999999997</v>
      </c>
      <c r="L120" s="3087">
        <f t="shared" si="35"/>
        <v>0.75029999999999997</v>
      </c>
      <c r="M120" s="3107">
        <f t="shared" si="35"/>
        <v>0.75029999999999997</v>
      </c>
      <c r="N120" s="3095"/>
    </row>
    <row r="121" spans="1:14" ht="13.8" thickBot="1">
      <c r="A121" s="3108" t="s">
        <v>3330</v>
      </c>
      <c r="B121" s="3109">
        <f>ROUND(0.7836-0.012*B116,4)</f>
        <v>0.75360000000000005</v>
      </c>
      <c r="C121" s="3109">
        <f>B121</f>
        <v>0.75360000000000005</v>
      </c>
      <c r="D121" s="3109">
        <f>ROUND(0.753-0.015*B116,4)</f>
        <v>0.71550000000000002</v>
      </c>
      <c r="E121" s="3109">
        <f>D121</f>
        <v>0.71550000000000002</v>
      </c>
      <c r="F121" s="3109">
        <f>E121</f>
        <v>0.71550000000000002</v>
      </c>
      <c r="G121" s="3109">
        <f>ROUND(0.6612-0.018*B116,4)</f>
        <v>0.61619999999999997</v>
      </c>
      <c r="H121" s="3109">
        <f>G121</f>
        <v>0.61619999999999997</v>
      </c>
      <c r="I121" s="3109">
        <f>ROUND(0.5905-0.019*B116,4)</f>
        <v>0.54300000000000004</v>
      </c>
      <c r="J121" s="3109">
        <f t="shared" si="35"/>
        <v>0.54300000000000004</v>
      </c>
      <c r="K121" s="3109">
        <f t="shared" si="35"/>
        <v>0.54300000000000004</v>
      </c>
      <c r="L121" s="3109">
        <f t="shared" si="35"/>
        <v>0.54300000000000004</v>
      </c>
      <c r="M121" s="3110">
        <f t="shared" si="35"/>
        <v>0.54300000000000004</v>
      </c>
      <c r="N121" s="3095"/>
    </row>
    <row r="122" spans="1:14">
      <c r="A122" s="3111" t="s">
        <v>2611</v>
      </c>
      <c r="B122" s="3087">
        <f>ROUND(0.9404-0.0106*B116,4)</f>
        <v>0.91390000000000005</v>
      </c>
      <c r="C122" s="3087">
        <f>B122</f>
        <v>0.91390000000000005</v>
      </c>
      <c r="D122" s="3087">
        <f>ROUND(0.8955-0.0135*B116,4)</f>
        <v>0.86180000000000001</v>
      </c>
      <c r="E122" s="3087">
        <f t="shared" ref="E122:H122" si="37">D122</f>
        <v>0.86180000000000001</v>
      </c>
      <c r="F122" s="3087">
        <f t="shared" si="37"/>
        <v>0.86180000000000001</v>
      </c>
      <c r="G122" s="3087">
        <f t="shared" si="37"/>
        <v>0.86180000000000001</v>
      </c>
      <c r="H122" s="3087">
        <f t="shared" si="37"/>
        <v>0.86180000000000001</v>
      </c>
      <c r="I122" s="3087">
        <f>ROUND(0.7632-0.0166*B116,4)</f>
        <v>0.72170000000000001</v>
      </c>
      <c r="J122" s="3087">
        <f t="shared" si="35"/>
        <v>0.72170000000000001</v>
      </c>
      <c r="K122" s="3087">
        <f t="shared" si="35"/>
        <v>0.72170000000000001</v>
      </c>
      <c r="L122" s="3087">
        <f t="shared" si="35"/>
        <v>0.72170000000000001</v>
      </c>
      <c r="M122" s="3107">
        <f t="shared" si="35"/>
        <v>0.72170000000000001</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2811" customWidth="1"/>
    <col min="14" max="14" width="10" style="2811" customWidth="1"/>
    <col min="15" max="16" width="8.21875" style="2811"/>
    <col min="17" max="17" width="34.109375" style="2811" customWidth="1"/>
    <col min="18" max="18" width="8.21875" style="2811" customWidth="1"/>
    <col min="19" max="19" width="8.21875" style="2811"/>
    <col min="20" max="20" width="11.6640625" style="2811" customWidth="1"/>
    <col min="21" max="16384" width="8.21875" style="2811"/>
  </cols>
  <sheetData>
    <row r="1" spans="1:13" ht="19.5" customHeight="1" thickBot="1">
      <c r="A1" s="2808" t="s">
        <v>2593</v>
      </c>
      <c r="B1" s="2809" t="s">
        <v>2594</v>
      </c>
      <c r="C1" s="2809" t="s">
        <v>2595</v>
      </c>
      <c r="D1" s="2809" t="s">
        <v>2596</v>
      </c>
      <c r="E1" s="2809" t="s">
        <v>2597</v>
      </c>
      <c r="F1" s="2809" t="s">
        <v>2598</v>
      </c>
      <c r="G1" s="2809" t="s">
        <v>2599</v>
      </c>
      <c r="H1" s="2809" t="s">
        <v>2600</v>
      </c>
      <c r="I1" s="2809" t="s">
        <v>2601</v>
      </c>
      <c r="J1" s="2809" t="s">
        <v>2602</v>
      </c>
      <c r="K1" s="2809" t="s">
        <v>2603</v>
      </c>
      <c r="L1" s="2809" t="s">
        <v>2604</v>
      </c>
      <c r="M1" s="2810" t="s">
        <v>2605</v>
      </c>
    </row>
    <row r="2" spans="1:13" ht="19.5" customHeight="1">
      <c r="A2" s="2812" t="s">
        <v>2606</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2607</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2608</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2609</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2610</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2611</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2612</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2613</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2614</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2615</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2616</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2617</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2618</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2619</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2620</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2621</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2622</v>
      </c>
      <c r="B18" s="2834"/>
      <c r="C18" s="2835"/>
      <c r="D18" s="2835"/>
      <c r="E18" s="2834"/>
      <c r="F18" s="2835"/>
      <c r="G18" s="2835"/>
    </row>
    <row r="19" spans="1:13" ht="19.5" customHeight="1" thickBot="1">
      <c r="A19" s="2832" t="s">
        <v>2623</v>
      </c>
      <c r="B19" s="2837" t="s">
        <v>2624</v>
      </c>
      <c r="C19" s="2837" t="s">
        <v>2625</v>
      </c>
      <c r="D19" s="2838"/>
      <c r="E19" s="2832" t="s">
        <v>2626</v>
      </c>
      <c r="F19" s="2839"/>
      <c r="G19" s="2839"/>
    </row>
    <row r="20" spans="1:13" ht="19.5" customHeight="1">
      <c r="A20" s="3500" t="s">
        <v>2606</v>
      </c>
      <c r="B20" s="3493" t="s">
        <v>2627</v>
      </c>
      <c r="C20" s="2840" t="s">
        <v>2438</v>
      </c>
      <c r="D20" s="2841"/>
      <c r="E20" s="2842">
        <v>1</v>
      </c>
      <c r="F20" s="2843" t="s">
        <v>2439</v>
      </c>
      <c r="G20" s="2843"/>
    </row>
    <row r="21" spans="1:13" ht="19.5" customHeight="1">
      <c r="A21" s="3501"/>
      <c r="B21" s="3494"/>
      <c r="C21" s="2844" t="s">
        <v>2440</v>
      </c>
      <c r="D21" s="2845"/>
      <c r="E21" s="2846">
        <v>1</v>
      </c>
      <c r="F21" s="2843" t="s">
        <v>2441</v>
      </c>
      <c r="G21" s="2843"/>
    </row>
    <row r="22" spans="1:13" ht="19.5" customHeight="1">
      <c r="A22" s="3501"/>
      <c r="B22" s="3494"/>
      <c r="C22" s="2844" t="s">
        <v>2442</v>
      </c>
      <c r="D22" s="2845"/>
      <c r="E22" s="2846">
        <v>0.9</v>
      </c>
      <c r="F22" s="2843" t="s">
        <v>2443</v>
      </c>
      <c r="G22" s="2843"/>
    </row>
    <row r="23" spans="1:13" ht="19.5" customHeight="1">
      <c r="A23" s="3501"/>
      <c r="B23" s="3494"/>
      <c r="C23" s="2844" t="s">
        <v>2444</v>
      </c>
      <c r="D23" s="2845"/>
      <c r="E23" s="2846">
        <v>0.9</v>
      </c>
      <c r="F23" s="2843" t="s">
        <v>2445</v>
      </c>
      <c r="G23" s="2843"/>
    </row>
    <row r="24" spans="1:13" ht="19.5" customHeight="1">
      <c r="A24" s="3501"/>
      <c r="B24" s="3494"/>
      <c r="C24" s="2844" t="s">
        <v>2446</v>
      </c>
      <c r="D24" s="2845"/>
      <c r="E24" s="2846">
        <v>0.8</v>
      </c>
      <c r="F24" s="2843" t="s">
        <v>2447</v>
      </c>
      <c r="G24" s="2843"/>
    </row>
    <row r="25" spans="1:13" ht="19.5" customHeight="1" thickBot="1">
      <c r="A25" s="3502"/>
      <c r="B25" s="3495"/>
      <c r="C25" s="2847" t="s">
        <v>2448</v>
      </c>
      <c r="D25" s="2848"/>
      <c r="E25" s="2849">
        <v>0.8</v>
      </c>
      <c r="F25" s="2843" t="s">
        <v>2449</v>
      </c>
      <c r="G25" s="2843"/>
    </row>
    <row r="26" spans="1:13" ht="19.5" customHeight="1" thickBot="1">
      <c r="A26" s="2850" t="s">
        <v>2628</v>
      </c>
      <c r="B26" s="2851" t="s">
        <v>2627</v>
      </c>
      <c r="C26" s="2852" t="s">
        <v>2629</v>
      </c>
      <c r="D26" s="2853"/>
      <c r="E26" s="2854">
        <v>1</v>
      </c>
      <c r="F26" s="2843" t="s">
        <v>2450</v>
      </c>
      <c r="G26" s="2843"/>
    </row>
    <row r="27" spans="1:13" ht="19.5" customHeight="1">
      <c r="A27" s="3496" t="s">
        <v>2630</v>
      </c>
      <c r="B27" s="3493" t="s">
        <v>2611</v>
      </c>
      <c r="C27" s="2840" t="s">
        <v>2451</v>
      </c>
      <c r="D27" s="2841"/>
      <c r="E27" s="2842">
        <v>1</v>
      </c>
      <c r="F27" s="2843" t="s">
        <v>2452</v>
      </c>
      <c r="G27" s="2843"/>
    </row>
    <row r="28" spans="1:13" ht="19.5" customHeight="1">
      <c r="A28" s="3497"/>
      <c r="B28" s="3494"/>
      <c r="C28" s="2844" t="s">
        <v>2453</v>
      </c>
      <c r="D28" s="2845"/>
      <c r="E28" s="2846">
        <v>1</v>
      </c>
      <c r="F28" s="2843" t="s">
        <v>2454</v>
      </c>
      <c r="G28" s="2843"/>
    </row>
    <row r="29" spans="1:13" ht="19.5" customHeight="1">
      <c r="A29" s="3497"/>
      <c r="B29" s="3494"/>
      <c r="C29" s="2844" t="s">
        <v>2455</v>
      </c>
      <c r="D29" s="2845"/>
      <c r="E29" s="2846">
        <v>0.8</v>
      </c>
      <c r="F29" s="2843" t="s">
        <v>2456</v>
      </c>
      <c r="G29" s="2843"/>
    </row>
    <row r="30" spans="1:13" ht="19.5" customHeight="1">
      <c r="A30" s="3497"/>
      <c r="B30" s="3494"/>
      <c r="C30" s="2844" t="s">
        <v>2457</v>
      </c>
      <c r="D30" s="2845"/>
      <c r="E30" s="2846">
        <v>0.8</v>
      </c>
      <c r="F30" s="2843" t="s">
        <v>2458</v>
      </c>
      <c r="G30" s="2843"/>
    </row>
    <row r="31" spans="1:13" ht="19.5" customHeight="1">
      <c r="A31" s="3497"/>
      <c r="B31" s="3494"/>
      <c r="C31" s="2844" t="s">
        <v>2459</v>
      </c>
      <c r="D31" s="2845"/>
      <c r="E31" s="2846">
        <v>0.8</v>
      </c>
      <c r="F31" s="2843" t="s">
        <v>2460</v>
      </c>
      <c r="G31" s="2843"/>
    </row>
    <row r="32" spans="1:13" ht="19.5" customHeight="1">
      <c r="A32" s="3497"/>
      <c r="B32" s="3494"/>
      <c r="C32" s="2844" t="s">
        <v>2461</v>
      </c>
      <c r="D32" s="2845"/>
      <c r="E32" s="2846">
        <v>0.7</v>
      </c>
      <c r="F32" s="2843" t="s">
        <v>2462</v>
      </c>
      <c r="G32" s="2843"/>
    </row>
    <row r="33" spans="1:7" ht="19.5" customHeight="1">
      <c r="A33" s="3497"/>
      <c r="B33" s="3494"/>
      <c r="C33" s="2844" t="s">
        <v>2463</v>
      </c>
      <c r="D33" s="2845"/>
      <c r="E33" s="2846">
        <v>0.8</v>
      </c>
      <c r="F33" s="2843" t="s">
        <v>2464</v>
      </c>
      <c r="G33" s="2843"/>
    </row>
    <row r="34" spans="1:7" ht="19.5" customHeight="1">
      <c r="A34" s="3497"/>
      <c r="B34" s="3494"/>
      <c r="C34" s="2844" t="s">
        <v>2465</v>
      </c>
      <c r="D34" s="2845"/>
      <c r="E34" s="2846">
        <v>0.6</v>
      </c>
      <c r="F34" s="2843" t="s">
        <v>2466</v>
      </c>
      <c r="G34" s="2843"/>
    </row>
    <row r="35" spans="1:7" ht="19.5" customHeight="1">
      <c r="A35" s="3497"/>
      <c r="B35" s="3494"/>
      <c r="C35" s="2844" t="s">
        <v>2467</v>
      </c>
      <c r="D35" s="2845"/>
      <c r="E35" s="2846">
        <v>0.2</v>
      </c>
      <c r="F35" s="2843" t="s">
        <v>2468</v>
      </c>
      <c r="G35" s="2843"/>
    </row>
    <row r="36" spans="1:7" ht="19.5" customHeight="1">
      <c r="A36" s="3497"/>
      <c r="B36" s="3494"/>
      <c r="C36" s="2844" t="s">
        <v>2469</v>
      </c>
      <c r="D36" s="2845"/>
      <c r="E36" s="2846">
        <v>0.2</v>
      </c>
      <c r="F36" s="2843" t="s">
        <v>2470</v>
      </c>
      <c r="G36" s="2843"/>
    </row>
    <row r="37" spans="1:7" ht="19.5" customHeight="1">
      <c r="A37" s="3497"/>
      <c r="B37" s="3499" t="s">
        <v>2631</v>
      </c>
      <c r="C37" s="2844" t="s">
        <v>2471</v>
      </c>
      <c r="D37" s="2845"/>
      <c r="E37" s="2846">
        <v>0.6</v>
      </c>
      <c r="F37" s="2843" t="s">
        <v>2472</v>
      </c>
      <c r="G37" s="2843"/>
    </row>
    <row r="38" spans="1:7" ht="19.5" customHeight="1">
      <c r="A38" s="3497"/>
      <c r="B38" s="3494"/>
      <c r="C38" s="2844" t="s">
        <v>2473</v>
      </c>
      <c r="D38" s="2845"/>
      <c r="E38" s="2846">
        <v>0.6</v>
      </c>
      <c r="F38" s="2843" t="s">
        <v>2474</v>
      </c>
      <c r="G38" s="2843"/>
    </row>
    <row r="39" spans="1:7" ht="19.5" customHeight="1" thickBot="1">
      <c r="A39" s="3498"/>
      <c r="B39" s="3495"/>
      <c r="C39" s="2847" t="s">
        <v>2475</v>
      </c>
      <c r="D39" s="2848"/>
      <c r="E39" s="2849">
        <v>0.6</v>
      </c>
      <c r="F39" s="2843" t="s">
        <v>2476</v>
      </c>
      <c r="G39" s="2843"/>
    </row>
    <row r="40" spans="1:7" ht="19.5" customHeight="1" thickBot="1">
      <c r="A40" s="2850" t="s">
        <v>2608</v>
      </c>
      <c r="B40" s="2851" t="s">
        <v>2608</v>
      </c>
      <c r="C40" s="2852" t="s">
        <v>2632</v>
      </c>
      <c r="D40" s="2853"/>
      <c r="E40" s="2854">
        <v>1</v>
      </c>
      <c r="F40" s="2843" t="s">
        <v>2477</v>
      </c>
      <c r="G40" s="2843"/>
    </row>
    <row r="41" spans="1:7" ht="19.5" customHeight="1">
      <c r="A41" s="3500" t="s">
        <v>2609</v>
      </c>
      <c r="B41" s="3493" t="s">
        <v>2633</v>
      </c>
      <c r="C41" s="2840" t="s">
        <v>2478</v>
      </c>
      <c r="D41" s="2841"/>
      <c r="E41" s="2842">
        <v>1</v>
      </c>
      <c r="F41" s="2843" t="s">
        <v>2479</v>
      </c>
      <c r="G41" s="2843"/>
    </row>
    <row r="42" spans="1:7" ht="19.5" customHeight="1">
      <c r="A42" s="3501"/>
      <c r="B42" s="3494"/>
      <c r="C42" s="2844" t="s">
        <v>2480</v>
      </c>
      <c r="D42" s="2845"/>
      <c r="E42" s="2846">
        <v>1</v>
      </c>
      <c r="F42" s="2843" t="s">
        <v>2481</v>
      </c>
      <c r="G42" s="2843"/>
    </row>
    <row r="43" spans="1:7" ht="19.5" customHeight="1">
      <c r="A43" s="3501"/>
      <c r="B43" s="3503"/>
      <c r="C43" s="2844" t="s">
        <v>2482</v>
      </c>
      <c r="D43" s="2845"/>
      <c r="E43" s="2846">
        <v>1.5</v>
      </c>
      <c r="F43" s="2843" t="s">
        <v>2483</v>
      </c>
      <c r="G43" s="2843"/>
    </row>
    <row r="44" spans="1:7" ht="19.5" customHeight="1">
      <c r="A44" s="3501"/>
      <c r="B44" s="2855" t="s">
        <v>2634</v>
      </c>
      <c r="C44" s="2844" t="s">
        <v>2635</v>
      </c>
      <c r="D44" s="2845"/>
      <c r="E44" s="2846">
        <v>2</v>
      </c>
      <c r="F44" s="2843" t="s">
        <v>2484</v>
      </c>
      <c r="G44" s="2843"/>
    </row>
    <row r="45" spans="1:7" ht="19.5" customHeight="1">
      <c r="A45" s="3501"/>
      <c r="B45" s="3499" t="s">
        <v>2636</v>
      </c>
      <c r="C45" s="2844" t="s">
        <v>2485</v>
      </c>
      <c r="D45" s="2845"/>
      <c r="E45" s="2846">
        <v>1</v>
      </c>
      <c r="F45" s="2843" t="s">
        <v>2486</v>
      </c>
      <c r="G45" s="2843"/>
    </row>
    <row r="46" spans="1:7" ht="19.5" customHeight="1">
      <c r="A46" s="3501"/>
      <c r="B46" s="3494"/>
      <c r="C46" s="2844" t="s">
        <v>2487</v>
      </c>
      <c r="D46" s="2845"/>
      <c r="E46" s="2846">
        <v>1</v>
      </c>
      <c r="F46" s="2843" t="s">
        <v>2488</v>
      </c>
      <c r="G46" s="2843"/>
    </row>
    <row r="47" spans="1:7" ht="19.5" customHeight="1">
      <c r="A47" s="3501"/>
      <c r="B47" s="3494"/>
      <c r="C47" s="2844" t="s">
        <v>2489</v>
      </c>
      <c r="D47" s="2845"/>
      <c r="E47" s="2846">
        <v>1</v>
      </c>
      <c r="F47" s="2843" t="s">
        <v>2490</v>
      </c>
      <c r="G47" s="2843"/>
    </row>
    <row r="48" spans="1:7" ht="19.5" customHeight="1">
      <c r="A48" s="3501"/>
      <c r="B48" s="3494"/>
      <c r="C48" s="2844" t="s">
        <v>2491</v>
      </c>
      <c r="D48" s="2845"/>
      <c r="E48" s="2846">
        <v>1</v>
      </c>
      <c r="F48" s="2843" t="s">
        <v>2492</v>
      </c>
      <c r="G48" s="2843"/>
    </row>
    <row r="49" spans="1:7" ht="19.5" customHeight="1">
      <c r="A49" s="3501"/>
      <c r="B49" s="3494"/>
      <c r="C49" s="2844" t="s">
        <v>2493</v>
      </c>
      <c r="D49" s="2845"/>
      <c r="E49" s="2846">
        <v>1</v>
      </c>
      <c r="F49" s="2843" t="s">
        <v>2494</v>
      </c>
      <c r="G49" s="2843"/>
    </row>
    <row r="50" spans="1:7" ht="19.5" customHeight="1">
      <c r="A50" s="3501"/>
      <c r="B50" s="3494"/>
      <c r="C50" s="2844" t="s">
        <v>2495</v>
      </c>
      <c r="D50" s="2845"/>
      <c r="E50" s="2846">
        <v>1</v>
      </c>
      <c r="F50" s="2843" t="s">
        <v>2496</v>
      </c>
      <c r="G50" s="2843"/>
    </row>
    <row r="51" spans="1:7" ht="19.5" customHeight="1" thickBot="1">
      <c r="A51" s="3502"/>
      <c r="B51" s="3495"/>
      <c r="C51" s="2847" t="s">
        <v>2497</v>
      </c>
      <c r="D51" s="2848"/>
      <c r="E51" s="2849">
        <v>1</v>
      </c>
      <c r="F51" s="2843" t="s">
        <v>2498</v>
      </c>
      <c r="G51" s="2843"/>
    </row>
    <row r="52" spans="1:7" ht="19.5" customHeight="1">
      <c r="A52" s="2856"/>
      <c r="B52" s="2856"/>
      <c r="C52" s="2856"/>
      <c r="D52" s="2856"/>
      <c r="E52" s="2856"/>
      <c r="F52" s="2856"/>
      <c r="G52" s="2856"/>
    </row>
    <row r="54" spans="1:7" ht="19.5" customHeight="1">
      <c r="A54" s="2857"/>
      <c r="B54" s="2829" t="s">
        <v>2637</v>
      </c>
      <c r="C54" s="2829" t="s">
        <v>2637</v>
      </c>
      <c r="D54" s="2829" t="s">
        <v>2637</v>
      </c>
      <c r="E54" s="2832" t="s">
        <v>2637</v>
      </c>
      <c r="F54" s="2832" t="s">
        <v>2638</v>
      </c>
      <c r="G54" s="2832" t="s">
        <v>2639</v>
      </c>
    </row>
    <row r="55" spans="1:7" ht="19.5" customHeight="1">
      <c r="A55" s="2858"/>
      <c r="B55" s="2832" t="s">
        <v>2606</v>
      </c>
      <c r="C55" s="2832" t="s">
        <v>2606</v>
      </c>
      <c r="D55" s="2832" t="s">
        <v>2606</v>
      </c>
      <c r="E55" s="2829" t="s">
        <v>2607</v>
      </c>
      <c r="F55" s="2829" t="s">
        <v>2609</v>
      </c>
      <c r="G55" s="2829" t="s">
        <v>2640</v>
      </c>
    </row>
    <row r="56" spans="1:7" ht="19.5" customHeight="1">
      <c r="A56" s="2859"/>
      <c r="B56" s="2829">
        <v>1</v>
      </c>
      <c r="C56" s="2829">
        <v>2</v>
      </c>
      <c r="D56" s="2829">
        <v>3</v>
      </c>
      <c r="E56" s="2860" t="s">
        <v>2641</v>
      </c>
      <c r="F56" s="2860" t="s">
        <v>2641</v>
      </c>
      <c r="G56" s="2860" t="s">
        <v>2641</v>
      </c>
    </row>
    <row r="57" spans="1:7" ht="19.5" customHeight="1">
      <c r="A57" s="2861" t="s">
        <v>2594</v>
      </c>
      <c r="B57" s="2829">
        <v>0.7</v>
      </c>
      <c r="C57" s="2829">
        <v>0.4</v>
      </c>
      <c r="D57" s="2829">
        <v>0.3</v>
      </c>
      <c r="E57" s="2860">
        <v>0.3</v>
      </c>
      <c r="F57" s="2829">
        <v>0.3</v>
      </c>
      <c r="G57" s="2829">
        <v>0.2</v>
      </c>
    </row>
    <row r="58" spans="1:7" ht="19.5" customHeight="1">
      <c r="A58" s="2861" t="s">
        <v>2595</v>
      </c>
      <c r="B58" s="2829">
        <v>0.7</v>
      </c>
      <c r="C58" s="2829">
        <v>0.4</v>
      </c>
      <c r="D58" s="2829">
        <v>0.3</v>
      </c>
      <c r="E58" s="2829">
        <v>0.3</v>
      </c>
      <c r="F58" s="2829">
        <v>0.3</v>
      </c>
      <c r="G58" s="2829">
        <v>0.2</v>
      </c>
    </row>
    <row r="59" spans="1:7" ht="19.5" customHeight="1">
      <c r="A59" s="2861" t="s">
        <v>2596</v>
      </c>
      <c r="B59" s="2829">
        <v>0.6</v>
      </c>
      <c r="C59" s="2829">
        <v>0.3</v>
      </c>
      <c r="D59" s="2829">
        <v>0.25</v>
      </c>
      <c r="E59" s="2829">
        <v>0.25</v>
      </c>
      <c r="F59" s="2829">
        <v>0.25</v>
      </c>
      <c r="G59" s="2829">
        <v>0.15</v>
      </c>
    </row>
    <row r="60" spans="1:7" ht="19.5" customHeight="1">
      <c r="A60" s="2861" t="s">
        <v>2597</v>
      </c>
      <c r="B60" s="2829">
        <v>0.6</v>
      </c>
      <c r="C60" s="2829">
        <v>0.3</v>
      </c>
      <c r="D60" s="2829">
        <v>0.25</v>
      </c>
      <c r="E60" s="2829">
        <v>0.25</v>
      </c>
      <c r="F60" s="2829">
        <v>0.25</v>
      </c>
      <c r="G60" s="2829">
        <v>0.15</v>
      </c>
    </row>
    <row r="61" spans="1:7" ht="19.5" customHeight="1">
      <c r="A61" s="2861" t="s">
        <v>2598</v>
      </c>
      <c r="B61" s="2829">
        <v>0.6</v>
      </c>
      <c r="C61" s="2829">
        <v>0.3</v>
      </c>
      <c r="D61" s="2829">
        <v>0.25</v>
      </c>
      <c r="E61" s="2829">
        <v>0.25</v>
      </c>
      <c r="F61" s="2829">
        <v>0.25</v>
      </c>
      <c r="G61" s="2829">
        <v>0.15</v>
      </c>
    </row>
    <row r="62" spans="1:7" ht="19.5" customHeight="1">
      <c r="A62" s="2861" t="s">
        <v>2599</v>
      </c>
      <c r="B62" s="2829">
        <v>0.6</v>
      </c>
      <c r="C62" s="2829">
        <v>0.3</v>
      </c>
      <c r="D62" s="2829">
        <v>0.25</v>
      </c>
      <c r="E62" s="2829">
        <v>0.25</v>
      </c>
      <c r="F62" s="2829">
        <v>0.25</v>
      </c>
      <c r="G62" s="2829">
        <v>0.15</v>
      </c>
    </row>
    <row r="63" spans="1:7" ht="19.5" customHeight="1">
      <c r="A63" s="2861" t="s">
        <v>2600</v>
      </c>
      <c r="B63" s="2829">
        <v>0.6</v>
      </c>
      <c r="C63" s="2829">
        <v>0.3</v>
      </c>
      <c r="D63" s="2829">
        <v>0.25</v>
      </c>
      <c r="E63" s="2829">
        <v>0.25</v>
      </c>
      <c r="F63" s="2829">
        <v>0.25</v>
      </c>
      <c r="G63" s="2829">
        <v>0.15</v>
      </c>
    </row>
    <row r="64" spans="1:7" ht="19.5" customHeight="1">
      <c r="A64" s="2861" t="s">
        <v>2601</v>
      </c>
      <c r="B64" s="2829">
        <v>0.5</v>
      </c>
      <c r="C64" s="2829">
        <v>0.2</v>
      </c>
      <c r="D64" s="2829">
        <v>0.2</v>
      </c>
      <c r="E64" s="2829">
        <v>0.2</v>
      </c>
      <c r="F64" s="2829">
        <v>0.2</v>
      </c>
      <c r="G64" s="2829">
        <v>0.1</v>
      </c>
    </row>
    <row r="65" spans="1:7" ht="19.5" customHeight="1">
      <c r="A65" s="2861" t="s">
        <v>2602</v>
      </c>
      <c r="B65" s="2829">
        <v>0.5</v>
      </c>
      <c r="C65" s="2829">
        <v>0.2</v>
      </c>
      <c r="D65" s="2829">
        <v>0.2</v>
      </c>
      <c r="E65" s="2829">
        <v>0.2</v>
      </c>
      <c r="F65" s="2829">
        <v>0.2</v>
      </c>
      <c r="G65" s="2829">
        <v>0.1</v>
      </c>
    </row>
    <row r="66" spans="1:7" ht="19.5" customHeight="1">
      <c r="A66" s="2861" t="s">
        <v>2603</v>
      </c>
      <c r="B66" s="2829">
        <v>0.5</v>
      </c>
      <c r="C66" s="2829">
        <v>0.2</v>
      </c>
      <c r="D66" s="2829">
        <v>0.2</v>
      </c>
      <c r="E66" s="2829">
        <v>0.2</v>
      </c>
      <c r="F66" s="2829">
        <v>0.2</v>
      </c>
      <c r="G66" s="2829">
        <v>0.1</v>
      </c>
    </row>
    <row r="67" spans="1:7" ht="19.5" customHeight="1">
      <c r="A67" s="2861" t="s">
        <v>2604</v>
      </c>
      <c r="B67" s="2829">
        <v>0.5</v>
      </c>
      <c r="C67" s="2829">
        <v>0.2</v>
      </c>
      <c r="D67" s="2829">
        <v>0.2</v>
      </c>
      <c r="E67" s="2829">
        <v>0.2</v>
      </c>
      <c r="F67" s="2829">
        <v>0.2</v>
      </c>
      <c r="G67" s="2829">
        <v>0.1</v>
      </c>
    </row>
    <row r="68" spans="1:7" ht="19.5" customHeight="1">
      <c r="A68" s="2861" t="s">
        <v>2605</v>
      </c>
      <c r="B68" s="2829">
        <v>0.5</v>
      </c>
      <c r="C68" s="2829">
        <v>0.2</v>
      </c>
      <c r="D68" s="2829">
        <v>0.2</v>
      </c>
      <c r="E68" s="2829">
        <v>0.2</v>
      </c>
      <c r="F68" s="2829">
        <v>0.2</v>
      </c>
      <c r="G68" s="2829">
        <v>0.1</v>
      </c>
    </row>
    <row r="70" spans="1:7" ht="19.5" customHeight="1">
      <c r="A70" s="2843"/>
      <c r="B70" s="2862"/>
      <c r="C70" s="2862"/>
      <c r="D70" s="2862" t="s">
        <v>2642</v>
      </c>
      <c r="E70" s="2862"/>
      <c r="F70" s="2862"/>
    </row>
    <row r="71" spans="1:7" ht="19.5" customHeight="1">
      <c r="A71" s="2855" t="s">
        <v>2643</v>
      </c>
      <c r="B71" s="2855" t="s">
        <v>2644</v>
      </c>
      <c r="C71" s="2855" t="s">
        <v>2645</v>
      </c>
      <c r="D71" s="2855" t="s">
        <v>2646</v>
      </c>
      <c r="E71" s="2855" t="s">
        <v>2647</v>
      </c>
      <c r="F71" s="2855" t="s">
        <v>2648</v>
      </c>
    </row>
    <row r="72" spans="1:7" ht="14.4">
      <c r="A72" s="2855"/>
      <c r="B72" s="2855"/>
      <c r="C72" s="2855" t="s">
        <v>2649</v>
      </c>
      <c r="D72" s="2855"/>
      <c r="E72" s="2855" t="s">
        <v>2620</v>
      </c>
      <c r="F72" s="2855" t="s">
        <v>2620</v>
      </c>
    </row>
    <row r="73" spans="1:7" ht="14.4">
      <c r="A73" s="2855">
        <v>1</v>
      </c>
      <c r="B73" s="3499" t="s">
        <v>2650</v>
      </c>
      <c r="C73" s="2829" t="s">
        <v>2651</v>
      </c>
      <c r="D73" s="2829" t="s">
        <v>2652</v>
      </c>
      <c r="E73" s="2855">
        <v>0.2</v>
      </c>
      <c r="F73" s="2855">
        <v>25</v>
      </c>
    </row>
    <row r="74" spans="1:7" ht="24">
      <c r="A74" s="2855">
        <v>2</v>
      </c>
      <c r="B74" s="3494"/>
      <c r="C74" s="2829" t="s">
        <v>2653</v>
      </c>
      <c r="D74" s="2829" t="s">
        <v>2654</v>
      </c>
      <c r="E74" s="2855">
        <v>0.2</v>
      </c>
      <c r="F74" s="2855">
        <v>25</v>
      </c>
    </row>
    <row r="75" spans="1:7" ht="24">
      <c r="A75" s="2855">
        <v>3</v>
      </c>
      <c r="B75" s="3494"/>
      <c r="C75" s="2829" t="s">
        <v>2655</v>
      </c>
      <c r="D75" s="2829" t="s">
        <v>2656</v>
      </c>
      <c r="E75" s="2855">
        <v>0.2</v>
      </c>
      <c r="F75" s="2855">
        <v>25</v>
      </c>
    </row>
    <row r="76" spans="1:7" ht="14.4">
      <c r="A76" s="2855">
        <v>4</v>
      </c>
      <c r="B76" s="3494"/>
      <c r="C76" s="2829" t="s">
        <v>2657</v>
      </c>
      <c r="D76" s="2829" t="s">
        <v>2658</v>
      </c>
      <c r="E76" s="2855">
        <v>0.15</v>
      </c>
      <c r="F76" s="2855">
        <v>20</v>
      </c>
    </row>
    <row r="77" spans="1:7" ht="24">
      <c r="A77" s="2855">
        <v>5</v>
      </c>
      <c r="B77" s="3494"/>
      <c r="C77" s="2829" t="s">
        <v>2659</v>
      </c>
      <c r="D77" s="2829" t="s">
        <v>2660</v>
      </c>
      <c r="E77" s="2855">
        <v>0.15</v>
      </c>
      <c r="F77" s="2855">
        <v>20</v>
      </c>
    </row>
    <row r="78" spans="1:7" ht="24">
      <c r="A78" s="2855">
        <v>6</v>
      </c>
      <c r="B78" s="3494"/>
      <c r="C78" s="2829" t="s">
        <v>2661</v>
      </c>
      <c r="D78" s="2829" t="s">
        <v>2662</v>
      </c>
      <c r="E78" s="2855">
        <v>0.15</v>
      </c>
      <c r="F78" s="2855">
        <v>20</v>
      </c>
    </row>
    <row r="79" spans="1:7" ht="24">
      <c r="A79" s="2855">
        <v>7</v>
      </c>
      <c r="B79" s="3494"/>
      <c r="C79" s="2829" t="s">
        <v>2663</v>
      </c>
      <c r="D79" s="2829" t="s">
        <v>2664</v>
      </c>
      <c r="E79" s="2855">
        <v>0.15</v>
      </c>
      <c r="F79" s="2855">
        <v>20</v>
      </c>
    </row>
    <row r="80" spans="1:7" ht="24">
      <c r="A80" s="2855">
        <v>8</v>
      </c>
      <c r="B80" s="3494"/>
      <c r="C80" s="2829" t="s">
        <v>2665</v>
      </c>
      <c r="D80" s="2829" t="s">
        <v>2666</v>
      </c>
      <c r="E80" s="2855">
        <v>0.1</v>
      </c>
      <c r="F80" s="2855">
        <v>15</v>
      </c>
    </row>
    <row r="81" spans="1:6" ht="24">
      <c r="A81" s="2855">
        <v>9</v>
      </c>
      <c r="B81" s="3494"/>
      <c r="C81" s="2829" t="s">
        <v>2667</v>
      </c>
      <c r="D81" s="2829" t="s">
        <v>2668</v>
      </c>
      <c r="E81" s="2855">
        <v>0.1</v>
      </c>
      <c r="F81" s="2855">
        <v>15</v>
      </c>
    </row>
    <row r="82" spans="1:6" ht="24">
      <c r="A82" s="2855">
        <v>10</v>
      </c>
      <c r="B82" s="3494"/>
      <c r="C82" s="2829" t="s">
        <v>2669</v>
      </c>
      <c r="D82" s="2829" t="s">
        <v>2670</v>
      </c>
      <c r="E82" s="2855">
        <v>0.1</v>
      </c>
      <c r="F82" s="2855">
        <v>15</v>
      </c>
    </row>
    <row r="83" spans="1:6" ht="24">
      <c r="A83" s="2855">
        <v>11</v>
      </c>
      <c r="B83" s="3494"/>
      <c r="C83" s="2829" t="s">
        <v>2671</v>
      </c>
      <c r="D83" s="2829" t="s">
        <v>2672</v>
      </c>
      <c r="E83" s="2855">
        <v>0.1</v>
      </c>
      <c r="F83" s="2855">
        <v>15</v>
      </c>
    </row>
    <row r="84" spans="1:6" ht="24">
      <c r="A84" s="2855">
        <v>12</v>
      </c>
      <c r="B84" s="3494"/>
      <c r="C84" s="2829" t="s">
        <v>2673</v>
      </c>
      <c r="D84" s="2829" t="s">
        <v>2674</v>
      </c>
      <c r="E84" s="2855">
        <v>0.1</v>
      </c>
      <c r="F84" s="2855">
        <v>15</v>
      </c>
    </row>
    <row r="85" spans="1:6" ht="24">
      <c r="A85" s="2855">
        <v>13</v>
      </c>
      <c r="B85" s="3494"/>
      <c r="C85" s="2829" t="s">
        <v>2675</v>
      </c>
      <c r="D85" s="2829" t="s">
        <v>2676</v>
      </c>
      <c r="E85" s="2855">
        <v>0.1</v>
      </c>
      <c r="F85" s="2855">
        <v>15</v>
      </c>
    </row>
    <row r="86" spans="1:6" ht="24">
      <c r="A86" s="2855">
        <v>14</v>
      </c>
      <c r="B86" s="3494"/>
      <c r="C86" s="2829" t="s">
        <v>2677</v>
      </c>
      <c r="D86" s="2829" t="s">
        <v>2678</v>
      </c>
      <c r="E86" s="2855">
        <v>0.1</v>
      </c>
      <c r="F86" s="2855">
        <v>15</v>
      </c>
    </row>
    <row r="87" spans="1:6" ht="24">
      <c r="A87" s="2855">
        <v>15</v>
      </c>
      <c r="B87" s="3494"/>
      <c r="C87" s="2829" t="s">
        <v>2679</v>
      </c>
      <c r="D87" s="2829" t="s">
        <v>2680</v>
      </c>
      <c r="E87" s="2855">
        <v>0.1</v>
      </c>
      <c r="F87" s="2855">
        <v>15</v>
      </c>
    </row>
    <row r="88" spans="1:6" ht="24">
      <c r="A88" s="2855">
        <v>16</v>
      </c>
      <c r="B88" s="3494"/>
      <c r="C88" s="2829" t="s">
        <v>2681</v>
      </c>
      <c r="D88" s="2829" t="s">
        <v>2682</v>
      </c>
      <c r="E88" s="2855">
        <v>0.1</v>
      </c>
      <c r="F88" s="2855">
        <v>15</v>
      </c>
    </row>
    <row r="89" spans="1:6" ht="24">
      <c r="A89" s="2855">
        <v>17</v>
      </c>
      <c r="B89" s="3503"/>
      <c r="C89" s="2829" t="s">
        <v>2683</v>
      </c>
      <c r="D89" s="2829" t="s">
        <v>2684</v>
      </c>
      <c r="E89" s="2855">
        <v>0.1</v>
      </c>
      <c r="F89" s="2855">
        <v>15</v>
      </c>
    </row>
    <row r="90" spans="1:6" ht="14.4">
      <c r="A90" s="2855">
        <v>18</v>
      </c>
      <c r="B90" s="3499" t="s">
        <v>2685</v>
      </c>
      <c r="C90" s="2829" t="s">
        <v>2686</v>
      </c>
      <c r="D90" s="2829" t="s">
        <v>2687</v>
      </c>
      <c r="E90" s="2855">
        <v>0.2</v>
      </c>
      <c r="F90" s="2855">
        <v>25</v>
      </c>
    </row>
    <row r="91" spans="1:6" ht="24">
      <c r="A91" s="2855">
        <v>19</v>
      </c>
      <c r="B91" s="3494"/>
      <c r="C91" s="2829" t="s">
        <v>2688</v>
      </c>
      <c r="D91" s="2829" t="s">
        <v>2689</v>
      </c>
      <c r="E91" s="2855">
        <v>0.2</v>
      </c>
      <c r="F91" s="2855">
        <v>25</v>
      </c>
    </row>
    <row r="92" spans="1:6" ht="14.4">
      <c r="A92" s="2855">
        <v>20</v>
      </c>
      <c r="B92" s="3494"/>
      <c r="C92" s="2829" t="s">
        <v>2690</v>
      </c>
      <c r="D92" s="2829" t="s">
        <v>2691</v>
      </c>
      <c r="E92" s="2855">
        <v>0.15</v>
      </c>
      <c r="F92" s="2855">
        <v>20</v>
      </c>
    </row>
    <row r="93" spans="1:6" ht="24">
      <c r="A93" s="2855">
        <v>21</v>
      </c>
      <c r="B93" s="3494"/>
      <c r="C93" s="2829" t="s">
        <v>2692</v>
      </c>
      <c r="D93" s="2829" t="s">
        <v>2693</v>
      </c>
      <c r="E93" s="2855">
        <v>0.15</v>
      </c>
      <c r="F93" s="2855">
        <v>20</v>
      </c>
    </row>
    <row r="94" spans="1:6" ht="24">
      <c r="A94" s="2855">
        <v>22</v>
      </c>
      <c r="B94" s="3494"/>
      <c r="C94" s="2829" t="s">
        <v>2694</v>
      </c>
      <c r="D94" s="2829" t="s">
        <v>2695</v>
      </c>
      <c r="E94" s="2855">
        <v>0.15</v>
      </c>
      <c r="F94" s="2855">
        <v>20</v>
      </c>
    </row>
    <row r="95" spans="1:6" ht="36">
      <c r="A95" s="2855">
        <v>23</v>
      </c>
      <c r="B95" s="3494"/>
      <c r="C95" s="2829" t="s">
        <v>2696</v>
      </c>
      <c r="D95" s="2829" t="s">
        <v>2697</v>
      </c>
      <c r="E95" s="2855">
        <v>0.15</v>
      </c>
      <c r="F95" s="2855">
        <v>20</v>
      </c>
    </row>
    <row r="96" spans="1:6" ht="24">
      <c r="A96" s="2855">
        <v>24</v>
      </c>
      <c r="B96" s="3494"/>
      <c r="C96" s="2829" t="s">
        <v>2698</v>
      </c>
      <c r="D96" s="2829" t="s">
        <v>2699</v>
      </c>
      <c r="E96" s="2855">
        <v>0.1</v>
      </c>
      <c r="F96" s="2855">
        <v>15</v>
      </c>
    </row>
    <row r="97" spans="1:6" ht="24">
      <c r="A97" s="2855">
        <v>25</v>
      </c>
      <c r="B97" s="3494"/>
      <c r="C97" s="2829" t="s">
        <v>2700</v>
      </c>
      <c r="D97" s="2829" t="s">
        <v>2701</v>
      </c>
      <c r="E97" s="2855">
        <v>0.1</v>
      </c>
      <c r="F97" s="2855">
        <v>15</v>
      </c>
    </row>
    <row r="98" spans="1:6" ht="24">
      <c r="A98" s="2855">
        <v>26</v>
      </c>
      <c r="B98" s="3494"/>
      <c r="C98" s="2829" t="s">
        <v>2702</v>
      </c>
      <c r="D98" s="2829" t="s">
        <v>2703</v>
      </c>
      <c r="E98" s="2855">
        <v>0.1</v>
      </c>
      <c r="F98" s="2855">
        <v>15</v>
      </c>
    </row>
    <row r="99" spans="1:6" ht="24">
      <c r="A99" s="2855">
        <v>27</v>
      </c>
      <c r="B99" s="3494"/>
      <c r="C99" s="2829" t="s">
        <v>2704</v>
      </c>
      <c r="D99" s="2829" t="s">
        <v>2705</v>
      </c>
      <c r="E99" s="2855">
        <v>0.1</v>
      </c>
      <c r="F99" s="2855">
        <v>15</v>
      </c>
    </row>
    <row r="100" spans="1:6" ht="24">
      <c r="A100" s="2855">
        <v>28</v>
      </c>
      <c r="B100" s="3494"/>
      <c r="C100" s="2829" t="s">
        <v>2706</v>
      </c>
      <c r="D100" s="2829" t="s">
        <v>2707</v>
      </c>
      <c r="E100" s="2855">
        <v>0.1</v>
      </c>
      <c r="F100" s="2855">
        <v>15</v>
      </c>
    </row>
    <row r="101" spans="1:6" ht="24">
      <c r="A101" s="2855">
        <v>29</v>
      </c>
      <c r="B101" s="3494"/>
      <c r="C101" s="2829" t="s">
        <v>2708</v>
      </c>
      <c r="D101" s="2829" t="s">
        <v>2709</v>
      </c>
      <c r="E101" s="2855">
        <v>0.1</v>
      </c>
      <c r="F101" s="2855">
        <v>15</v>
      </c>
    </row>
    <row r="102" spans="1:6" ht="24">
      <c r="A102" s="2855">
        <v>30</v>
      </c>
      <c r="B102" s="3494"/>
      <c r="C102" s="2829" t="s">
        <v>2710</v>
      </c>
      <c r="D102" s="2829" t="s">
        <v>2711</v>
      </c>
      <c r="E102" s="2855">
        <v>0.1</v>
      </c>
      <c r="F102" s="2855">
        <v>15</v>
      </c>
    </row>
    <row r="103" spans="1:6" ht="24">
      <c r="A103" s="2855">
        <v>31</v>
      </c>
      <c r="B103" s="3494"/>
      <c r="C103" s="2829" t="s">
        <v>2712</v>
      </c>
      <c r="D103" s="2829" t="s">
        <v>2713</v>
      </c>
      <c r="E103" s="2855">
        <v>0.1</v>
      </c>
      <c r="F103" s="2855">
        <v>15</v>
      </c>
    </row>
    <row r="104" spans="1:6" ht="24">
      <c r="A104" s="2855">
        <v>32</v>
      </c>
      <c r="B104" s="3494"/>
      <c r="C104" s="2829" t="s">
        <v>2714</v>
      </c>
      <c r="D104" s="2829" t="s">
        <v>2715</v>
      </c>
      <c r="E104" s="2855">
        <v>0.1</v>
      </c>
      <c r="F104" s="2855">
        <v>15</v>
      </c>
    </row>
    <row r="105" spans="1:6" ht="24">
      <c r="A105" s="2855">
        <v>33</v>
      </c>
      <c r="B105" s="3494"/>
      <c r="C105" s="2829" t="s">
        <v>2716</v>
      </c>
      <c r="D105" s="2829" t="s">
        <v>2717</v>
      </c>
      <c r="E105" s="2855">
        <v>0.1</v>
      </c>
      <c r="F105" s="2855">
        <v>15</v>
      </c>
    </row>
    <row r="106" spans="1:6" ht="24">
      <c r="A106" s="2855">
        <v>34</v>
      </c>
      <c r="B106" s="3503"/>
      <c r="C106" s="2829" t="s">
        <v>2718</v>
      </c>
      <c r="D106" s="2829" t="s">
        <v>2719</v>
      </c>
      <c r="E106" s="2855">
        <v>0.1</v>
      </c>
      <c r="F106" s="2855">
        <v>15</v>
      </c>
    </row>
    <row r="107" spans="1:6" ht="36">
      <c r="A107" s="2855">
        <v>35</v>
      </c>
      <c r="B107" s="3499" t="s">
        <v>2720</v>
      </c>
      <c r="C107" s="2855" t="s">
        <v>2721</v>
      </c>
      <c r="D107" s="2829" t="s">
        <v>2722</v>
      </c>
      <c r="E107" s="2855">
        <v>0.15</v>
      </c>
      <c r="F107" s="2855">
        <v>20</v>
      </c>
    </row>
    <row r="108" spans="1:6" ht="24">
      <c r="A108" s="2855">
        <v>36</v>
      </c>
      <c r="B108" s="3494"/>
      <c r="C108" s="2855" t="s">
        <v>2723</v>
      </c>
      <c r="D108" s="2829" t="s">
        <v>2724</v>
      </c>
      <c r="E108" s="2855">
        <v>0.15</v>
      </c>
      <c r="F108" s="2855">
        <v>20</v>
      </c>
    </row>
    <row r="109" spans="1:6" ht="24">
      <c r="A109" s="2855">
        <v>37</v>
      </c>
      <c r="B109" s="3494"/>
      <c r="C109" s="2855" t="s">
        <v>2725</v>
      </c>
      <c r="D109" s="2829" t="s">
        <v>2726</v>
      </c>
      <c r="E109" s="2855">
        <v>0.15</v>
      </c>
      <c r="F109" s="2855">
        <v>20</v>
      </c>
    </row>
    <row r="110" spans="1:6" ht="24">
      <c r="A110" s="2855">
        <v>38</v>
      </c>
      <c r="B110" s="3494"/>
      <c r="C110" s="2855" t="s">
        <v>2727</v>
      </c>
      <c r="D110" s="2829" t="s">
        <v>2728</v>
      </c>
      <c r="E110" s="2855">
        <v>0.1</v>
      </c>
      <c r="F110" s="2855">
        <v>15</v>
      </c>
    </row>
    <row r="111" spans="1:6" ht="24">
      <c r="A111" s="2855">
        <v>39</v>
      </c>
      <c r="B111" s="3494"/>
      <c r="C111" s="2855" t="s">
        <v>2729</v>
      </c>
      <c r="D111" s="2829" t="s">
        <v>2730</v>
      </c>
      <c r="E111" s="2855">
        <v>0.1</v>
      </c>
      <c r="F111" s="2855">
        <v>15</v>
      </c>
    </row>
    <row r="112" spans="1:6" ht="24">
      <c r="A112" s="2855">
        <v>40</v>
      </c>
      <c r="B112" s="3503"/>
      <c r="C112" s="2855" t="s">
        <v>2731</v>
      </c>
      <c r="D112" s="2829" t="s">
        <v>2732</v>
      </c>
      <c r="E112" s="2855">
        <v>0.1</v>
      </c>
      <c r="F112" s="2855">
        <v>15</v>
      </c>
    </row>
    <row r="113" spans="1:6" ht="24">
      <c r="A113" s="2855">
        <v>41</v>
      </c>
      <c r="B113" s="3504" t="s">
        <v>2733</v>
      </c>
      <c r="C113" s="2855" t="s">
        <v>2734</v>
      </c>
      <c r="D113" s="2829" t="s">
        <v>2735</v>
      </c>
      <c r="E113" s="2855">
        <v>0.1</v>
      </c>
      <c r="F113" s="2855">
        <v>15</v>
      </c>
    </row>
    <row r="114" spans="1:6" ht="24">
      <c r="A114" s="2855">
        <v>42</v>
      </c>
      <c r="B114" s="3504"/>
      <c r="C114" s="2855" t="s">
        <v>2736</v>
      </c>
      <c r="D114" s="2829" t="s">
        <v>2737</v>
      </c>
      <c r="E114" s="2855">
        <v>0.1</v>
      </c>
      <c r="F114" s="2855">
        <v>15</v>
      </c>
    </row>
    <row r="115" spans="1:6" ht="24">
      <c r="A115" s="2855">
        <v>43</v>
      </c>
      <c r="B115" s="3504"/>
      <c r="C115" s="2855" t="s">
        <v>2738</v>
      </c>
      <c r="D115" s="2829" t="s">
        <v>2739</v>
      </c>
      <c r="E115" s="2855">
        <v>0.1</v>
      </c>
      <c r="F115" s="2855">
        <v>15</v>
      </c>
    </row>
    <row r="116" spans="1:6" ht="24">
      <c r="A116" s="2855">
        <v>44</v>
      </c>
      <c r="B116" s="3499" t="s">
        <v>2740</v>
      </c>
      <c r="C116" s="2855" t="s">
        <v>2741</v>
      </c>
      <c r="D116" s="2829" t="s">
        <v>2742</v>
      </c>
      <c r="E116" s="2855">
        <v>0.1</v>
      </c>
      <c r="F116" s="2855">
        <v>15</v>
      </c>
    </row>
    <row r="117" spans="1:6" ht="24">
      <c r="A117" s="2855">
        <v>45</v>
      </c>
      <c r="B117" s="3503"/>
      <c r="C117" s="2829" t="s">
        <v>2743</v>
      </c>
      <c r="D117" s="2829" t="s">
        <v>2744</v>
      </c>
      <c r="E117" s="2855">
        <v>0.1</v>
      </c>
      <c r="F117" s="2855">
        <v>15</v>
      </c>
    </row>
    <row r="118" spans="1:6" ht="24">
      <c r="A118" s="2855">
        <v>46</v>
      </c>
      <c r="B118" s="3499" t="s">
        <v>2745</v>
      </c>
      <c r="C118" s="2855" t="s">
        <v>2746</v>
      </c>
      <c r="D118" s="2829" t="s">
        <v>2747</v>
      </c>
      <c r="E118" s="2855">
        <v>0.1</v>
      </c>
      <c r="F118" s="2855">
        <v>15</v>
      </c>
    </row>
    <row r="119" spans="1:6" ht="24">
      <c r="A119" s="2855">
        <v>47</v>
      </c>
      <c r="B119" s="3503"/>
      <c r="C119" s="2855" t="s">
        <v>2748</v>
      </c>
      <c r="D119" s="2829" t="s">
        <v>2749</v>
      </c>
      <c r="E119" s="2855">
        <v>0.1</v>
      </c>
      <c r="F119" s="2855">
        <v>15</v>
      </c>
    </row>
    <row r="120" spans="1:6" ht="24">
      <c r="A120" s="2855">
        <v>48</v>
      </c>
      <c r="B120" s="3499" t="s">
        <v>2750</v>
      </c>
      <c r="C120" s="2855" t="s">
        <v>2751</v>
      </c>
      <c r="D120" s="2829" t="s">
        <v>2752</v>
      </c>
      <c r="E120" s="2855">
        <v>0.1</v>
      </c>
      <c r="F120" s="2855">
        <v>15</v>
      </c>
    </row>
    <row r="121" spans="1:6" ht="24">
      <c r="A121" s="2855">
        <v>49</v>
      </c>
      <c r="B121" s="3503"/>
      <c r="C121" s="2855" t="s">
        <v>2753</v>
      </c>
      <c r="D121" s="2829" t="s">
        <v>2754</v>
      </c>
      <c r="E121" s="2855">
        <v>0.1</v>
      </c>
      <c r="F121" s="2855">
        <v>15</v>
      </c>
    </row>
    <row r="122" spans="1:6" ht="24">
      <c r="A122" s="2855">
        <v>50</v>
      </c>
      <c r="B122" s="3504" t="s">
        <v>2755</v>
      </c>
      <c r="C122" s="2855" t="s">
        <v>2756</v>
      </c>
      <c r="D122" s="2829" t="s">
        <v>2757</v>
      </c>
      <c r="E122" s="2855">
        <v>0.1</v>
      </c>
      <c r="F122" s="2855">
        <v>15</v>
      </c>
    </row>
    <row r="123" spans="1:6" ht="24">
      <c r="A123" s="2855">
        <v>51</v>
      </c>
      <c r="B123" s="3504"/>
      <c r="C123" s="2855" t="s">
        <v>2758</v>
      </c>
      <c r="D123" s="2829" t="s">
        <v>2759</v>
      </c>
      <c r="E123" s="2855">
        <v>0.1</v>
      </c>
      <c r="F123" s="2855">
        <v>15</v>
      </c>
    </row>
    <row r="124" spans="1:6" ht="24">
      <c r="A124" s="2855">
        <v>52</v>
      </c>
      <c r="B124" s="3504" t="s">
        <v>2760</v>
      </c>
      <c r="C124" s="2855" t="s">
        <v>2761</v>
      </c>
      <c r="D124" s="2829" t="s">
        <v>2762</v>
      </c>
      <c r="E124" s="2855">
        <v>0.1</v>
      </c>
      <c r="F124" s="2855">
        <v>15</v>
      </c>
    </row>
    <row r="125" spans="1:6" ht="24">
      <c r="A125" s="2855">
        <v>53</v>
      </c>
      <c r="B125" s="3504"/>
      <c r="C125" s="2855" t="s">
        <v>2763</v>
      </c>
      <c r="D125" s="2829" t="s">
        <v>2764</v>
      </c>
      <c r="E125" s="2855">
        <v>0.1</v>
      </c>
      <c r="F125" s="2855">
        <v>15</v>
      </c>
    </row>
    <row r="126" spans="1:6" ht="24">
      <c r="A126" s="2855">
        <v>54</v>
      </c>
      <c r="B126" s="2855" t="s">
        <v>2765</v>
      </c>
      <c r="C126" s="2855" t="s">
        <v>2766</v>
      </c>
      <c r="D126" s="2829" t="s">
        <v>2767</v>
      </c>
      <c r="E126" s="2855">
        <v>0.1</v>
      </c>
      <c r="F126" s="2855">
        <v>15</v>
      </c>
    </row>
    <row r="127" spans="1:6" ht="24">
      <c r="A127" s="2855">
        <v>55</v>
      </c>
      <c r="B127" s="3504" t="s">
        <v>2768</v>
      </c>
      <c r="C127" s="2855" t="s">
        <v>2769</v>
      </c>
      <c r="D127" s="2829" t="s">
        <v>2770</v>
      </c>
      <c r="E127" s="2855">
        <v>0.1</v>
      </c>
      <c r="F127" s="2855">
        <v>15</v>
      </c>
    </row>
    <row r="128" spans="1:6" ht="24">
      <c r="A128" s="2855">
        <v>56</v>
      </c>
      <c r="B128" s="3504"/>
      <c r="C128" s="2855" t="s">
        <v>2771</v>
      </c>
      <c r="D128" s="2829" t="s">
        <v>2772</v>
      </c>
      <c r="E128" s="2855">
        <v>0.1</v>
      </c>
      <c r="F128" s="2855">
        <v>15</v>
      </c>
    </row>
    <row r="129" spans="1:6" ht="24">
      <c r="A129" s="2855">
        <v>57</v>
      </c>
      <c r="B129" s="3504"/>
      <c r="C129" s="2855" t="s">
        <v>2773</v>
      </c>
      <c r="D129" s="2829" t="s">
        <v>2774</v>
      </c>
      <c r="E129" s="2855">
        <v>0.1</v>
      </c>
      <c r="F129" s="2855">
        <v>15</v>
      </c>
    </row>
    <row r="130" spans="1:6" ht="24">
      <c r="A130" s="2855">
        <v>58</v>
      </c>
      <c r="B130" s="3504" t="s">
        <v>2775</v>
      </c>
      <c r="C130" s="2855" t="s">
        <v>2776</v>
      </c>
      <c r="D130" s="2829" t="s">
        <v>2777</v>
      </c>
      <c r="E130" s="2855">
        <v>0.1</v>
      </c>
      <c r="F130" s="2855">
        <v>15</v>
      </c>
    </row>
    <row r="131" spans="1:6" ht="24">
      <c r="A131" s="2855">
        <v>59</v>
      </c>
      <c r="B131" s="3504"/>
      <c r="C131" s="2855" t="s">
        <v>2778</v>
      </c>
      <c r="D131" s="2829" t="s">
        <v>2779</v>
      </c>
      <c r="E131" s="2855">
        <v>0.1</v>
      </c>
      <c r="F131" s="2855">
        <v>15</v>
      </c>
    </row>
    <row r="132" spans="1:6" ht="24">
      <c r="A132" s="2855">
        <v>60</v>
      </c>
      <c r="B132" s="3499" t="s">
        <v>2780</v>
      </c>
      <c r="C132" s="2855" t="s">
        <v>2781</v>
      </c>
      <c r="D132" s="2829" t="s">
        <v>2782</v>
      </c>
      <c r="E132" s="2855">
        <v>0.1</v>
      </c>
      <c r="F132" s="2855">
        <v>15</v>
      </c>
    </row>
    <row r="133" spans="1:6" ht="24">
      <c r="A133" s="2855">
        <v>61</v>
      </c>
      <c r="B133" s="3503"/>
      <c r="C133" s="2855" t="s">
        <v>2783</v>
      </c>
      <c r="D133" s="2829" t="s">
        <v>2784</v>
      </c>
      <c r="E133" s="2855">
        <v>0.1</v>
      </c>
      <c r="F133" s="2855">
        <v>15</v>
      </c>
    </row>
    <row r="134" spans="1:6" ht="24">
      <c r="A134" s="2855">
        <v>62</v>
      </c>
      <c r="B134" s="2855" t="s">
        <v>2785</v>
      </c>
      <c r="C134" s="2855" t="s">
        <v>2786</v>
      </c>
      <c r="D134" s="2829" t="s">
        <v>2787</v>
      </c>
      <c r="E134" s="2855">
        <v>0.1</v>
      </c>
      <c r="F134" s="2855">
        <v>15</v>
      </c>
    </row>
    <row r="135" spans="1:6" ht="24">
      <c r="A135" s="2855">
        <v>63</v>
      </c>
      <c r="B135" s="3504" t="s">
        <v>2788</v>
      </c>
      <c r="C135" s="2855" t="s">
        <v>2789</v>
      </c>
      <c r="D135" s="2829" t="s">
        <v>2790</v>
      </c>
      <c r="E135" s="2855">
        <v>0.1</v>
      </c>
      <c r="F135" s="2855">
        <v>15</v>
      </c>
    </row>
    <row r="136" spans="1:6" ht="24">
      <c r="A136" s="2855">
        <v>64</v>
      </c>
      <c r="B136" s="3504"/>
      <c r="C136" s="2855" t="s">
        <v>2791</v>
      </c>
      <c r="D136" s="2829" t="s">
        <v>2792</v>
      </c>
      <c r="E136" s="2855">
        <v>0.1</v>
      </c>
      <c r="F136" s="2855">
        <v>15</v>
      </c>
    </row>
    <row r="137" spans="1:6" ht="24">
      <c r="A137" s="2855">
        <v>65</v>
      </c>
      <c r="B137" s="2855" t="s">
        <v>2793</v>
      </c>
      <c r="C137" s="2855" t="s">
        <v>2794</v>
      </c>
      <c r="D137" s="2829" t="s">
        <v>2795</v>
      </c>
      <c r="E137" s="2855">
        <v>0.1</v>
      </c>
      <c r="F137" s="2855">
        <v>15</v>
      </c>
    </row>
    <row r="138" spans="1:6" ht="14.4">
      <c r="A138" s="2855"/>
      <c r="B138" s="2855"/>
      <c r="C138" s="2855"/>
      <c r="D138" s="2855"/>
      <c r="E138" s="2855" t="s">
        <v>2796</v>
      </c>
      <c r="F138" s="2855" t="s">
        <v>2796</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2877"/>
  </cols>
  <sheetData>
    <row r="1" spans="1:20" ht="16.2" thickBot="1">
      <c r="A1" s="2863" t="s">
        <v>2797</v>
      </c>
      <c r="B1" s="2863"/>
      <c r="C1" s="2863"/>
      <c r="D1" s="2863"/>
      <c r="E1" s="2863"/>
      <c r="F1" s="2863"/>
      <c r="G1" s="2863"/>
      <c r="H1" s="2863"/>
      <c r="I1" s="2863"/>
      <c r="J1" s="2863"/>
      <c r="K1" s="2863"/>
      <c r="L1" s="2863"/>
      <c r="M1" s="2863"/>
      <c r="N1" s="707"/>
    </row>
    <row r="2" spans="1:20">
      <c r="A2" s="2864" t="s">
        <v>2798</v>
      </c>
      <c r="B2" s="2865" t="s">
        <v>2594</v>
      </c>
      <c r="C2" s="2865" t="s">
        <v>2595</v>
      </c>
      <c r="D2" s="2865" t="s">
        <v>2596</v>
      </c>
      <c r="E2" s="2865" t="s">
        <v>2597</v>
      </c>
      <c r="F2" s="2865" t="s">
        <v>2598</v>
      </c>
      <c r="G2" s="2865" t="s">
        <v>2599</v>
      </c>
      <c r="H2" s="2866" t="s">
        <v>2600</v>
      </c>
      <c r="I2" s="2866" t="s">
        <v>2601</v>
      </c>
      <c r="J2" s="2867" t="s">
        <v>2602</v>
      </c>
      <c r="K2" s="2867" t="s">
        <v>2603</v>
      </c>
      <c r="L2" s="2867" t="s">
        <v>2604</v>
      </c>
      <c r="M2" s="2868" t="s">
        <v>2605</v>
      </c>
      <c r="Q2" s="2878" t="s">
        <v>2803</v>
      </c>
      <c r="R2" s="2878" t="s">
        <v>2804</v>
      </c>
      <c r="S2" s="2878" t="s">
        <v>2805</v>
      </c>
      <c r="T2" s="2878" t="s">
        <v>2806</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6.2" thickBot="1">
      <c r="A93" s="2863" t="s">
        <v>2799</v>
      </c>
      <c r="B93" s="2863"/>
      <c r="C93" s="2863"/>
      <c r="D93" s="2863"/>
      <c r="E93" s="2863"/>
      <c r="F93" s="2863"/>
      <c r="G93" s="2863"/>
      <c r="H93" s="2863"/>
      <c r="I93" s="2863"/>
      <c r="J93" s="2863"/>
      <c r="K93" s="2863"/>
      <c r="L93" s="2863"/>
      <c r="M93" s="2863"/>
    </row>
    <row r="94" spans="1:20">
      <c r="A94" s="2864" t="s">
        <v>2798</v>
      </c>
      <c r="B94" s="2865" t="s">
        <v>2594</v>
      </c>
      <c r="C94" s="2865" t="s">
        <v>2595</v>
      </c>
      <c r="D94" s="2865" t="s">
        <v>2596</v>
      </c>
      <c r="E94" s="2865" t="s">
        <v>2597</v>
      </c>
      <c r="F94" s="2865" t="s">
        <v>2598</v>
      </c>
      <c r="G94" s="2865" t="s">
        <v>2599</v>
      </c>
      <c r="H94" s="2866" t="s">
        <v>2600</v>
      </c>
      <c r="I94" s="2866" t="s">
        <v>2601</v>
      </c>
      <c r="J94" s="2867" t="s">
        <v>2602</v>
      </c>
      <c r="K94" s="2867" t="s">
        <v>2603</v>
      </c>
      <c r="L94" s="2867" t="s">
        <v>2604</v>
      </c>
      <c r="M94" s="2868" t="s">
        <v>2605</v>
      </c>
      <c r="N94">
        <f>SUMPRODUCT((A95:A184=ROUNDDOWN(基准地价修正!G3,1))*(B94:M94=基准地价修正!G2)*(B95:M184))</f>
        <v>0</v>
      </c>
      <c r="Q94" s="2878" t="s">
        <v>2803</v>
      </c>
      <c r="R94" s="2878" t="s">
        <v>2804</v>
      </c>
      <c r="S94" s="2878" t="s">
        <v>2805</v>
      </c>
      <c r="T94" s="2878" t="s">
        <v>2806</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5.6">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7"/>
    </row>
    <row r="104" spans="1:14" ht="15.6">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7"/>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6.2" thickBot="1">
      <c r="A185" s="2863" t="s">
        <v>2800</v>
      </c>
      <c r="B185" s="2863"/>
      <c r="C185" s="2863"/>
      <c r="D185" s="2863"/>
      <c r="E185" s="2863"/>
      <c r="F185" s="2863"/>
      <c r="G185" s="2863"/>
      <c r="H185" s="2863"/>
      <c r="I185" s="2863"/>
      <c r="J185" s="2863"/>
      <c r="K185" s="2863"/>
      <c r="L185" s="2863"/>
      <c r="M185" s="2863"/>
    </row>
    <row r="186" spans="1:20">
      <c r="A186" s="2864" t="s">
        <v>2798</v>
      </c>
      <c r="B186" s="2865" t="s">
        <v>2594</v>
      </c>
      <c r="C186" s="2865" t="s">
        <v>2595</v>
      </c>
      <c r="D186" s="2865" t="s">
        <v>2596</v>
      </c>
      <c r="E186" s="2865" t="s">
        <v>2597</v>
      </c>
      <c r="F186" s="2865" t="s">
        <v>2598</v>
      </c>
      <c r="G186" s="2865" t="s">
        <v>2599</v>
      </c>
      <c r="H186" s="2866" t="s">
        <v>2600</v>
      </c>
      <c r="I186" s="2866" t="s">
        <v>2601</v>
      </c>
      <c r="J186" s="2867" t="s">
        <v>2602</v>
      </c>
      <c r="K186" s="2867" t="s">
        <v>2603</v>
      </c>
      <c r="L186" s="2867" t="s">
        <v>2604</v>
      </c>
      <c r="M186" s="2868" t="s">
        <v>2605</v>
      </c>
      <c r="Q186" s="2878" t="s">
        <v>2803</v>
      </c>
      <c r="R186" s="2878" t="s">
        <v>2804</v>
      </c>
      <c r="S186" s="2878" t="s">
        <v>2805</v>
      </c>
      <c r="T186" s="2878" t="s">
        <v>2806</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6.2" thickBot="1">
      <c r="A277" s="2863" t="s">
        <v>2801</v>
      </c>
      <c r="B277" s="2863"/>
      <c r="C277" s="2863"/>
      <c r="D277" s="2863"/>
      <c r="E277" s="2863"/>
      <c r="F277" s="2863"/>
      <c r="G277" s="2863"/>
      <c r="H277" s="2863"/>
      <c r="I277" s="2863"/>
      <c r="J277" s="2863"/>
      <c r="K277" s="2863"/>
      <c r="L277" s="2863"/>
      <c r="M277" s="2863"/>
    </row>
    <row r="278" spans="1:21">
      <c r="A278" s="2864" t="s">
        <v>2798</v>
      </c>
      <c r="B278" s="2865" t="s">
        <v>2594</v>
      </c>
      <c r="C278" s="2865" t="s">
        <v>2595</v>
      </c>
      <c r="D278" s="2865" t="s">
        <v>2596</v>
      </c>
      <c r="E278" s="2865" t="s">
        <v>2597</v>
      </c>
      <c r="F278" s="2865" t="s">
        <v>2598</v>
      </c>
      <c r="G278" s="2865" t="s">
        <v>2599</v>
      </c>
      <c r="H278" s="2866" t="s">
        <v>2600</v>
      </c>
      <c r="I278" s="2866" t="s">
        <v>2601</v>
      </c>
      <c r="J278" s="2867" t="s">
        <v>2602</v>
      </c>
      <c r="K278" s="2867" t="s">
        <v>2603</v>
      </c>
      <c r="L278" s="2867" t="s">
        <v>2604</v>
      </c>
      <c r="M278" s="2868" t="s">
        <v>2605</v>
      </c>
      <c r="Q278" s="2878" t="s">
        <v>2803</v>
      </c>
      <c r="R278" s="2878" t="s">
        <v>2804</v>
      </c>
      <c r="S278" s="2878" t="s">
        <v>2807</v>
      </c>
      <c r="T278" s="2878" t="s">
        <v>2808</v>
      </c>
      <c r="U278" s="2878" t="s">
        <v>2806</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6.2" thickBot="1">
      <c r="A369" s="2863" t="s">
        <v>2802</v>
      </c>
      <c r="B369" s="2876"/>
      <c r="C369" s="2876"/>
      <c r="D369" s="2876"/>
      <c r="E369" s="2876"/>
      <c r="F369" s="2876"/>
      <c r="G369" s="2876"/>
      <c r="H369" s="2876"/>
      <c r="I369" s="2876"/>
      <c r="J369" s="2876"/>
      <c r="K369" s="2876"/>
      <c r="L369" s="2876"/>
      <c r="M369" s="2876"/>
    </row>
    <row r="370" spans="1:20">
      <c r="A370" s="2864" t="s">
        <v>2798</v>
      </c>
      <c r="B370" s="2865" t="s">
        <v>2594</v>
      </c>
      <c r="C370" s="2865" t="s">
        <v>2595</v>
      </c>
      <c r="D370" s="2865" t="s">
        <v>2596</v>
      </c>
      <c r="E370" s="2865" t="s">
        <v>2597</v>
      </c>
      <c r="F370" s="2865" t="s">
        <v>2598</v>
      </c>
      <c r="G370" s="2865" t="s">
        <v>2599</v>
      </c>
      <c r="H370" s="2866" t="s">
        <v>2600</v>
      </c>
      <c r="I370" s="2866" t="s">
        <v>2601</v>
      </c>
      <c r="J370" s="2867" t="s">
        <v>2602</v>
      </c>
      <c r="K370" s="2867" t="s">
        <v>2603</v>
      </c>
      <c r="L370" s="2867" t="s">
        <v>2604</v>
      </c>
      <c r="M370" s="2868" t="s">
        <v>2605</v>
      </c>
      <c r="N370">
        <f>SUMPRODUCT((A371:A460=ROUNDDOWN(基准地价修正!G3,1))*(B370:M370=基准地价修正!G2)*(B371:M460))</f>
        <v>0</v>
      </c>
      <c r="Q370" s="2878" t="s">
        <v>2803</v>
      </c>
      <c r="R370" s="2878" t="s">
        <v>2804</v>
      </c>
      <c r="S370" s="2878" t="s">
        <v>2805</v>
      </c>
      <c r="T370" s="2878" t="s">
        <v>2806</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28911</v>
      </c>
      <c r="C2" s="2" t="s">
        <v>106</v>
      </c>
      <c r="D2" s="191"/>
      <c r="E2" s="191"/>
      <c r="F2" s="191"/>
      <c r="G2" s="191"/>
    </row>
    <row r="3" spans="1:7" s="192" customFormat="1" ht="18" customHeight="1" thickBot="1">
      <c r="A3" s="195" t="s">
        <v>58</v>
      </c>
      <c r="B3" s="196">
        <f ca="1">ROUND(B2*10000/'数据-汇总表'!E3,0)</f>
        <v>5054371</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1</v>
      </c>
      <c r="D9" s="795">
        <f>'数据-汇总表'!E5</f>
        <v>57.2</v>
      </c>
      <c r="E9" s="217">
        <f>'数据-取费表'!B27</f>
        <v>160</v>
      </c>
      <c r="F9" s="213"/>
      <c r="G9" s="218"/>
    </row>
    <row r="10" spans="1:7" s="206" customFormat="1" ht="13.5" customHeight="1">
      <c r="A10" s="733" t="s">
        <v>356</v>
      </c>
      <c r="B10" s="216" t="s">
        <v>67</v>
      </c>
      <c r="C10" s="217">
        <f>ROUND(D10*E10/10000,0)</f>
        <v>0</v>
      </c>
      <c r="D10" s="795">
        <f>'数据-汇总表'!E6</f>
        <v>0</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57.2</v>
      </c>
      <c r="E19" s="203">
        <f>'数据-取费表'!B31</f>
        <v>200</v>
      </c>
      <c r="F19" s="223"/>
      <c r="G19" s="1" t="s">
        <v>436</v>
      </c>
    </row>
    <row r="20" spans="1:7" s="206" customFormat="1" ht="13.5" customHeight="1">
      <c r="A20" s="731" t="s">
        <v>419</v>
      </c>
      <c r="B20" s="202" t="s">
        <v>77</v>
      </c>
      <c r="C20" s="224">
        <f>ROUND((C5+C19)*F20,0)</f>
        <v>206</v>
      </c>
      <c r="D20" s="224"/>
      <c r="E20" s="224"/>
      <c r="F20" s="225">
        <f>'数据-取费表'!B37</f>
        <v>0.01</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1304</v>
      </c>
      <c r="D22" s="227">
        <f ca="1">C26</f>
        <v>8.9999999999999998E-4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6.4">
      <c r="A27" s="731" t="s">
        <v>342</v>
      </c>
      <c r="B27" s="236" t="s">
        <v>85</v>
      </c>
      <c r="C27" s="237">
        <f>C28</f>
        <v>4163</v>
      </c>
      <c r="D27" s="227">
        <f>C29</f>
        <v>6.0000000000000001E-3</v>
      </c>
      <c r="E27" s="228" t="s">
        <v>99</v>
      </c>
      <c r="F27" s="238">
        <f>'数据-取费表'!Q16</f>
        <v>0.2</v>
      </c>
      <c r="G27" s="239" t="s">
        <v>431</v>
      </c>
    </row>
    <row r="28" spans="1:7" s="206" customFormat="1" ht="13.5" customHeight="1">
      <c r="A28" s="734" t="s">
        <v>349</v>
      </c>
      <c r="B28" s="240" t="s">
        <v>424</v>
      </c>
      <c r="C28" s="241">
        <f>ROUND((C5+C19+C20)*F27*'数据-取费表'!B21/'数据-取费表'!B20,0)</f>
        <v>4163</v>
      </c>
      <c r="D28" s="227"/>
      <c r="E28" s="228"/>
      <c r="F28" s="238"/>
      <c r="G28" s="239"/>
    </row>
    <row r="29" spans="1:7" s="206" customFormat="1" ht="13.5" customHeight="1">
      <c r="A29" s="734" t="s">
        <v>347</v>
      </c>
      <c r="B29" s="240" t="s">
        <v>425</v>
      </c>
      <c r="C29" s="230">
        <f>ROUND(C21*F27*'数据-取费表'!B21/'数据-取费表'!B20,4)</f>
        <v>6.0000000000000001E-3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28891</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23</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20</v>
      </c>
      <c r="D34" s="209"/>
      <c r="E34" s="212"/>
      <c r="F34" s="249">
        <f>IF('数据-取费表'!B24=0,1,'数据-取费表'!N16)</f>
        <v>1</v>
      </c>
      <c r="G34" s="211" t="s">
        <v>89</v>
      </c>
    </row>
    <row r="35" spans="1:7" ht="13.5" customHeight="1">
      <c r="A35" s="734" t="s">
        <v>351</v>
      </c>
      <c r="B35" s="207" t="s">
        <v>33</v>
      </c>
      <c r="C35" s="212">
        <f>ROUND(C34*F35,0)</f>
        <v>1</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v>
      </c>
      <c r="D36" s="212"/>
      <c r="E36" s="212"/>
      <c r="F36" s="251">
        <f>'数据-取费表'!B34</f>
        <v>0.05</v>
      </c>
      <c r="G36" s="252" t="s">
        <v>35</v>
      </c>
    </row>
    <row r="37" spans="1:7" s="250" customFormat="1" ht="13.5" customHeight="1">
      <c r="A37" s="734" t="s">
        <v>353</v>
      </c>
      <c r="B37" s="207" t="s">
        <v>91</v>
      </c>
      <c r="C37" s="241">
        <f>ROUND(E37*D37*F34/10000,0)</f>
        <v>1</v>
      </c>
      <c r="D37" s="209">
        <f>'数据-汇总表'!E3</f>
        <v>57.2</v>
      </c>
      <c r="E37" s="241">
        <f>'数据-取费表'!B35</f>
        <v>200</v>
      </c>
      <c r="F37" s="251"/>
      <c r="G37" s="253" t="s">
        <v>92</v>
      </c>
    </row>
    <row r="38" spans="1:7" ht="13.5" customHeight="1">
      <c r="A38" s="734" t="s">
        <v>354</v>
      </c>
      <c r="B38" s="207" t="s">
        <v>36</v>
      </c>
      <c r="C38" s="212">
        <f>ROUND(C34*F38,0)</f>
        <v>0</v>
      </c>
      <c r="D38" s="212"/>
      <c r="E38" s="212"/>
      <c r="F38" s="251">
        <f>'数据-取费表'!B36</f>
        <v>0.02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1</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v>
      </c>
      <c r="D42" s="230"/>
      <c r="E42" s="230"/>
      <c r="F42" s="231"/>
      <c r="G42" s="3370" t="s">
        <v>94</v>
      </c>
    </row>
    <row r="43" spans="1:7" ht="13.5" customHeight="1">
      <c r="A43" s="734" t="s">
        <v>347</v>
      </c>
      <c r="B43" s="207" t="s">
        <v>426</v>
      </c>
      <c r="C43" s="230">
        <f ca="1">ROUND(IF('数据-取费表'!B22&lt;=1,C39*F22*'数据-取费表'!B21/2,C39*(POWER((1+F22),'数据-取费表'!B21/2)-1)),0)</f>
        <v>0</v>
      </c>
      <c r="D43" s="230"/>
      <c r="E43" s="230"/>
      <c r="F43" s="231"/>
      <c r="G43" s="3371"/>
    </row>
    <row r="44" spans="1:7" ht="13.5" customHeight="1">
      <c r="A44" s="734" t="s">
        <v>348</v>
      </c>
      <c r="B44" s="207" t="s">
        <v>428</v>
      </c>
      <c r="C44" s="230">
        <f ca="1">ROUND(IF('数据-取费表'!B22&lt;=1,C40*F22*'数据-取费表'!B21/2,C40*(POWER((1+F22),'数据-取费表'!B21/2)-1)),4)</f>
        <v>8.9999999999999998E-4</v>
      </c>
      <c r="D44" s="230"/>
      <c r="E44" s="230"/>
      <c r="F44" s="231"/>
      <c r="G44" s="3372"/>
    </row>
    <row r="45" spans="1:7" s="206" customFormat="1" ht="13.5" customHeight="1">
      <c r="A45" s="731" t="s">
        <v>341</v>
      </c>
      <c r="B45" s="236" t="s">
        <v>85</v>
      </c>
      <c r="C45" s="237">
        <f>C46</f>
        <v>5</v>
      </c>
      <c r="D45" s="227">
        <f>C47</f>
        <v>6.0000000000000001E-3</v>
      </c>
      <c r="E45" s="228" t="s">
        <v>102</v>
      </c>
      <c r="F45" s="238"/>
      <c r="G45" s="239" t="s">
        <v>434</v>
      </c>
    </row>
    <row r="46" spans="1:7" s="206" customFormat="1" ht="13.5" customHeight="1">
      <c r="A46" s="734" t="s">
        <v>349</v>
      </c>
      <c r="B46" s="240" t="s">
        <v>427</v>
      </c>
      <c r="C46" s="241">
        <f>ROUND((C33+C39)*F27,0)</f>
        <v>5</v>
      </c>
      <c r="D46" s="255"/>
      <c r="E46" s="228"/>
      <c r="F46" s="238"/>
      <c r="G46" s="239"/>
    </row>
    <row r="47" spans="1:7" s="206" customFormat="1" ht="13.5" customHeight="1">
      <c r="A47" s="734" t="s">
        <v>347</v>
      </c>
      <c r="B47" s="240" t="s">
        <v>429</v>
      </c>
      <c r="C47" s="230">
        <f>ROUND(C40*F27,4)</f>
        <v>6.0000000000000001E-3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32</v>
      </c>
      <c r="D49" s="224"/>
      <c r="E49" s="224"/>
      <c r="F49" s="256"/>
      <c r="G49" s="226" t="s">
        <v>435</v>
      </c>
    </row>
    <row r="50" spans="1:7" s="250" customFormat="1" ht="24">
      <c r="A50" s="731" t="s">
        <v>344</v>
      </c>
      <c r="B50" s="202" t="s">
        <v>97</v>
      </c>
      <c r="C50" s="224"/>
      <c r="D50" s="224"/>
      <c r="E50" s="224"/>
      <c r="F50" s="256">
        <f>IF('数据-取费表'!B24=0,'数据-取费表'!N16,1)</f>
        <v>0.62</v>
      </c>
      <c r="G50" s="239" t="s">
        <v>98</v>
      </c>
    </row>
    <row r="51" spans="1:7" ht="16.5" customHeight="1">
      <c r="A51" s="731" t="s">
        <v>345</v>
      </c>
      <c r="B51" s="202" t="s">
        <v>105</v>
      </c>
      <c r="C51" s="224">
        <f ca="1">ROUND(C49*F50,0)</f>
        <v>20</v>
      </c>
      <c r="D51" s="224"/>
      <c r="E51" s="224"/>
      <c r="F51" s="256"/>
      <c r="G51" s="226" t="s">
        <v>37</v>
      </c>
    </row>
    <row r="52" spans="1:7" s="200" customFormat="1" ht="16.8" thickBot="1">
      <c r="A52" s="257" t="s">
        <v>38</v>
      </c>
      <c r="B52" s="258"/>
      <c r="C52" s="259">
        <f ca="1">C31+C51</f>
        <v>28911</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F54" sqref="F54"/>
    </sheetView>
  </sheetViews>
  <sheetFormatPr defaultColWidth="8.88671875" defaultRowHeight="10.8"/>
  <cols>
    <col min="1" max="1" width="9.6640625" style="2780" customWidth="1"/>
    <col min="2" max="2" width="18.6640625" style="2780" customWidth="1"/>
    <col min="3" max="6" width="10.21875" style="2780" customWidth="1"/>
    <col min="7" max="7" width="10.44140625" style="2780" bestFit="1" customWidth="1"/>
    <col min="8" max="8" width="8.88671875" style="2779"/>
    <col min="9" max="9" width="13.33203125" style="2779" customWidth="1"/>
    <col min="10" max="13" width="13.33203125" style="2780" customWidth="1"/>
    <col min="14" max="14" width="18.21875" style="2780" customWidth="1"/>
    <col min="15" max="17" width="15.109375" style="2780" customWidth="1"/>
    <col min="18" max="20" width="11.44140625" style="2780" customWidth="1"/>
    <col min="21" max="16384" width="8.88671875" style="2780"/>
  </cols>
  <sheetData>
    <row r="1" spans="1:20" ht="11.4" thickBot="1">
      <c r="A1" s="3507" t="s">
        <v>2838</v>
      </c>
      <c r="B1" s="3507"/>
      <c r="C1" s="3507"/>
      <c r="D1" s="3507"/>
      <c r="E1" s="3507"/>
      <c r="F1" s="3507"/>
      <c r="G1" s="3508"/>
      <c r="I1" s="2936" t="s">
        <v>2839</v>
      </c>
      <c r="J1" s="2937" t="s">
        <v>2840</v>
      </c>
      <c r="K1" s="2937" t="s">
        <v>2841</v>
      </c>
      <c r="L1" s="2937" t="s">
        <v>2842</v>
      </c>
      <c r="M1" s="2937" t="s">
        <v>2843</v>
      </c>
      <c r="N1" s="2937" t="s">
        <v>2844</v>
      </c>
      <c r="O1" s="2937" t="s">
        <v>2845</v>
      </c>
      <c r="P1" s="2937" t="s">
        <v>2846</v>
      </c>
      <c r="Q1" s="2937" t="s">
        <v>2847</v>
      </c>
      <c r="R1" s="2937" t="s">
        <v>2848</v>
      </c>
      <c r="S1" s="2937" t="s">
        <v>2849</v>
      </c>
      <c r="T1" s="2938" t="s">
        <v>2850</v>
      </c>
    </row>
    <row r="2" spans="1:20" ht="11.4" thickBot="1">
      <c r="A2" s="2939" t="s">
        <v>2851</v>
      </c>
      <c r="B2" s="2939"/>
      <c r="C2" s="2939"/>
      <c r="D2" s="2939"/>
      <c r="E2" s="2939"/>
      <c r="F2" s="2939"/>
      <c r="G2" s="2940" t="s">
        <v>2852</v>
      </c>
      <c r="I2" s="2941" t="s">
        <v>2853</v>
      </c>
      <c r="J2" s="2941" t="s">
        <v>2854</v>
      </c>
      <c r="K2" s="2941" t="s">
        <v>2855</v>
      </c>
      <c r="L2" s="2941" t="s">
        <v>2856</v>
      </c>
      <c r="M2" s="2941" t="s">
        <v>2857</v>
      </c>
      <c r="N2" s="2941" t="s">
        <v>2858</v>
      </c>
      <c r="O2" s="2941" t="s">
        <v>2859</v>
      </c>
      <c r="P2" s="2941" t="s">
        <v>2860</v>
      </c>
      <c r="Q2" s="2941" t="s">
        <v>2861</v>
      </c>
      <c r="R2" s="2941" t="s">
        <v>2862</v>
      </c>
      <c r="S2" s="2941" t="s">
        <v>2863</v>
      </c>
      <c r="T2" s="2941" t="s">
        <v>2864</v>
      </c>
    </row>
    <row r="3" spans="1:20" s="2947" customFormat="1">
      <c r="A3" s="3505" t="s">
        <v>2865</v>
      </c>
      <c r="B3" s="2942"/>
      <c r="C3" s="2943" t="s">
        <v>2810</v>
      </c>
      <c r="D3" s="2943" t="s">
        <v>2866</v>
      </c>
      <c r="E3" s="2943" t="s">
        <v>2812</v>
      </c>
      <c r="F3" s="2943" t="s">
        <v>2867</v>
      </c>
      <c r="G3" s="2943" t="s">
        <v>2630</v>
      </c>
      <c r="H3" s="2944"/>
      <c r="I3" s="2945" t="s">
        <v>2868</v>
      </c>
      <c r="J3" s="2946" t="s">
        <v>128</v>
      </c>
      <c r="K3" s="2946" t="s">
        <v>129</v>
      </c>
      <c r="L3" s="2945" t="s">
        <v>130</v>
      </c>
      <c r="M3" s="2945" t="s">
        <v>131</v>
      </c>
      <c r="N3" s="2945" t="s">
        <v>132</v>
      </c>
      <c r="O3" s="2945" t="s">
        <v>133</v>
      </c>
      <c r="P3" s="2945" t="s">
        <v>134</v>
      </c>
      <c r="Q3" s="2945" t="s">
        <v>135</v>
      </c>
      <c r="R3" s="2945" t="s">
        <v>136</v>
      </c>
      <c r="S3" s="2945" t="s">
        <v>2869</v>
      </c>
      <c r="T3" s="2945" t="s">
        <v>2870</v>
      </c>
    </row>
    <row r="4" spans="1:20" s="2947" customFormat="1" ht="11.4" thickBot="1">
      <c r="A4" s="3506"/>
      <c r="B4" s="2948" t="s">
        <v>2871</v>
      </c>
      <c r="C4" s="2948" t="s">
        <v>2872</v>
      </c>
      <c r="D4" s="2948" t="s">
        <v>2872</v>
      </c>
      <c r="E4" s="2948" t="s">
        <v>2872</v>
      </c>
      <c r="F4" s="2949" t="s">
        <v>2872</v>
      </c>
      <c r="G4" s="2949" t="s">
        <v>2872</v>
      </c>
      <c r="H4" s="2944"/>
      <c r="I4" s="2946" t="s">
        <v>137</v>
      </c>
      <c r="J4" s="2946" t="s">
        <v>111</v>
      </c>
      <c r="K4" s="2946" t="s">
        <v>138</v>
      </c>
      <c r="L4" s="2945" t="s">
        <v>139</v>
      </c>
      <c r="M4" s="2945" t="s">
        <v>140</v>
      </c>
      <c r="N4" s="2945" t="s">
        <v>141</v>
      </c>
      <c r="O4" s="2945" t="s">
        <v>142</v>
      </c>
      <c r="P4" s="2945" t="s">
        <v>143</v>
      </c>
      <c r="Q4" s="2945" t="s">
        <v>2873</v>
      </c>
      <c r="R4" s="2945" t="s">
        <v>2874</v>
      </c>
      <c r="S4" s="2945" t="s">
        <v>2875</v>
      </c>
      <c r="T4" s="2945" t="s">
        <v>2876</v>
      </c>
    </row>
    <row r="5" spans="1:20">
      <c r="A5" s="2950" t="s">
        <v>2839</v>
      </c>
      <c r="B5" s="2941" t="s">
        <v>2853</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2877</v>
      </c>
      <c r="R5" s="2945" t="s">
        <v>2878</v>
      </c>
      <c r="S5" s="2945" t="s">
        <v>153</v>
      </c>
      <c r="T5" s="2945" t="s">
        <v>2879</v>
      </c>
    </row>
    <row r="6" spans="1:20" ht="11.4" thickBot="1">
      <c r="A6" s="2945" t="s">
        <v>144</v>
      </c>
      <c r="B6" s="2945" t="s">
        <v>2868</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2880</v>
      </c>
      <c r="Q6" s="2945" t="s">
        <v>2881</v>
      </c>
      <c r="R6" s="2945" t="s">
        <v>161</v>
      </c>
      <c r="S6" s="2945" t="s">
        <v>2882</v>
      </c>
      <c r="T6" s="2945" t="s">
        <v>2883</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2884</v>
      </c>
      <c r="Q7" s="2945" t="s">
        <v>2885</v>
      </c>
      <c r="R7" s="2945" t="s">
        <v>2886</v>
      </c>
      <c r="S7" s="2945" t="s">
        <v>2887</v>
      </c>
      <c r="T7" s="2945" t="s">
        <v>2888</v>
      </c>
    </row>
    <row r="8" spans="1:20" ht="11.4"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2889</v>
      </c>
      <c r="Q8" s="2945" t="s">
        <v>174</v>
      </c>
      <c r="R8" s="2945" t="s">
        <v>2890</v>
      </c>
      <c r="S8" s="2945" t="s">
        <v>2891</v>
      </c>
      <c r="T8" s="2952" t="s">
        <v>2892</v>
      </c>
    </row>
    <row r="9" spans="1:20" ht="11.4"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2893</v>
      </c>
      <c r="Q9" s="2945" t="s">
        <v>182</v>
      </c>
      <c r="R9" s="2945" t="s">
        <v>183</v>
      </c>
      <c r="S9" s="2945" t="s">
        <v>200</v>
      </c>
    </row>
    <row r="10" spans="1:20">
      <c r="A10" s="2950" t="s">
        <v>184</v>
      </c>
      <c r="B10" s="2941" t="s">
        <v>2854</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2894</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2895</v>
      </c>
      <c r="P11" s="2945" t="s">
        <v>191</v>
      </c>
      <c r="Q11" s="2945" t="s">
        <v>199</v>
      </c>
      <c r="R11" s="2945" t="s">
        <v>2896</v>
      </c>
      <c r="S11" s="2945" t="s">
        <v>2897</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2898</v>
      </c>
      <c r="P12" s="2945" t="s">
        <v>2899</v>
      </c>
      <c r="Q12" s="2945" t="s">
        <v>2900</v>
      </c>
      <c r="R12" s="2945" t="s">
        <v>2901</v>
      </c>
      <c r="S12" s="2945" t="s">
        <v>2902</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2903</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2904</v>
      </c>
      <c r="K14" s="2946" t="s">
        <v>215</v>
      </c>
      <c r="L14" s="2945" t="s">
        <v>216</v>
      </c>
      <c r="M14" s="2945" t="s">
        <v>217</v>
      </c>
      <c r="N14" s="2945" t="s">
        <v>218</v>
      </c>
      <c r="O14" s="2945" t="s">
        <v>240</v>
      </c>
      <c r="P14" s="2945" t="s">
        <v>213</v>
      </c>
      <c r="Q14" s="2945" t="s">
        <v>2905</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2906</v>
      </c>
      <c r="P15" s="2945" t="s">
        <v>2907</v>
      </c>
      <c r="Q15" s="2945" t="s">
        <v>242</v>
      </c>
      <c r="R15" s="2945" t="s">
        <v>2908</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2909</v>
      </c>
      <c r="P16" s="2945" t="s">
        <v>227</v>
      </c>
      <c r="Q16" s="2945" t="s">
        <v>250</v>
      </c>
      <c r="R16" s="2945" t="s">
        <v>207</v>
      </c>
      <c r="S16" s="2945" t="s">
        <v>2910</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2911</v>
      </c>
      <c r="P17" s="2945" t="s">
        <v>2912</v>
      </c>
      <c r="Q17" s="2945" t="s">
        <v>256</v>
      </c>
      <c r="R17" s="2945" t="s">
        <v>2913</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2914</v>
      </c>
      <c r="P18" s="2945" t="s">
        <v>241</v>
      </c>
      <c r="Q18" s="2945" t="s">
        <v>2915</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2916</v>
      </c>
      <c r="P19" s="2945" t="s">
        <v>249</v>
      </c>
      <c r="Q19" s="2945" t="s">
        <v>2917</v>
      </c>
      <c r="R19" s="2945" t="s">
        <v>265</v>
      </c>
      <c r="S19" s="2945" t="s">
        <v>2918</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2919</v>
      </c>
      <c r="P20" s="2945" t="s">
        <v>2920</v>
      </c>
      <c r="Q20" s="2945" t="s">
        <v>290</v>
      </c>
      <c r="R20" s="2945" t="s">
        <v>2921</v>
      </c>
      <c r="S20" s="2945" t="s">
        <v>277</v>
      </c>
    </row>
    <row r="21" spans="1:19" ht="14.25" customHeight="1" thickBot="1">
      <c r="A21" s="2945" t="s">
        <v>184</v>
      </c>
      <c r="B21" s="2946" t="s">
        <v>208</v>
      </c>
      <c r="C21" s="2945">
        <v>32370</v>
      </c>
      <c r="D21" s="2945">
        <v>26730</v>
      </c>
      <c r="E21" s="2945">
        <v>26640</v>
      </c>
      <c r="F21" s="2945"/>
      <c r="G21" s="2945">
        <v>19440</v>
      </c>
      <c r="J21" s="2952" t="s">
        <v>2922</v>
      </c>
      <c r="K21" s="2946" t="s">
        <v>267</v>
      </c>
      <c r="L21" s="2945" t="s">
        <v>268</v>
      </c>
      <c r="M21" s="2945" t="s">
        <v>269</v>
      </c>
      <c r="N21" s="2945" t="s">
        <v>270</v>
      </c>
      <c r="O21" s="2945" t="s">
        <v>264</v>
      </c>
      <c r="P21" s="2945" t="s">
        <v>283</v>
      </c>
      <c r="Q21" s="2945" t="s">
        <v>293</v>
      </c>
      <c r="R21" s="2945" t="s">
        <v>2923</v>
      </c>
      <c r="S21" s="2952" t="s">
        <v>2924</v>
      </c>
    </row>
    <row r="22" spans="1:19" ht="14.25" customHeight="1">
      <c r="A22" s="2945" t="s">
        <v>184</v>
      </c>
      <c r="B22" s="2946" t="s">
        <v>2904</v>
      </c>
      <c r="C22" s="2945">
        <v>29830</v>
      </c>
      <c r="D22" s="2945">
        <v>27600</v>
      </c>
      <c r="E22" s="2945">
        <v>28150</v>
      </c>
      <c r="F22" s="2945"/>
      <c r="G22" s="2945">
        <v>20080</v>
      </c>
      <c r="K22" s="2946" t="s">
        <v>2925</v>
      </c>
      <c r="L22" s="2945" t="s">
        <v>272</v>
      </c>
      <c r="M22" s="2945" t="s">
        <v>273</v>
      </c>
      <c r="N22" s="2945" t="s">
        <v>274</v>
      </c>
      <c r="O22" s="2945" t="s">
        <v>2926</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2927</v>
      </c>
      <c r="L23" s="2945" t="s">
        <v>278</v>
      </c>
      <c r="M23" s="2945" t="s">
        <v>279</v>
      </c>
      <c r="N23" s="2945" t="s">
        <v>2928</v>
      </c>
      <c r="O23" s="2945" t="s">
        <v>2929</v>
      </c>
      <c r="P23" s="2945" t="s">
        <v>289</v>
      </c>
      <c r="Q23" s="2945" t="s">
        <v>298</v>
      </c>
      <c r="R23" s="2945" t="s">
        <v>2930</v>
      </c>
    </row>
    <row r="24" spans="1:19" ht="14.25" customHeight="1">
      <c r="A24" s="2945" t="s">
        <v>184</v>
      </c>
      <c r="B24" s="2946" t="s">
        <v>230</v>
      </c>
      <c r="C24" s="2945">
        <v>27930</v>
      </c>
      <c r="D24" s="2945">
        <v>32260</v>
      </c>
      <c r="E24" s="2945">
        <v>32120</v>
      </c>
      <c r="F24" s="2945"/>
      <c r="G24" s="2945">
        <v>23470</v>
      </c>
      <c r="K24" s="2946" t="s">
        <v>2931</v>
      </c>
      <c r="L24" s="2945" t="s">
        <v>281</v>
      </c>
      <c r="M24" s="2945" t="s">
        <v>282</v>
      </c>
      <c r="N24" s="2945" t="s">
        <v>2932</v>
      </c>
      <c r="O24" s="2945" t="s">
        <v>285</v>
      </c>
      <c r="P24" s="2945" t="s">
        <v>2933</v>
      </c>
      <c r="Q24" s="2954" t="s">
        <v>2934</v>
      </c>
      <c r="R24" s="2945" t="s">
        <v>2935</v>
      </c>
    </row>
    <row r="25" spans="1:19" ht="14.25" customHeight="1">
      <c r="A25" s="2945" t="s">
        <v>184</v>
      </c>
      <c r="B25" s="2946" t="s">
        <v>235</v>
      </c>
      <c r="C25" s="2945">
        <v>32230</v>
      </c>
      <c r="D25" s="2945">
        <v>29640</v>
      </c>
      <c r="E25" s="2945">
        <v>29510</v>
      </c>
      <c r="F25" s="2945"/>
      <c r="G25" s="2945">
        <v>21560</v>
      </c>
      <c r="K25" s="2946" t="s">
        <v>2936</v>
      </c>
      <c r="L25" s="2945" t="s">
        <v>2937</v>
      </c>
      <c r="M25" s="2945" t="s">
        <v>284</v>
      </c>
      <c r="N25" s="2945" t="s">
        <v>292</v>
      </c>
      <c r="O25" s="2945" t="s">
        <v>288</v>
      </c>
      <c r="P25" s="2945" t="s">
        <v>275</v>
      </c>
      <c r="Q25" s="2954" t="s">
        <v>271</v>
      </c>
      <c r="R25" s="2945" t="s">
        <v>2938</v>
      </c>
    </row>
    <row r="26" spans="1:19" ht="14.25" customHeight="1" thickBot="1">
      <c r="A26" s="2945" t="s">
        <v>184</v>
      </c>
      <c r="B26" s="2946" t="s">
        <v>244</v>
      </c>
      <c r="C26" s="2945">
        <v>31690</v>
      </c>
      <c r="D26" s="2945">
        <v>27650</v>
      </c>
      <c r="E26" s="2945">
        <v>28200</v>
      </c>
      <c r="F26" s="2945"/>
      <c r="G26" s="2945">
        <v>20110</v>
      </c>
      <c r="K26" s="2951" t="s">
        <v>2939</v>
      </c>
      <c r="L26" s="2945" t="s">
        <v>2940</v>
      </c>
      <c r="M26" s="2945" t="s">
        <v>287</v>
      </c>
      <c r="N26" s="2945" t="s">
        <v>294</v>
      </c>
      <c r="O26" s="2945" t="s">
        <v>2941</v>
      </c>
      <c r="P26" s="2945" t="s">
        <v>2942</v>
      </c>
      <c r="Q26" s="2954" t="s">
        <v>276</v>
      </c>
      <c r="R26" s="2945" t="s">
        <v>2943</v>
      </c>
    </row>
    <row r="27" spans="1:19" ht="14.25" customHeight="1">
      <c r="A27" s="2945" t="s">
        <v>184</v>
      </c>
      <c r="B27" s="2946" t="s">
        <v>251</v>
      </c>
      <c r="C27" s="2945">
        <v>29610</v>
      </c>
      <c r="D27" s="2945">
        <v>27770</v>
      </c>
      <c r="E27" s="2945">
        <v>28300</v>
      </c>
      <c r="F27" s="2945"/>
      <c r="G27" s="2945">
        <v>20210</v>
      </c>
      <c r="L27" s="2945" t="s">
        <v>2944</v>
      </c>
      <c r="M27" s="2945" t="s">
        <v>291</v>
      </c>
      <c r="N27" s="2945" t="s">
        <v>297</v>
      </c>
      <c r="O27" s="2945" t="s">
        <v>2945</v>
      </c>
      <c r="P27" s="2945" t="s">
        <v>2946</v>
      </c>
      <c r="Q27" s="2945" t="s">
        <v>2947</v>
      </c>
      <c r="R27" s="2945" t="s">
        <v>2948</v>
      </c>
    </row>
    <row r="28" spans="1:19" ht="14.25" customHeight="1">
      <c r="A28" s="2945" t="s">
        <v>184</v>
      </c>
      <c r="B28" s="2946" t="s">
        <v>259</v>
      </c>
      <c r="C28" s="2945"/>
      <c r="D28" s="2945">
        <v>31520</v>
      </c>
      <c r="E28" s="2945">
        <v>31410</v>
      </c>
      <c r="F28" s="2945"/>
      <c r="G28" s="2945">
        <v>22940</v>
      </c>
      <c r="L28" s="2945" t="s">
        <v>2949</v>
      </c>
      <c r="M28" s="2945" t="s">
        <v>2950</v>
      </c>
      <c r="N28" s="2945" t="s">
        <v>2951</v>
      </c>
      <c r="O28" s="2945" t="s">
        <v>2952</v>
      </c>
      <c r="P28" s="2945" t="s">
        <v>2953</v>
      </c>
      <c r="Q28" s="2945" t="s">
        <v>2954</v>
      </c>
      <c r="R28" s="2945" t="s">
        <v>2955</v>
      </c>
    </row>
    <row r="29" spans="1:19" ht="14.25" customHeight="1" thickBot="1">
      <c r="A29" s="2953" t="s">
        <v>184</v>
      </c>
      <c r="B29" s="2955" t="s">
        <v>2922</v>
      </c>
      <c r="C29" s="2956"/>
      <c r="D29" s="2956">
        <v>29460</v>
      </c>
      <c r="E29" s="2956">
        <v>28640</v>
      </c>
      <c r="F29" s="2956"/>
      <c r="G29" s="2956">
        <v>21430</v>
      </c>
      <c r="L29" s="2945" t="s">
        <v>2956</v>
      </c>
      <c r="M29" s="2945" t="s">
        <v>2957</v>
      </c>
      <c r="N29" s="2945" t="s">
        <v>2958</v>
      </c>
      <c r="O29" s="2945" t="s">
        <v>2959</v>
      </c>
      <c r="P29" s="2945" t="s">
        <v>2960</v>
      </c>
      <c r="Q29" s="2945" t="s">
        <v>2961</v>
      </c>
      <c r="R29" s="2945" t="s">
        <v>280</v>
      </c>
    </row>
    <row r="30" spans="1:19" ht="14.25" customHeight="1">
      <c r="A30" s="2950" t="s">
        <v>296</v>
      </c>
      <c r="B30" s="2941" t="s">
        <v>2855</v>
      </c>
      <c r="C30" s="2941">
        <v>26890</v>
      </c>
      <c r="D30" s="2941">
        <v>26770</v>
      </c>
      <c r="E30" s="2941">
        <v>25700</v>
      </c>
      <c r="F30" s="2941">
        <v>8180</v>
      </c>
      <c r="G30" s="2957">
        <v>18740</v>
      </c>
      <c r="L30" s="2945" t="s">
        <v>2962</v>
      </c>
      <c r="M30" s="2945" t="s">
        <v>2963</v>
      </c>
      <c r="N30" s="2945" t="s">
        <v>2964</v>
      </c>
      <c r="O30" s="2945" t="s">
        <v>2965</v>
      </c>
      <c r="P30" s="2945" t="s">
        <v>2966</v>
      </c>
      <c r="Q30" s="2945" t="s">
        <v>2967</v>
      </c>
      <c r="R30" s="2945" t="s">
        <v>2968</v>
      </c>
    </row>
    <row r="31" spans="1:19" ht="14.25" customHeight="1">
      <c r="A31" s="2945" t="s">
        <v>296</v>
      </c>
      <c r="B31" s="2946" t="s">
        <v>129</v>
      </c>
      <c r="C31" s="2945">
        <v>24550</v>
      </c>
      <c r="D31" s="2945">
        <v>23990</v>
      </c>
      <c r="E31" s="2945">
        <v>22930</v>
      </c>
      <c r="F31" s="2945">
        <v>7470</v>
      </c>
      <c r="G31" s="2958">
        <v>16790</v>
      </c>
      <c r="L31" s="2945" t="s">
        <v>2969</v>
      </c>
      <c r="M31" s="2945" t="s">
        <v>2970</v>
      </c>
      <c r="N31" s="2945" t="s">
        <v>2971</v>
      </c>
      <c r="O31" s="2945" t="s">
        <v>2972</v>
      </c>
      <c r="P31" s="2945" t="s">
        <v>2973</v>
      </c>
      <c r="Q31" s="2945" t="s">
        <v>2974</v>
      </c>
      <c r="R31" s="2945" t="s">
        <v>2975</v>
      </c>
    </row>
    <row r="32" spans="1:19" ht="14.25" customHeight="1" thickBot="1">
      <c r="A32" s="2945" t="s">
        <v>296</v>
      </c>
      <c r="B32" s="2946" t="s">
        <v>138</v>
      </c>
      <c r="C32" s="2945">
        <v>27210</v>
      </c>
      <c r="D32" s="2945">
        <v>23240</v>
      </c>
      <c r="E32" s="2945">
        <v>23260</v>
      </c>
      <c r="F32" s="2945">
        <v>7130</v>
      </c>
      <c r="G32" s="2958">
        <v>16270</v>
      </c>
      <c r="L32" s="2945" t="s">
        <v>2976</v>
      </c>
      <c r="M32" s="2945" t="s">
        <v>2977</v>
      </c>
      <c r="N32" s="2945" t="s">
        <v>300</v>
      </c>
      <c r="O32" s="2945" t="s">
        <v>2978</v>
      </c>
      <c r="P32" s="2945" t="s">
        <v>299</v>
      </c>
      <c r="Q32" s="2945" t="s">
        <v>2979</v>
      </c>
      <c r="R32" s="2952" t="s">
        <v>2980</v>
      </c>
    </row>
    <row r="33" spans="1:17" ht="14.25" customHeight="1" thickBot="1">
      <c r="A33" s="2945" t="s">
        <v>296</v>
      </c>
      <c r="B33" s="2946" t="s">
        <v>147</v>
      </c>
      <c r="C33" s="2945">
        <v>27300</v>
      </c>
      <c r="D33" s="2945">
        <v>22980</v>
      </c>
      <c r="E33" s="2945">
        <v>24260</v>
      </c>
      <c r="F33" s="2945">
        <v>5860</v>
      </c>
      <c r="G33" s="2958">
        <v>16090</v>
      </c>
      <c r="L33" s="2952" t="s">
        <v>2981</v>
      </c>
      <c r="M33" s="2945" t="s">
        <v>2982</v>
      </c>
      <c r="N33" s="2945" t="s">
        <v>301</v>
      </c>
      <c r="O33" s="2945" t="s">
        <v>2983</v>
      </c>
      <c r="P33" s="2945" t="s">
        <v>2984</v>
      </c>
      <c r="Q33" s="2945" t="s">
        <v>2985</v>
      </c>
    </row>
    <row r="34" spans="1:17" ht="14.25" customHeight="1">
      <c r="A34" s="2945" t="s">
        <v>296</v>
      </c>
      <c r="B34" s="2946" t="s">
        <v>156</v>
      </c>
      <c r="C34" s="2945">
        <v>23090</v>
      </c>
      <c r="D34" s="2945">
        <v>23390</v>
      </c>
      <c r="E34" s="2945">
        <v>23510</v>
      </c>
      <c r="F34" s="2945">
        <v>6700</v>
      </c>
      <c r="G34" s="2958">
        <v>16370</v>
      </c>
      <c r="M34" s="2945" t="s">
        <v>2986</v>
      </c>
      <c r="N34" s="2945" t="s">
        <v>302</v>
      </c>
      <c r="O34" s="2945" t="s">
        <v>2987</v>
      </c>
      <c r="P34" s="2945" t="s">
        <v>2988</v>
      </c>
      <c r="Q34" s="2945" t="s">
        <v>2989</v>
      </c>
    </row>
    <row r="35" spans="1:17" ht="14.25" customHeight="1">
      <c r="A35" s="2945" t="s">
        <v>296</v>
      </c>
      <c r="B35" s="2946" t="s">
        <v>163</v>
      </c>
      <c r="C35" s="2945">
        <v>27270</v>
      </c>
      <c r="D35" s="2945">
        <v>24270</v>
      </c>
      <c r="E35" s="2945">
        <v>24950</v>
      </c>
      <c r="F35" s="2945">
        <v>6600</v>
      </c>
      <c r="G35" s="2958">
        <v>16990</v>
      </c>
      <c r="M35" s="2945" t="s">
        <v>2990</v>
      </c>
      <c r="N35" s="2945" t="s">
        <v>2991</v>
      </c>
      <c r="O35" s="2945" t="s">
        <v>2992</v>
      </c>
      <c r="P35" s="2945" t="s">
        <v>2993</v>
      </c>
      <c r="Q35" s="2945" t="s">
        <v>2994</v>
      </c>
    </row>
    <row r="36" spans="1:17" ht="14.25" customHeight="1">
      <c r="A36" s="2945" t="s">
        <v>296</v>
      </c>
      <c r="B36" s="2946" t="s">
        <v>169</v>
      </c>
      <c r="C36" s="2945">
        <v>23490</v>
      </c>
      <c r="D36" s="2945">
        <v>23020</v>
      </c>
      <c r="E36" s="2945">
        <v>25230</v>
      </c>
      <c r="F36" s="2945">
        <v>6780</v>
      </c>
      <c r="G36" s="2958">
        <v>16120</v>
      </c>
      <c r="M36" s="2945" t="s">
        <v>2995</v>
      </c>
      <c r="N36" s="2945" t="s">
        <v>2996</v>
      </c>
      <c r="O36" s="2945" t="s">
        <v>2997</v>
      </c>
      <c r="P36" s="2945" t="s">
        <v>2998</v>
      </c>
      <c r="Q36" s="2945" t="s">
        <v>2999</v>
      </c>
    </row>
    <row r="37" spans="1:17" ht="14.25" customHeight="1">
      <c r="A37" s="2945" t="s">
        <v>296</v>
      </c>
      <c r="B37" s="2946" t="s">
        <v>176</v>
      </c>
      <c r="C37" s="2945">
        <v>24380</v>
      </c>
      <c r="D37" s="2945">
        <v>22240</v>
      </c>
      <c r="E37" s="2945">
        <v>25980</v>
      </c>
      <c r="F37" s="2945">
        <v>8160</v>
      </c>
      <c r="G37" s="2958">
        <v>15570</v>
      </c>
      <c r="M37" s="2945" t="s">
        <v>3000</v>
      </c>
      <c r="N37" s="2945" t="s">
        <v>3001</v>
      </c>
      <c r="O37" s="2945" t="s">
        <v>3002</v>
      </c>
      <c r="P37" s="2945" t="s">
        <v>3003</v>
      </c>
      <c r="Q37" s="2945" t="s">
        <v>3004</v>
      </c>
    </row>
    <row r="38" spans="1:17" ht="14.25" customHeight="1">
      <c r="A38" s="2945" t="s">
        <v>296</v>
      </c>
      <c r="B38" s="2946" t="s">
        <v>186</v>
      </c>
      <c r="C38" s="2945">
        <v>23120</v>
      </c>
      <c r="D38" s="2945">
        <v>24630</v>
      </c>
      <c r="E38" s="2945">
        <v>25030</v>
      </c>
      <c r="F38" s="2945">
        <v>7710</v>
      </c>
      <c r="G38" s="2958">
        <v>17240</v>
      </c>
      <c r="M38" s="2945" t="s">
        <v>3005</v>
      </c>
      <c r="N38" s="2945" t="s">
        <v>3006</v>
      </c>
      <c r="O38" s="2945" t="s">
        <v>3007</v>
      </c>
      <c r="P38" s="2945" t="s">
        <v>3008</v>
      </c>
      <c r="Q38" s="2945" t="s">
        <v>3009</v>
      </c>
    </row>
    <row r="39" spans="1:17" ht="14.25" customHeight="1">
      <c r="A39" s="2945" t="s">
        <v>296</v>
      </c>
      <c r="B39" s="2946" t="s">
        <v>195</v>
      </c>
      <c r="C39" s="2945">
        <v>22330</v>
      </c>
      <c r="D39" s="2945">
        <v>21140</v>
      </c>
      <c r="E39" s="2945">
        <v>23970</v>
      </c>
      <c r="F39" s="2945">
        <v>7940</v>
      </c>
      <c r="G39" s="2958">
        <v>14790</v>
      </c>
      <c r="M39" s="2945" t="s">
        <v>3010</v>
      </c>
      <c r="N39" s="2945" t="s">
        <v>3011</v>
      </c>
      <c r="O39" s="2945" t="s">
        <v>3012</v>
      </c>
      <c r="P39" s="2945" t="s">
        <v>3013</v>
      </c>
      <c r="Q39" s="2945" t="s">
        <v>3014</v>
      </c>
    </row>
    <row r="40" spans="1:17" ht="14.25" customHeight="1">
      <c r="A40" s="2945" t="s">
        <v>296</v>
      </c>
      <c r="B40" s="2946" t="s">
        <v>202</v>
      </c>
      <c r="C40" s="2945">
        <v>24740</v>
      </c>
      <c r="D40" s="2945">
        <v>24690</v>
      </c>
      <c r="E40" s="2945">
        <v>22610</v>
      </c>
      <c r="F40" s="2945"/>
      <c r="G40" s="2958">
        <v>17280</v>
      </c>
      <c r="M40" s="2945" t="s">
        <v>3015</v>
      </c>
      <c r="N40" s="2945" t="s">
        <v>3016</v>
      </c>
      <c r="O40" s="2945" t="s">
        <v>3017</v>
      </c>
      <c r="P40" s="2945" t="s">
        <v>3018</v>
      </c>
      <c r="Q40" s="2945" t="s">
        <v>3019</v>
      </c>
    </row>
    <row r="41" spans="1:17" ht="14.25" customHeight="1" thickBot="1">
      <c r="A41" s="2945" t="s">
        <v>296</v>
      </c>
      <c r="B41" s="2946" t="s">
        <v>209</v>
      </c>
      <c r="C41" s="2945">
        <v>21220</v>
      </c>
      <c r="D41" s="2945">
        <v>21120</v>
      </c>
      <c r="E41" s="2945">
        <v>22590</v>
      </c>
      <c r="F41" s="2945"/>
      <c r="G41" s="2958">
        <v>14780</v>
      </c>
      <c r="M41" s="2952" t="s">
        <v>3020</v>
      </c>
      <c r="N41" s="2945" t="s">
        <v>3021</v>
      </c>
      <c r="O41" s="2945" t="s">
        <v>3022</v>
      </c>
      <c r="P41" s="2945" t="s">
        <v>3023</v>
      </c>
      <c r="Q41" s="2945" t="s">
        <v>3024</v>
      </c>
    </row>
    <row r="42" spans="1:17" ht="14.25" customHeight="1">
      <c r="A42" s="2945" t="s">
        <v>296</v>
      </c>
      <c r="B42" s="2946" t="s">
        <v>215</v>
      </c>
      <c r="C42" s="2945">
        <v>24800</v>
      </c>
      <c r="D42" s="2945">
        <v>22280</v>
      </c>
      <c r="E42" s="2945">
        <v>24350</v>
      </c>
      <c r="F42" s="2945"/>
      <c r="G42" s="2958">
        <v>15590</v>
      </c>
      <c r="N42" s="2945" t="s">
        <v>3025</v>
      </c>
      <c r="O42" s="2945" t="s">
        <v>3026</v>
      </c>
      <c r="P42" s="2945" t="s">
        <v>3027</v>
      </c>
      <c r="Q42" s="2945" t="s">
        <v>3028</v>
      </c>
    </row>
    <row r="43" spans="1:17" ht="14.25" customHeight="1">
      <c r="A43" s="2945" t="s">
        <v>3029</v>
      </c>
      <c r="B43" s="2946" t="s">
        <v>223</v>
      </c>
      <c r="C43" s="2945">
        <v>21210</v>
      </c>
      <c r="D43" s="2945">
        <v>21160</v>
      </c>
      <c r="E43" s="2945">
        <v>22650</v>
      </c>
      <c r="F43" s="2945"/>
      <c r="G43" s="2958">
        <v>14800</v>
      </c>
      <c r="N43" s="2945" t="s">
        <v>3030</v>
      </c>
      <c r="O43" s="2945" t="s">
        <v>3031</v>
      </c>
      <c r="P43" s="2945" t="s">
        <v>3032</v>
      </c>
      <c r="Q43" s="2945" t="s">
        <v>3033</v>
      </c>
    </row>
    <row r="44" spans="1:17" ht="14.25" customHeight="1" thickBot="1">
      <c r="A44" s="2945" t="s">
        <v>296</v>
      </c>
      <c r="B44" s="2946" t="s">
        <v>231</v>
      </c>
      <c r="C44" s="2945">
        <v>22370</v>
      </c>
      <c r="D44" s="2945">
        <v>23140</v>
      </c>
      <c r="E44" s="2945">
        <v>25090</v>
      </c>
      <c r="F44" s="2945"/>
      <c r="G44" s="2958">
        <v>16190</v>
      </c>
      <c r="N44" s="2945" t="s">
        <v>3034</v>
      </c>
      <c r="O44" s="2945" t="s">
        <v>3035</v>
      </c>
      <c r="P44" s="2952" t="s">
        <v>3036</v>
      </c>
      <c r="Q44" s="2945" t="s">
        <v>3037</v>
      </c>
    </row>
    <row r="45" spans="1:17" ht="14.25" customHeight="1" thickBot="1">
      <c r="A45" s="2945" t="s">
        <v>296</v>
      </c>
      <c r="B45" s="2946" t="s">
        <v>236</v>
      </c>
      <c r="C45" s="2945">
        <v>21240</v>
      </c>
      <c r="D45" s="2945">
        <v>27050</v>
      </c>
      <c r="E45" s="2945">
        <v>28000</v>
      </c>
      <c r="F45" s="2945"/>
      <c r="G45" s="2958">
        <v>18940</v>
      </c>
      <c r="N45" s="2945" t="s">
        <v>3038</v>
      </c>
      <c r="O45" s="2952" t="s">
        <v>3039</v>
      </c>
      <c r="Q45" s="2945" t="s">
        <v>3040</v>
      </c>
    </row>
    <row r="46" spans="1:17" ht="14.25" customHeight="1">
      <c r="A46" s="2945" t="s">
        <v>296</v>
      </c>
      <c r="B46" s="2946" t="s">
        <v>245</v>
      </c>
      <c r="C46" s="2945">
        <v>23240</v>
      </c>
      <c r="D46" s="2945">
        <v>23000</v>
      </c>
      <c r="E46" s="2945">
        <v>24980</v>
      </c>
      <c r="F46" s="2945"/>
      <c r="G46" s="2958">
        <v>16100</v>
      </c>
      <c r="N46" s="2945" t="s">
        <v>3041</v>
      </c>
      <c r="Q46" s="2945" t="s">
        <v>3042</v>
      </c>
    </row>
    <row r="47" spans="1:17" ht="14.25" customHeight="1">
      <c r="A47" s="2945" t="s">
        <v>296</v>
      </c>
      <c r="B47" s="2946" t="s">
        <v>252</v>
      </c>
      <c r="C47" s="2945">
        <v>27150</v>
      </c>
      <c r="D47" s="2945">
        <v>23310</v>
      </c>
      <c r="E47" s="2945">
        <v>25150</v>
      </c>
      <c r="F47" s="2945"/>
      <c r="G47" s="2958">
        <v>16310</v>
      </c>
      <c r="N47" s="2945" t="s">
        <v>3043</v>
      </c>
      <c r="Q47" s="2945" t="s">
        <v>3044</v>
      </c>
    </row>
    <row r="48" spans="1:17" ht="14.25" customHeight="1">
      <c r="A48" s="2945" t="s">
        <v>296</v>
      </c>
      <c r="B48" s="2946" t="s">
        <v>260</v>
      </c>
      <c r="C48" s="2945">
        <v>23100</v>
      </c>
      <c r="D48" s="2945">
        <v>21110</v>
      </c>
      <c r="E48" s="2945">
        <v>23080</v>
      </c>
      <c r="F48" s="2945"/>
      <c r="G48" s="2958">
        <v>14780</v>
      </c>
      <c r="N48" s="2945" t="s">
        <v>3045</v>
      </c>
      <c r="Q48" s="2945" t="s">
        <v>3046</v>
      </c>
    </row>
    <row r="49" spans="1:17" ht="14.25" customHeight="1">
      <c r="A49" s="2945" t="s">
        <v>296</v>
      </c>
      <c r="B49" s="2946" t="s">
        <v>267</v>
      </c>
      <c r="C49" s="2945">
        <v>23400</v>
      </c>
      <c r="D49" s="2945">
        <v>22920</v>
      </c>
      <c r="E49" s="2945">
        <v>24900</v>
      </c>
      <c r="F49" s="2945"/>
      <c r="G49" s="2958">
        <v>16040</v>
      </c>
      <c r="N49" s="2945" t="s">
        <v>3047</v>
      </c>
      <c r="Q49" s="2945" t="s">
        <v>3048</v>
      </c>
    </row>
    <row r="50" spans="1:17" ht="14.25" customHeight="1">
      <c r="A50" s="2945" t="s">
        <v>296</v>
      </c>
      <c r="B50" s="2946" t="s">
        <v>2925</v>
      </c>
      <c r="C50" s="2945">
        <v>21200</v>
      </c>
      <c r="D50" s="2945">
        <v>26540</v>
      </c>
      <c r="E50" s="2945">
        <v>23200</v>
      </c>
      <c r="F50" s="2945"/>
      <c r="G50" s="2958">
        <v>18580</v>
      </c>
      <c r="N50" s="2945" t="s">
        <v>3049</v>
      </c>
      <c r="Q50" s="2946" t="s">
        <v>3050</v>
      </c>
    </row>
    <row r="51" spans="1:17" ht="14.25" customHeight="1" thickBot="1">
      <c r="A51" s="2945" t="s">
        <v>296</v>
      </c>
      <c r="B51" s="2946" t="s">
        <v>2927</v>
      </c>
      <c r="C51" s="2945">
        <v>23000</v>
      </c>
      <c r="D51" s="2945">
        <v>23460</v>
      </c>
      <c r="E51" s="2945">
        <v>25290</v>
      </c>
      <c r="F51" s="2945"/>
      <c r="G51" s="2958">
        <v>16420</v>
      </c>
      <c r="N51" s="2945" t="s">
        <v>3051</v>
      </c>
      <c r="Q51" s="2952" t="s">
        <v>3052</v>
      </c>
    </row>
    <row r="52" spans="1:17" ht="14.25" customHeight="1">
      <c r="A52" s="2945" t="s">
        <v>296</v>
      </c>
      <c r="B52" s="2946" t="s">
        <v>2931</v>
      </c>
      <c r="C52" s="2945">
        <v>26660</v>
      </c>
      <c r="D52" s="2945">
        <v>22350</v>
      </c>
      <c r="E52" s="2945">
        <v>22920</v>
      </c>
      <c r="F52" s="2945"/>
      <c r="G52" s="2958">
        <v>15640</v>
      </c>
      <c r="N52" s="2945" t="s">
        <v>3053</v>
      </c>
    </row>
    <row r="53" spans="1:17" ht="14.25" customHeight="1">
      <c r="A53" s="2945" t="s">
        <v>296</v>
      </c>
      <c r="B53" s="2946" t="s">
        <v>2936</v>
      </c>
      <c r="C53" s="2945">
        <v>23580</v>
      </c>
      <c r="D53" s="2945"/>
      <c r="E53" s="2945">
        <v>24280</v>
      </c>
      <c r="F53" s="2945"/>
      <c r="G53" s="2958"/>
      <c r="N53" s="2945" t="s">
        <v>3054</v>
      </c>
    </row>
    <row r="54" spans="1:17" ht="14.25" customHeight="1" thickBot="1">
      <c r="A54" s="2959" t="s">
        <v>296</v>
      </c>
      <c r="B54" s="2951" t="s">
        <v>2939</v>
      </c>
      <c r="C54" s="2952">
        <v>22460</v>
      </c>
      <c r="D54" s="2952"/>
      <c r="E54" s="2952"/>
      <c r="F54" s="2952"/>
      <c r="G54" s="2960"/>
      <c r="N54" s="2945" t="s">
        <v>3055</v>
      </c>
    </row>
    <row r="55" spans="1:17" ht="14.25" customHeight="1">
      <c r="A55" s="2950" t="s">
        <v>110</v>
      </c>
      <c r="B55" s="2941" t="s">
        <v>3056</v>
      </c>
      <c r="C55" s="2945">
        <v>21970</v>
      </c>
      <c r="D55" s="2945">
        <v>20370</v>
      </c>
      <c r="E55" s="2945">
        <v>20180</v>
      </c>
      <c r="F55" s="2945">
        <v>5730</v>
      </c>
      <c r="G55" s="2945">
        <v>13820</v>
      </c>
      <c r="N55" s="2945" t="s">
        <v>3057</v>
      </c>
    </row>
    <row r="56" spans="1:17" ht="14.25" customHeight="1">
      <c r="A56" s="2945" t="s">
        <v>110</v>
      </c>
      <c r="B56" s="2945" t="s">
        <v>130</v>
      </c>
      <c r="C56" s="2945">
        <v>20470</v>
      </c>
      <c r="D56" s="2945">
        <v>20700</v>
      </c>
      <c r="E56" s="2945">
        <v>20380</v>
      </c>
      <c r="F56" s="2945">
        <v>4760</v>
      </c>
      <c r="G56" s="2945">
        <v>14050</v>
      </c>
      <c r="N56" s="2945" t="s">
        <v>3058</v>
      </c>
    </row>
    <row r="57" spans="1:17" ht="14.25" customHeight="1">
      <c r="A57" s="2945" t="s">
        <v>110</v>
      </c>
      <c r="B57" s="2945" t="s">
        <v>139</v>
      </c>
      <c r="C57" s="2945">
        <v>20790</v>
      </c>
      <c r="D57" s="2945">
        <v>21370</v>
      </c>
      <c r="E57" s="2945">
        <v>20890</v>
      </c>
      <c r="F57" s="2945">
        <v>4910</v>
      </c>
      <c r="G57" s="2945">
        <v>14510</v>
      </c>
      <c r="N57" s="2945" t="s">
        <v>3059</v>
      </c>
    </row>
    <row r="58" spans="1:17" ht="14.25" customHeight="1">
      <c r="A58" s="2945" t="s">
        <v>110</v>
      </c>
      <c r="B58" s="2945" t="s">
        <v>148</v>
      </c>
      <c r="C58" s="2945">
        <v>21460</v>
      </c>
      <c r="D58" s="2945">
        <v>20920</v>
      </c>
      <c r="E58" s="2945">
        <v>23410</v>
      </c>
      <c r="F58" s="2945">
        <v>5100</v>
      </c>
      <c r="G58" s="2945">
        <v>14200</v>
      </c>
      <c r="N58" s="2945" t="s">
        <v>3060</v>
      </c>
    </row>
    <row r="59" spans="1:17" ht="14.25" customHeight="1">
      <c r="A59" s="2945" t="s">
        <v>110</v>
      </c>
      <c r="B59" s="2945" t="s">
        <v>157</v>
      </c>
      <c r="C59" s="2945">
        <v>21000</v>
      </c>
      <c r="D59" s="2945">
        <v>21550</v>
      </c>
      <c r="E59" s="2945">
        <v>21150</v>
      </c>
      <c r="F59" s="2945">
        <v>5250</v>
      </c>
      <c r="G59" s="2945">
        <v>14630</v>
      </c>
      <c r="N59" s="2945" t="s">
        <v>3061</v>
      </c>
    </row>
    <row r="60" spans="1:17" ht="14.25" customHeight="1">
      <c r="A60" s="2945" t="s">
        <v>110</v>
      </c>
      <c r="B60" s="2945" t="s">
        <v>164</v>
      </c>
      <c r="C60" s="2945">
        <v>21640</v>
      </c>
      <c r="D60" s="2945">
        <v>21260</v>
      </c>
      <c r="E60" s="2945">
        <v>24040</v>
      </c>
      <c r="F60" s="2945">
        <v>4470</v>
      </c>
      <c r="G60" s="2945">
        <v>14430</v>
      </c>
      <c r="N60" s="2945" t="s">
        <v>3062</v>
      </c>
    </row>
    <row r="61" spans="1:17" ht="14.25" customHeight="1">
      <c r="A61" s="2945" t="s">
        <v>110</v>
      </c>
      <c r="B61" s="2945" t="s">
        <v>170</v>
      </c>
      <c r="C61" s="2945">
        <v>21330</v>
      </c>
      <c r="D61" s="2945">
        <v>18640</v>
      </c>
      <c r="E61" s="2945">
        <v>21190</v>
      </c>
      <c r="F61" s="2945">
        <v>4180</v>
      </c>
      <c r="G61" s="2945">
        <v>12650</v>
      </c>
      <c r="N61" s="2945" t="s">
        <v>3063</v>
      </c>
    </row>
    <row r="62" spans="1:17" ht="14.25" customHeight="1">
      <c r="A62" s="2945" t="s">
        <v>110</v>
      </c>
      <c r="B62" s="2945" t="s">
        <v>177</v>
      </c>
      <c r="C62" s="2945">
        <v>18710</v>
      </c>
      <c r="D62" s="2945">
        <v>19400</v>
      </c>
      <c r="E62" s="2945">
        <v>23750</v>
      </c>
      <c r="F62" s="2945">
        <v>4860</v>
      </c>
      <c r="G62" s="2945">
        <v>13170</v>
      </c>
      <c r="N62" s="2945" t="s">
        <v>3064</v>
      </c>
    </row>
    <row r="63" spans="1:17" ht="14.25" customHeight="1">
      <c r="A63" s="2945" t="s">
        <v>110</v>
      </c>
      <c r="B63" s="2945" t="s">
        <v>187</v>
      </c>
      <c r="C63" s="2945">
        <v>19480</v>
      </c>
      <c r="D63" s="2945">
        <v>16830</v>
      </c>
      <c r="E63" s="2945">
        <v>21590</v>
      </c>
      <c r="F63" s="2945">
        <v>4560</v>
      </c>
      <c r="G63" s="2945">
        <v>11420</v>
      </c>
      <c r="N63" s="2945" t="s">
        <v>3065</v>
      </c>
    </row>
    <row r="64" spans="1:17" ht="14.25" customHeight="1" thickBot="1">
      <c r="A64" s="2945" t="s">
        <v>110</v>
      </c>
      <c r="B64" s="2945" t="s">
        <v>196</v>
      </c>
      <c r="C64" s="2945">
        <v>16920</v>
      </c>
      <c r="D64" s="2945">
        <v>19190</v>
      </c>
      <c r="E64" s="2945">
        <v>22200</v>
      </c>
      <c r="F64" s="2945">
        <v>4390</v>
      </c>
      <c r="G64" s="2945">
        <v>13030</v>
      </c>
      <c r="N64" s="2952" t="s">
        <v>3066</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2937</v>
      </c>
      <c r="C78" s="2945">
        <v>19820</v>
      </c>
      <c r="D78" s="2945">
        <v>19780</v>
      </c>
      <c r="E78" s="2945">
        <v>18560</v>
      </c>
      <c r="F78" s="2945"/>
      <c r="G78" s="2945">
        <v>13430</v>
      </c>
    </row>
    <row r="79" spans="1:7" s="2779" customFormat="1" ht="14.25" customHeight="1">
      <c r="A79" s="2945" t="s">
        <v>110</v>
      </c>
      <c r="B79" s="2945" t="s">
        <v>2940</v>
      </c>
      <c r="C79" s="2945">
        <v>21660</v>
      </c>
      <c r="D79" s="2945">
        <v>18000</v>
      </c>
      <c r="E79" s="2945">
        <v>22570</v>
      </c>
      <c r="F79" s="2945"/>
      <c r="G79" s="2945">
        <v>12220</v>
      </c>
    </row>
    <row r="80" spans="1:7" s="2779" customFormat="1" ht="14.25" customHeight="1">
      <c r="A80" s="2945" t="s">
        <v>110</v>
      </c>
      <c r="B80" s="2945" t="s">
        <v>2944</v>
      </c>
      <c r="C80" s="2945">
        <v>19850</v>
      </c>
      <c r="D80" s="2945"/>
      <c r="E80" s="2945">
        <v>21700</v>
      </c>
      <c r="F80" s="2945"/>
      <c r="G80" s="2945"/>
    </row>
    <row r="81" spans="1:7" s="2779" customFormat="1" ht="14.25" customHeight="1">
      <c r="A81" s="2945" t="s">
        <v>110</v>
      </c>
      <c r="B81" s="2945" t="s">
        <v>2949</v>
      </c>
      <c r="C81" s="2945">
        <v>18080</v>
      </c>
      <c r="D81" s="2945"/>
      <c r="E81" s="2945">
        <v>20900</v>
      </c>
      <c r="F81" s="2945"/>
      <c r="G81" s="2945"/>
    </row>
    <row r="82" spans="1:7" s="2779" customFormat="1" ht="14.25" customHeight="1">
      <c r="A82" s="2945" t="s">
        <v>110</v>
      </c>
      <c r="B82" s="2945" t="s">
        <v>2956</v>
      </c>
      <c r="C82" s="2945"/>
      <c r="D82" s="2945"/>
      <c r="E82" s="2945">
        <v>20840</v>
      </c>
      <c r="F82" s="2945"/>
      <c r="G82" s="2945"/>
    </row>
    <row r="83" spans="1:7" s="2779" customFormat="1" ht="14.25" customHeight="1">
      <c r="A83" s="2945" t="s">
        <v>110</v>
      </c>
      <c r="B83" s="2945" t="s">
        <v>3067</v>
      </c>
      <c r="C83" s="2945"/>
      <c r="D83" s="2945"/>
      <c r="E83" s="2945"/>
      <c r="F83" s="2945">
        <v>4770</v>
      </c>
      <c r="G83" s="2945"/>
    </row>
    <row r="84" spans="1:7" s="2779" customFormat="1" ht="14.25" customHeight="1">
      <c r="A84" s="2945" t="s">
        <v>110</v>
      </c>
      <c r="B84" s="2945" t="s">
        <v>3068</v>
      </c>
      <c r="C84" s="2945"/>
      <c r="D84" s="2945"/>
      <c r="E84" s="2945"/>
      <c r="F84" s="2945">
        <v>4600</v>
      </c>
      <c r="G84" s="2945"/>
    </row>
    <row r="85" spans="1:7" s="2779" customFormat="1" ht="14.25" customHeight="1">
      <c r="A85" s="2945" t="s">
        <v>110</v>
      </c>
      <c r="B85" s="2945" t="s">
        <v>3069</v>
      </c>
      <c r="C85" s="2945"/>
      <c r="D85" s="2945"/>
      <c r="E85" s="2945"/>
      <c r="F85" s="2945">
        <v>4680</v>
      </c>
      <c r="G85" s="2945"/>
    </row>
    <row r="86" spans="1:7" s="2779" customFormat="1" ht="14.25" customHeight="1" thickBot="1">
      <c r="A86" s="2953" t="s">
        <v>110</v>
      </c>
      <c r="B86" s="2955" t="s">
        <v>3070</v>
      </c>
      <c r="C86" s="2956">
        <v>16610</v>
      </c>
      <c r="D86" s="2956">
        <v>16540</v>
      </c>
      <c r="E86" s="2956">
        <v>18850</v>
      </c>
      <c r="F86" s="2956"/>
      <c r="G86" s="2956">
        <v>11220</v>
      </c>
    </row>
    <row r="87" spans="1:7" s="2779" customFormat="1" ht="14.25" customHeight="1">
      <c r="A87" s="2950" t="s">
        <v>303</v>
      </c>
      <c r="B87" s="2941" t="s">
        <v>3071</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2950</v>
      </c>
      <c r="C113" s="2945">
        <v>15520</v>
      </c>
      <c r="D113" s="2945">
        <v>15450</v>
      </c>
      <c r="E113" s="2945"/>
      <c r="F113" s="2945"/>
      <c r="G113" s="2958">
        <v>10210</v>
      </c>
    </row>
    <row r="114" spans="1:7" s="2779" customFormat="1" ht="14.25" customHeight="1">
      <c r="A114" s="2945" t="s">
        <v>303</v>
      </c>
      <c r="B114" s="2945" t="s">
        <v>2957</v>
      </c>
      <c r="C114" s="2945">
        <v>13110</v>
      </c>
      <c r="D114" s="2945">
        <v>13050</v>
      </c>
      <c r="E114" s="2945"/>
      <c r="F114" s="2945"/>
      <c r="G114" s="2958">
        <v>8620</v>
      </c>
    </row>
    <row r="115" spans="1:7" s="2779" customFormat="1" ht="14.25" customHeight="1">
      <c r="A115" s="2945" t="s">
        <v>303</v>
      </c>
      <c r="B115" s="2945" t="s">
        <v>2963</v>
      </c>
      <c r="C115" s="2945">
        <v>12460</v>
      </c>
      <c r="D115" s="2945">
        <v>12390</v>
      </c>
      <c r="E115" s="2945"/>
      <c r="F115" s="2945"/>
      <c r="G115" s="2958">
        <v>8190</v>
      </c>
    </row>
    <row r="116" spans="1:7" s="2779" customFormat="1" ht="14.25" customHeight="1">
      <c r="A116" s="2945" t="s">
        <v>303</v>
      </c>
      <c r="B116" s="2945" t="s">
        <v>2970</v>
      </c>
      <c r="C116" s="2945">
        <v>13580</v>
      </c>
      <c r="D116" s="2945">
        <v>13520</v>
      </c>
      <c r="E116" s="2945"/>
      <c r="F116" s="2945"/>
      <c r="G116" s="2958">
        <v>8930</v>
      </c>
    </row>
    <row r="117" spans="1:7" s="2779" customFormat="1" ht="14.25" customHeight="1">
      <c r="A117" s="2945" t="s">
        <v>303</v>
      </c>
      <c r="B117" s="2945" t="s">
        <v>2977</v>
      </c>
      <c r="C117" s="2945">
        <v>17120</v>
      </c>
      <c r="D117" s="2945">
        <v>17040</v>
      </c>
      <c r="E117" s="2945"/>
      <c r="F117" s="2945"/>
      <c r="G117" s="2958">
        <v>11260</v>
      </c>
    </row>
    <row r="118" spans="1:7" s="2779" customFormat="1" ht="14.25" customHeight="1">
      <c r="A118" s="2945" t="s">
        <v>303</v>
      </c>
      <c r="B118" s="2945" t="s">
        <v>2982</v>
      </c>
      <c r="C118" s="2945">
        <v>14860</v>
      </c>
      <c r="D118" s="2945">
        <v>14790</v>
      </c>
      <c r="E118" s="2945"/>
      <c r="F118" s="2945"/>
      <c r="G118" s="2958">
        <v>9780</v>
      </c>
    </row>
    <row r="119" spans="1:7" s="2779" customFormat="1" ht="14.25" customHeight="1">
      <c r="A119" s="2945" t="s">
        <v>303</v>
      </c>
      <c r="B119" s="2945" t="s">
        <v>2986</v>
      </c>
      <c r="C119" s="2945">
        <v>16470</v>
      </c>
      <c r="D119" s="2945">
        <v>16400</v>
      </c>
      <c r="E119" s="2945"/>
      <c r="F119" s="2945"/>
      <c r="G119" s="2958">
        <v>10840</v>
      </c>
    </row>
    <row r="120" spans="1:7" s="2779" customFormat="1" ht="14.25" customHeight="1">
      <c r="A120" s="2945" t="s">
        <v>303</v>
      </c>
      <c r="B120" s="2945" t="s">
        <v>3072</v>
      </c>
      <c r="C120" s="2945"/>
      <c r="D120" s="2945"/>
      <c r="E120" s="2945"/>
      <c r="F120" s="2945">
        <v>4160</v>
      </c>
      <c r="G120" s="2958"/>
    </row>
    <row r="121" spans="1:7" s="2779" customFormat="1" ht="14.25" customHeight="1">
      <c r="A121" s="2945" t="s">
        <v>303</v>
      </c>
      <c r="B121" s="2945" t="s">
        <v>3073</v>
      </c>
      <c r="C121" s="2945"/>
      <c r="D121" s="2945"/>
      <c r="E121" s="2945"/>
      <c r="F121" s="2945">
        <v>3880</v>
      </c>
      <c r="G121" s="2958"/>
    </row>
    <row r="122" spans="1:7" s="2779" customFormat="1" ht="14.25" customHeight="1">
      <c r="A122" s="2945" t="s">
        <v>303</v>
      </c>
      <c r="B122" s="2945" t="s">
        <v>3074</v>
      </c>
      <c r="C122" s="2945">
        <v>13750</v>
      </c>
      <c r="D122" s="2945">
        <v>13680</v>
      </c>
      <c r="E122" s="2945">
        <v>16460</v>
      </c>
      <c r="F122" s="2945">
        <v>2880</v>
      </c>
      <c r="G122" s="2958">
        <v>9040</v>
      </c>
    </row>
    <row r="123" spans="1:7" s="2779" customFormat="1" ht="14.25" customHeight="1">
      <c r="A123" s="2945" t="s">
        <v>303</v>
      </c>
      <c r="B123" s="2945" t="s">
        <v>3005</v>
      </c>
      <c r="C123" s="2945">
        <v>13590</v>
      </c>
      <c r="D123" s="2945">
        <v>13520</v>
      </c>
      <c r="E123" s="2945">
        <v>16290</v>
      </c>
      <c r="F123" s="2945">
        <v>2790</v>
      </c>
      <c r="G123" s="2958">
        <v>8930</v>
      </c>
    </row>
    <row r="124" spans="1:7" s="2779" customFormat="1" ht="14.25" customHeight="1">
      <c r="A124" s="2945" t="s">
        <v>303</v>
      </c>
      <c r="B124" s="2945" t="s">
        <v>3010</v>
      </c>
      <c r="C124" s="2945">
        <v>13400</v>
      </c>
      <c r="D124" s="2945">
        <v>13320</v>
      </c>
      <c r="E124" s="2945">
        <v>16100</v>
      </c>
      <c r="F124" s="2945">
        <v>2320</v>
      </c>
      <c r="G124" s="2958">
        <v>8800</v>
      </c>
    </row>
    <row r="125" spans="1:7" s="2779" customFormat="1" ht="14.25" customHeight="1">
      <c r="A125" s="2945" t="s">
        <v>303</v>
      </c>
      <c r="B125" s="2945" t="s">
        <v>3015</v>
      </c>
      <c r="C125" s="2945">
        <v>12860</v>
      </c>
      <c r="D125" s="2945">
        <v>12790</v>
      </c>
      <c r="E125" s="2945">
        <v>15370</v>
      </c>
      <c r="F125" s="2945">
        <v>2280</v>
      </c>
      <c r="G125" s="2958">
        <v>8450</v>
      </c>
    </row>
    <row r="126" spans="1:7" s="2779" customFormat="1" ht="14.25" customHeight="1" thickBot="1">
      <c r="A126" s="2959" t="s">
        <v>303</v>
      </c>
      <c r="B126" s="2952" t="s">
        <v>3020</v>
      </c>
      <c r="C126" s="2952">
        <v>12960</v>
      </c>
      <c r="D126" s="2952">
        <v>12890</v>
      </c>
      <c r="E126" s="2952">
        <v>15530</v>
      </c>
      <c r="F126" s="2952">
        <v>2910</v>
      </c>
      <c r="G126" s="2960">
        <v>8520</v>
      </c>
    </row>
    <row r="127" spans="1:7" s="2779" customFormat="1" ht="14.25" customHeight="1">
      <c r="A127" s="2950" t="s">
        <v>29</v>
      </c>
      <c r="B127" s="2941" t="s">
        <v>3075</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3076</v>
      </c>
      <c r="C148" s="2945">
        <v>10370</v>
      </c>
      <c r="D148" s="2945">
        <v>10310</v>
      </c>
      <c r="E148" s="2945">
        <v>12970</v>
      </c>
      <c r="F148" s="2945"/>
      <c r="G148" s="2945">
        <v>6630</v>
      </c>
    </row>
    <row r="149" spans="1:7" s="2779" customFormat="1" ht="14.25" customHeight="1">
      <c r="A149" s="2945" t="s">
        <v>29</v>
      </c>
      <c r="B149" s="2945" t="s">
        <v>3077</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2951</v>
      </c>
      <c r="C153" s="2945">
        <v>10880</v>
      </c>
      <c r="D153" s="2945">
        <v>10820</v>
      </c>
      <c r="E153" s="2945">
        <v>13660</v>
      </c>
      <c r="F153" s="2945">
        <v>2260</v>
      </c>
      <c r="G153" s="2945">
        <v>6970</v>
      </c>
    </row>
    <row r="154" spans="1:7" s="2779" customFormat="1" ht="14.25" customHeight="1">
      <c r="A154" s="2945" t="s">
        <v>29</v>
      </c>
      <c r="B154" s="2945" t="s">
        <v>3078</v>
      </c>
      <c r="C154" s="2945">
        <v>11220</v>
      </c>
      <c r="D154" s="2945">
        <v>11160</v>
      </c>
      <c r="E154" s="2945">
        <v>14130</v>
      </c>
      <c r="F154" s="2945">
        <v>2230</v>
      </c>
      <c r="G154" s="2945">
        <v>7180</v>
      </c>
    </row>
    <row r="155" spans="1:7" s="2779" customFormat="1" ht="14.25" customHeight="1">
      <c r="A155" s="2945" t="s">
        <v>29</v>
      </c>
      <c r="B155" s="2945" t="s">
        <v>2964</v>
      </c>
      <c r="C155" s="2945">
        <v>10430</v>
      </c>
      <c r="D155" s="2945">
        <v>10380</v>
      </c>
      <c r="E155" s="2945">
        <v>13140</v>
      </c>
      <c r="F155" s="2945">
        <v>2080</v>
      </c>
      <c r="G155" s="2945">
        <v>6650</v>
      </c>
    </row>
    <row r="156" spans="1:7" s="2779" customFormat="1" ht="14.25" customHeight="1">
      <c r="A156" s="2945" t="s">
        <v>29</v>
      </c>
      <c r="B156" s="2945" t="s">
        <v>3079</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3080</v>
      </c>
      <c r="C160" s="2945">
        <v>11180</v>
      </c>
      <c r="D160" s="2945">
        <v>11140</v>
      </c>
      <c r="E160" s="2945">
        <v>14050</v>
      </c>
      <c r="F160" s="2945">
        <v>2270</v>
      </c>
      <c r="G160" s="2945">
        <v>7170</v>
      </c>
    </row>
    <row r="161" spans="1:7" s="2779" customFormat="1" ht="14.25" customHeight="1">
      <c r="A161" s="2945" t="s">
        <v>29</v>
      </c>
      <c r="B161" s="2945" t="s">
        <v>2996</v>
      </c>
      <c r="C161" s="2945">
        <v>11160</v>
      </c>
      <c r="D161" s="2945">
        <v>11120</v>
      </c>
      <c r="E161" s="2945">
        <v>14020</v>
      </c>
      <c r="F161" s="2945">
        <v>2150</v>
      </c>
      <c r="G161" s="2945">
        <v>7160</v>
      </c>
    </row>
    <row r="162" spans="1:7" s="2779" customFormat="1" ht="14.25" customHeight="1">
      <c r="A162" s="2945" t="s">
        <v>29</v>
      </c>
      <c r="B162" s="2945" t="s">
        <v>3001</v>
      </c>
      <c r="C162" s="2945">
        <v>9620</v>
      </c>
      <c r="D162" s="2945">
        <v>9570</v>
      </c>
      <c r="E162" s="2945">
        <v>12320</v>
      </c>
      <c r="F162" s="2945">
        <v>2010</v>
      </c>
      <c r="G162" s="2945">
        <v>6160</v>
      </c>
    </row>
    <row r="163" spans="1:7" s="2779" customFormat="1" ht="14.25" customHeight="1">
      <c r="A163" s="2945" t="s">
        <v>29</v>
      </c>
      <c r="B163" s="2945" t="s">
        <v>3006</v>
      </c>
      <c r="C163" s="2945">
        <v>9320</v>
      </c>
      <c r="D163" s="2945">
        <v>9270</v>
      </c>
      <c r="E163" s="2945">
        <v>11790</v>
      </c>
      <c r="F163" s="2945">
        <v>1920</v>
      </c>
      <c r="G163" s="2945">
        <v>5960</v>
      </c>
    </row>
    <row r="164" spans="1:7" s="2779" customFormat="1" ht="14.25" customHeight="1">
      <c r="A164" s="2945" t="s">
        <v>29</v>
      </c>
      <c r="B164" s="2945" t="s">
        <v>3011</v>
      </c>
      <c r="C164" s="2945"/>
      <c r="D164" s="2945"/>
      <c r="E164" s="2945"/>
      <c r="F164" s="2945">
        <v>1980</v>
      </c>
      <c r="G164" s="2945"/>
    </row>
    <row r="165" spans="1:7" s="2779" customFormat="1" ht="14.25" customHeight="1">
      <c r="A165" s="2945" t="s">
        <v>29</v>
      </c>
      <c r="B165" s="2945" t="s">
        <v>3081</v>
      </c>
      <c r="C165" s="2945">
        <v>11060</v>
      </c>
      <c r="D165" s="2945">
        <v>11030</v>
      </c>
      <c r="E165" s="2945">
        <v>13850</v>
      </c>
      <c r="F165" s="2945">
        <v>2170</v>
      </c>
      <c r="G165" s="2945">
        <v>7090</v>
      </c>
    </row>
    <row r="166" spans="1:7" s="2779" customFormat="1" ht="14.25" customHeight="1">
      <c r="A166" s="2945" t="s">
        <v>29</v>
      </c>
      <c r="B166" s="2945" t="s">
        <v>3021</v>
      </c>
      <c r="C166" s="2945">
        <v>11050</v>
      </c>
      <c r="D166" s="2945">
        <v>11010</v>
      </c>
      <c r="E166" s="2945">
        <v>13920</v>
      </c>
      <c r="F166" s="2945">
        <v>2140</v>
      </c>
      <c r="G166" s="2945">
        <v>7080</v>
      </c>
    </row>
    <row r="167" spans="1:7" s="2779" customFormat="1" ht="14.25" customHeight="1">
      <c r="A167" s="2945" t="s">
        <v>29</v>
      </c>
      <c r="B167" s="2945" t="s">
        <v>3025</v>
      </c>
      <c r="C167" s="2945">
        <v>10930</v>
      </c>
      <c r="D167" s="2945">
        <v>10890</v>
      </c>
      <c r="E167" s="2945">
        <v>13790</v>
      </c>
      <c r="F167" s="2945">
        <v>2010</v>
      </c>
      <c r="G167" s="2945">
        <v>7000</v>
      </c>
    </row>
    <row r="168" spans="1:7" s="2779" customFormat="1" ht="14.25" customHeight="1">
      <c r="A168" s="2945" t="s">
        <v>29</v>
      </c>
      <c r="B168" s="2945" t="s">
        <v>3030</v>
      </c>
      <c r="C168" s="2945">
        <v>9420</v>
      </c>
      <c r="D168" s="2945">
        <v>9380</v>
      </c>
      <c r="E168" s="2945">
        <v>11970</v>
      </c>
      <c r="F168" s="2945"/>
      <c r="G168" s="2945">
        <v>6040</v>
      </c>
    </row>
    <row r="169" spans="1:7" s="2779" customFormat="1" ht="14.25" customHeight="1">
      <c r="A169" s="2945" t="s">
        <v>29</v>
      </c>
      <c r="B169" s="2945" t="s">
        <v>3082</v>
      </c>
      <c r="C169" s="2945"/>
      <c r="D169" s="2945"/>
      <c r="E169" s="2945"/>
      <c r="F169" s="2945">
        <v>2880</v>
      </c>
      <c r="G169" s="2945"/>
    </row>
    <row r="170" spans="1:7" s="2779" customFormat="1" ht="14.25" customHeight="1">
      <c r="A170" s="2945" t="s">
        <v>29</v>
      </c>
      <c r="B170" s="2945" t="s">
        <v>3038</v>
      </c>
      <c r="C170" s="2945"/>
      <c r="D170" s="2945"/>
      <c r="E170" s="2945"/>
      <c r="F170" s="2945">
        <v>2880</v>
      </c>
      <c r="G170" s="2945"/>
    </row>
    <row r="171" spans="1:7" s="2779" customFormat="1" ht="14.25" customHeight="1">
      <c r="A171" s="2945" t="s">
        <v>29</v>
      </c>
      <c r="B171" s="2945" t="s">
        <v>3041</v>
      </c>
      <c r="C171" s="2945"/>
      <c r="D171" s="2945"/>
      <c r="E171" s="2945"/>
      <c r="F171" s="2945">
        <v>2880</v>
      </c>
      <c r="G171" s="2945"/>
    </row>
    <row r="172" spans="1:7" s="2779" customFormat="1" ht="14.25" customHeight="1">
      <c r="A172" s="2945" t="s">
        <v>29</v>
      </c>
      <c r="B172" s="2945" t="s">
        <v>3043</v>
      </c>
      <c r="C172" s="2945"/>
      <c r="D172" s="2945"/>
      <c r="E172" s="2945"/>
      <c r="F172" s="2945">
        <v>2880</v>
      </c>
      <c r="G172" s="2945"/>
    </row>
    <row r="173" spans="1:7" s="2779" customFormat="1" ht="14.25" customHeight="1">
      <c r="A173" s="2945" t="s">
        <v>29</v>
      </c>
      <c r="B173" s="2945" t="s">
        <v>3045</v>
      </c>
      <c r="C173" s="2945"/>
      <c r="D173" s="2945"/>
      <c r="E173" s="2945"/>
      <c r="F173" s="2945">
        <v>2150</v>
      </c>
      <c r="G173" s="2945"/>
    </row>
    <row r="174" spans="1:7" s="2779" customFormat="1" ht="14.25" customHeight="1">
      <c r="A174" s="2945" t="s">
        <v>29</v>
      </c>
      <c r="B174" s="2945" t="s">
        <v>3047</v>
      </c>
      <c r="C174" s="2945"/>
      <c r="D174" s="2945"/>
      <c r="E174" s="2945"/>
      <c r="F174" s="2945">
        <v>2030</v>
      </c>
      <c r="G174" s="2945"/>
    </row>
    <row r="175" spans="1:7" s="2779" customFormat="1" ht="14.25" customHeight="1">
      <c r="A175" s="2945" t="s">
        <v>29</v>
      </c>
      <c r="B175" s="2945" t="s">
        <v>3049</v>
      </c>
      <c r="C175" s="2945"/>
      <c r="D175" s="2945"/>
      <c r="E175" s="2945"/>
      <c r="F175" s="2945">
        <v>2780</v>
      </c>
      <c r="G175" s="2945"/>
    </row>
    <row r="176" spans="1:7" s="2779" customFormat="1" ht="14.25" customHeight="1">
      <c r="A176" s="2945" t="s">
        <v>29</v>
      </c>
      <c r="B176" s="2945" t="s">
        <v>3051</v>
      </c>
      <c r="C176" s="2945"/>
      <c r="D176" s="2945"/>
      <c r="E176" s="2945"/>
      <c r="F176" s="2945">
        <v>2780</v>
      </c>
      <c r="G176" s="2945"/>
    </row>
    <row r="177" spans="1:7" s="2779" customFormat="1" ht="14.25" customHeight="1">
      <c r="A177" s="2945" t="s">
        <v>29</v>
      </c>
      <c r="B177" s="2945" t="s">
        <v>3083</v>
      </c>
      <c r="C177" s="2945"/>
      <c r="D177" s="2945"/>
      <c r="E177" s="2945"/>
      <c r="F177" s="2945">
        <v>2780</v>
      </c>
      <c r="G177" s="2945"/>
    </row>
    <row r="178" spans="1:7" s="2779" customFormat="1" ht="14.25" customHeight="1">
      <c r="A178" s="2945" t="s">
        <v>29</v>
      </c>
      <c r="B178" s="2945" t="s">
        <v>3084</v>
      </c>
      <c r="C178" s="2945"/>
      <c r="D178" s="2945"/>
      <c r="E178" s="2945"/>
      <c r="F178" s="2945">
        <v>2060</v>
      </c>
      <c r="G178" s="2945"/>
    </row>
    <row r="179" spans="1:7" s="2779" customFormat="1" ht="14.25" customHeight="1">
      <c r="A179" s="2945" t="s">
        <v>29</v>
      </c>
      <c r="B179" s="2945" t="s">
        <v>3085</v>
      </c>
      <c r="C179" s="2945"/>
      <c r="D179" s="2945"/>
      <c r="E179" s="2945"/>
      <c r="F179" s="2945">
        <v>2120</v>
      </c>
      <c r="G179" s="2945"/>
    </row>
    <row r="180" spans="1:7" s="2779" customFormat="1" ht="14.25" customHeight="1">
      <c r="A180" s="2945" t="s">
        <v>29</v>
      </c>
      <c r="B180" s="2945" t="s">
        <v>3057</v>
      </c>
      <c r="C180" s="2945"/>
      <c r="D180" s="2945"/>
      <c r="E180" s="2945"/>
      <c r="F180" s="2945">
        <v>2340</v>
      </c>
      <c r="G180" s="2945"/>
    </row>
    <row r="181" spans="1:7" s="2779" customFormat="1" ht="14.25" customHeight="1">
      <c r="A181" s="2945" t="s">
        <v>29</v>
      </c>
      <c r="B181" s="2945" t="s">
        <v>3058</v>
      </c>
      <c r="C181" s="2945"/>
      <c r="D181" s="2945"/>
      <c r="E181" s="2945"/>
      <c r="F181" s="2945">
        <v>2340</v>
      </c>
      <c r="G181" s="2945"/>
    </row>
    <row r="182" spans="1:7" s="2779" customFormat="1" ht="14.25" customHeight="1">
      <c r="A182" s="2945" t="s">
        <v>29</v>
      </c>
      <c r="B182" s="2945" t="s">
        <v>3059</v>
      </c>
      <c r="C182" s="2945"/>
      <c r="D182" s="2945"/>
      <c r="E182" s="2945"/>
      <c r="F182" s="2945">
        <v>2340</v>
      </c>
      <c r="G182" s="2945"/>
    </row>
    <row r="183" spans="1:7" s="2779" customFormat="1" ht="14.25" customHeight="1">
      <c r="A183" s="2945" t="s">
        <v>29</v>
      </c>
      <c r="B183" s="2945" t="s">
        <v>3060</v>
      </c>
      <c r="C183" s="2945"/>
      <c r="D183" s="2945"/>
      <c r="E183" s="2945"/>
      <c r="F183" s="2945">
        <v>2340</v>
      </c>
      <c r="G183" s="2945"/>
    </row>
    <row r="184" spans="1:7" s="2779" customFormat="1" ht="14.25" customHeight="1">
      <c r="A184" s="2945" t="s">
        <v>29</v>
      </c>
      <c r="B184" s="2945" t="s">
        <v>3061</v>
      </c>
      <c r="C184" s="2945"/>
      <c r="D184" s="2945"/>
      <c r="E184" s="2945"/>
      <c r="F184" s="2945">
        <v>2340</v>
      </c>
      <c r="G184" s="2945"/>
    </row>
    <row r="185" spans="1:7" s="2779" customFormat="1" ht="14.25" customHeight="1">
      <c r="A185" s="2945" t="s">
        <v>29</v>
      </c>
      <c r="B185" s="2945" t="s">
        <v>3062</v>
      </c>
      <c r="C185" s="2945"/>
      <c r="D185" s="2945"/>
      <c r="E185" s="2945"/>
      <c r="F185" s="2945">
        <v>2530</v>
      </c>
      <c r="G185" s="2945"/>
    </row>
    <row r="186" spans="1:7" s="2779" customFormat="1" ht="14.25" customHeight="1">
      <c r="A186" s="2945" t="s">
        <v>29</v>
      </c>
      <c r="B186" s="2945" t="s">
        <v>3063</v>
      </c>
      <c r="C186" s="2945"/>
      <c r="D186" s="2945"/>
      <c r="E186" s="2945"/>
      <c r="F186" s="2945">
        <v>2550</v>
      </c>
      <c r="G186" s="2945"/>
    </row>
    <row r="187" spans="1:7" s="2779" customFormat="1" ht="14.25" customHeight="1">
      <c r="A187" s="2945" t="s">
        <v>29</v>
      </c>
      <c r="B187" s="2945" t="s">
        <v>3064</v>
      </c>
      <c r="C187" s="2945"/>
      <c r="D187" s="2945"/>
      <c r="E187" s="2945"/>
      <c r="F187" s="2945">
        <v>2070</v>
      </c>
      <c r="G187" s="2945"/>
    </row>
    <row r="188" spans="1:7" s="2779" customFormat="1" ht="14.25" customHeight="1">
      <c r="A188" s="2945" t="s">
        <v>29</v>
      </c>
      <c r="B188" s="2945" t="s">
        <v>3065</v>
      </c>
      <c r="C188" s="2945"/>
      <c r="D188" s="2945"/>
      <c r="E188" s="2945"/>
      <c r="F188" s="2945">
        <v>2340</v>
      </c>
      <c r="G188" s="2945"/>
    </row>
    <row r="189" spans="1:7" s="2779" customFormat="1" ht="14.25" customHeight="1" thickBot="1">
      <c r="A189" s="2953" t="s">
        <v>29</v>
      </c>
      <c r="B189" s="2956" t="s">
        <v>3066</v>
      </c>
      <c r="C189" s="2956"/>
      <c r="D189" s="2956"/>
      <c r="E189" s="2956"/>
      <c r="F189" s="2956">
        <v>2050</v>
      </c>
      <c r="G189" s="2956"/>
    </row>
    <row r="190" spans="1:7" s="2779" customFormat="1" ht="14.25" customHeight="1">
      <c r="A190" s="2950" t="s">
        <v>304</v>
      </c>
      <c r="B190" s="2941" t="s">
        <v>3086</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3087</v>
      </c>
      <c r="C199" s="2945">
        <v>8690</v>
      </c>
      <c r="D199" s="2945">
        <v>8630</v>
      </c>
      <c r="E199" s="2945">
        <v>11350</v>
      </c>
      <c r="F199" s="2945">
        <v>1600</v>
      </c>
      <c r="G199" s="2958">
        <v>5450</v>
      </c>
    </row>
    <row r="200" spans="1:7" s="2779" customFormat="1" ht="14.25" customHeight="1">
      <c r="A200" s="2945" t="s">
        <v>304</v>
      </c>
      <c r="B200" s="2945" t="s">
        <v>2898</v>
      </c>
      <c r="C200" s="2945"/>
      <c r="D200" s="2945"/>
      <c r="E200" s="2945"/>
      <c r="F200" s="2945">
        <v>1510</v>
      </c>
      <c r="G200" s="2958"/>
    </row>
    <row r="201" spans="1:7" s="2779" customFormat="1" ht="14.25" customHeight="1">
      <c r="A201" s="2945" t="s">
        <v>304</v>
      </c>
      <c r="B201" s="2945" t="s">
        <v>3088</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3089</v>
      </c>
      <c r="C203" s="2945">
        <v>8130</v>
      </c>
      <c r="D203" s="2945">
        <v>8070</v>
      </c>
      <c r="E203" s="2945">
        <v>10820</v>
      </c>
      <c r="F203" s="2945">
        <v>1690</v>
      </c>
      <c r="G203" s="2958">
        <v>5100</v>
      </c>
    </row>
    <row r="204" spans="1:7" s="2779" customFormat="1" ht="14.25" customHeight="1">
      <c r="A204" s="2945" t="s">
        <v>304</v>
      </c>
      <c r="B204" s="2945" t="s">
        <v>2909</v>
      </c>
      <c r="C204" s="2945">
        <v>8350</v>
      </c>
      <c r="D204" s="2945">
        <v>8290</v>
      </c>
      <c r="E204" s="2945">
        <v>11080</v>
      </c>
      <c r="F204" s="2945">
        <v>1450</v>
      </c>
      <c r="G204" s="2958">
        <v>5240</v>
      </c>
    </row>
    <row r="205" spans="1:7" s="2779" customFormat="1" ht="14.25" customHeight="1">
      <c r="A205" s="2945" t="s">
        <v>304</v>
      </c>
      <c r="B205" s="2945" t="s">
        <v>2911</v>
      </c>
      <c r="C205" s="2945">
        <v>7190</v>
      </c>
      <c r="D205" s="2945">
        <v>7130</v>
      </c>
      <c r="E205" s="2945">
        <v>9490</v>
      </c>
      <c r="F205" s="2945">
        <v>1470</v>
      </c>
      <c r="G205" s="2958">
        <v>4510</v>
      </c>
    </row>
    <row r="206" spans="1:7" s="2779" customFormat="1" ht="14.25" customHeight="1">
      <c r="A206" s="2945" t="s">
        <v>304</v>
      </c>
      <c r="B206" s="2945" t="s">
        <v>2914</v>
      </c>
      <c r="C206" s="2945">
        <v>7000</v>
      </c>
      <c r="D206" s="2945">
        <v>6950</v>
      </c>
      <c r="E206" s="2945">
        <v>9170</v>
      </c>
      <c r="F206" s="2945">
        <v>1400</v>
      </c>
      <c r="G206" s="2958">
        <v>4380</v>
      </c>
    </row>
    <row r="207" spans="1:7" s="2779" customFormat="1" ht="14.25" customHeight="1">
      <c r="A207" s="2945" t="s">
        <v>304</v>
      </c>
      <c r="B207" s="2945" t="s">
        <v>2916</v>
      </c>
      <c r="C207" s="2945">
        <v>6950</v>
      </c>
      <c r="D207" s="2945">
        <v>6900</v>
      </c>
      <c r="E207" s="2945">
        <v>9110</v>
      </c>
      <c r="F207" s="2945">
        <v>1790</v>
      </c>
      <c r="G207" s="2958">
        <v>4360</v>
      </c>
    </row>
    <row r="208" spans="1:7" s="2779" customFormat="1" ht="14.25" customHeight="1">
      <c r="A208" s="2945" t="s">
        <v>304</v>
      </c>
      <c r="B208" s="2945" t="s">
        <v>3090</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2926</v>
      </c>
      <c r="C210" s="2945">
        <v>8710</v>
      </c>
      <c r="D210" s="2945">
        <v>8660</v>
      </c>
      <c r="E210" s="2945">
        <v>11440</v>
      </c>
      <c r="F210" s="2945">
        <v>1740</v>
      </c>
      <c r="G210" s="2958">
        <v>5470</v>
      </c>
    </row>
    <row r="211" spans="1:7" s="2779" customFormat="1" ht="14.25" customHeight="1">
      <c r="A211" s="2945" t="s">
        <v>304</v>
      </c>
      <c r="B211" s="2945" t="s">
        <v>3091</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3092</v>
      </c>
      <c r="C214" s="2945">
        <v>8090</v>
      </c>
      <c r="D214" s="2945">
        <v>8030</v>
      </c>
      <c r="E214" s="2945">
        <v>10780</v>
      </c>
      <c r="F214" s="2945">
        <v>1570</v>
      </c>
      <c r="G214" s="2958">
        <v>5070</v>
      </c>
    </row>
    <row r="215" spans="1:7" s="2779" customFormat="1" ht="14.25" customHeight="1">
      <c r="A215" s="2945" t="s">
        <v>304</v>
      </c>
      <c r="B215" s="2945" t="s">
        <v>3093</v>
      </c>
      <c r="C215" s="2945">
        <v>7950</v>
      </c>
      <c r="D215" s="2945">
        <v>7900</v>
      </c>
      <c r="E215" s="2945">
        <v>10560</v>
      </c>
      <c r="F215" s="2945">
        <v>1630</v>
      </c>
      <c r="G215" s="2958">
        <v>4990</v>
      </c>
    </row>
    <row r="216" spans="1:7" s="2779" customFormat="1" ht="14.25" customHeight="1">
      <c r="A216" s="2945" t="s">
        <v>304</v>
      </c>
      <c r="B216" s="2945" t="s">
        <v>3094</v>
      </c>
      <c r="C216" s="2945">
        <v>8490</v>
      </c>
      <c r="D216" s="2945">
        <v>8440</v>
      </c>
      <c r="E216" s="2945">
        <v>11260</v>
      </c>
      <c r="F216" s="2945">
        <v>1690</v>
      </c>
      <c r="G216" s="2958">
        <v>5330</v>
      </c>
    </row>
    <row r="217" spans="1:7" s="2779" customFormat="1" ht="14.25" customHeight="1">
      <c r="A217" s="2945" t="s">
        <v>304</v>
      </c>
      <c r="B217" s="2945" t="s">
        <v>2959</v>
      </c>
      <c r="C217" s="2945">
        <v>8200</v>
      </c>
      <c r="D217" s="2945">
        <v>8150</v>
      </c>
      <c r="E217" s="2945">
        <v>10910</v>
      </c>
      <c r="F217" s="2945">
        <v>1670</v>
      </c>
      <c r="G217" s="2958">
        <v>5150</v>
      </c>
    </row>
    <row r="218" spans="1:7" s="2779" customFormat="1" ht="14.25" customHeight="1">
      <c r="A218" s="2945" t="s">
        <v>304</v>
      </c>
      <c r="B218" s="2945" t="s">
        <v>3095</v>
      </c>
      <c r="C218" s="2945"/>
      <c r="D218" s="2945"/>
      <c r="E218" s="2945"/>
      <c r="F218" s="2945">
        <v>2040</v>
      </c>
      <c r="G218" s="2958"/>
    </row>
    <row r="219" spans="1:7" s="2779" customFormat="1" ht="14.25" customHeight="1">
      <c r="A219" s="2945" t="s">
        <v>304</v>
      </c>
      <c r="B219" s="2945" t="s">
        <v>3096</v>
      </c>
      <c r="C219" s="2945"/>
      <c r="D219" s="2945"/>
      <c r="E219" s="2945"/>
      <c r="F219" s="2945">
        <v>2040</v>
      </c>
      <c r="G219" s="2958"/>
    </row>
    <row r="220" spans="1:7" s="2779" customFormat="1" ht="14.25" customHeight="1">
      <c r="A220" s="2945" t="s">
        <v>304</v>
      </c>
      <c r="B220" s="2945" t="s">
        <v>3097</v>
      </c>
      <c r="C220" s="2945"/>
      <c r="D220" s="2945"/>
      <c r="E220" s="2945"/>
      <c r="F220" s="2945">
        <v>2040</v>
      </c>
      <c r="G220" s="2958"/>
    </row>
    <row r="221" spans="1:7" s="2779" customFormat="1" ht="14.25" customHeight="1">
      <c r="A221" s="2945" t="s">
        <v>304</v>
      </c>
      <c r="B221" s="2945" t="s">
        <v>3098</v>
      </c>
      <c r="C221" s="2945"/>
      <c r="D221" s="2945"/>
      <c r="E221" s="2945"/>
      <c r="F221" s="2945">
        <v>2040</v>
      </c>
      <c r="G221" s="2958"/>
    </row>
    <row r="222" spans="1:7" s="2779" customFormat="1" ht="14.25" customHeight="1">
      <c r="A222" s="2945" t="s">
        <v>304</v>
      </c>
      <c r="B222" s="2945" t="s">
        <v>3099</v>
      </c>
      <c r="C222" s="2945"/>
      <c r="D222" s="2945"/>
      <c r="E222" s="2945"/>
      <c r="F222" s="2945">
        <v>2040</v>
      </c>
      <c r="G222" s="2958"/>
    </row>
    <row r="223" spans="1:7" s="2779" customFormat="1" ht="14.25" customHeight="1">
      <c r="A223" s="2945" t="s">
        <v>304</v>
      </c>
      <c r="B223" s="2945" t="s">
        <v>3100</v>
      </c>
      <c r="C223" s="2945"/>
      <c r="D223" s="2945"/>
      <c r="E223" s="2945"/>
      <c r="F223" s="2945">
        <v>1930</v>
      </c>
      <c r="G223" s="2958"/>
    </row>
    <row r="224" spans="1:7" s="2779" customFormat="1" ht="14.25" customHeight="1">
      <c r="A224" s="2945" t="s">
        <v>304</v>
      </c>
      <c r="B224" s="2945" t="s">
        <v>3101</v>
      </c>
      <c r="C224" s="2945"/>
      <c r="D224" s="2945"/>
      <c r="E224" s="2945"/>
      <c r="F224" s="2945">
        <v>1930</v>
      </c>
      <c r="G224" s="2958"/>
    </row>
    <row r="225" spans="1:7" s="2779" customFormat="1" ht="14.25" customHeight="1">
      <c r="A225" s="2945" t="s">
        <v>304</v>
      </c>
      <c r="B225" s="2945" t="s">
        <v>3102</v>
      </c>
      <c r="C225" s="2945"/>
      <c r="D225" s="2945"/>
      <c r="E225" s="2945"/>
      <c r="F225" s="2945">
        <v>1930</v>
      </c>
      <c r="G225" s="2958"/>
    </row>
    <row r="226" spans="1:7" s="2779" customFormat="1" ht="14.25" customHeight="1">
      <c r="A226" s="2945" t="s">
        <v>304</v>
      </c>
      <c r="B226" s="2945" t="s">
        <v>3103</v>
      </c>
      <c r="C226" s="2945"/>
      <c r="D226" s="2945"/>
      <c r="E226" s="2945"/>
      <c r="F226" s="2945">
        <v>1700</v>
      </c>
      <c r="G226" s="2958"/>
    </row>
    <row r="227" spans="1:7" s="2779" customFormat="1" ht="14.25" customHeight="1">
      <c r="A227" s="2945" t="s">
        <v>304</v>
      </c>
      <c r="B227" s="2945" t="s">
        <v>3104</v>
      </c>
      <c r="C227" s="2945"/>
      <c r="D227" s="2945"/>
      <c r="E227" s="2945"/>
      <c r="F227" s="2945">
        <v>1520</v>
      </c>
      <c r="G227" s="2958"/>
    </row>
    <row r="228" spans="1:7" s="2779" customFormat="1" ht="14.25" customHeight="1">
      <c r="A228" s="2945" t="s">
        <v>304</v>
      </c>
      <c r="B228" s="2945" t="s">
        <v>3105</v>
      </c>
      <c r="C228" s="2945"/>
      <c r="D228" s="2945"/>
      <c r="E228" s="2945"/>
      <c r="F228" s="2945">
        <v>1520</v>
      </c>
      <c r="G228" s="2958"/>
    </row>
    <row r="229" spans="1:7" s="2779" customFormat="1" ht="14.25" customHeight="1">
      <c r="A229" s="2945" t="s">
        <v>304</v>
      </c>
      <c r="B229" s="2945" t="s">
        <v>3022</v>
      </c>
      <c r="C229" s="2945"/>
      <c r="D229" s="2945"/>
      <c r="E229" s="2945"/>
      <c r="F229" s="2945">
        <v>1520</v>
      </c>
      <c r="G229" s="2958"/>
    </row>
    <row r="230" spans="1:7" s="2779" customFormat="1" ht="14.25" customHeight="1">
      <c r="A230" s="2945" t="s">
        <v>304</v>
      </c>
      <c r="B230" s="2945" t="s">
        <v>3106</v>
      </c>
      <c r="C230" s="2945"/>
      <c r="D230" s="2945"/>
      <c r="E230" s="2945"/>
      <c r="F230" s="2945">
        <v>1820</v>
      </c>
      <c r="G230" s="2958"/>
    </row>
    <row r="231" spans="1:7" s="2779" customFormat="1" ht="14.25" customHeight="1">
      <c r="A231" s="2945" t="s">
        <v>304</v>
      </c>
      <c r="B231" s="2945" t="s">
        <v>3107</v>
      </c>
      <c r="C231" s="2945"/>
      <c r="D231" s="2945"/>
      <c r="E231" s="2945"/>
      <c r="F231" s="2945">
        <v>1760</v>
      </c>
      <c r="G231" s="2958"/>
    </row>
    <row r="232" spans="1:7" s="2779" customFormat="1" ht="14.25" customHeight="1">
      <c r="A232" s="2945" t="s">
        <v>304</v>
      </c>
      <c r="B232" s="2945" t="s">
        <v>3108</v>
      </c>
      <c r="C232" s="2945"/>
      <c r="D232" s="2945"/>
      <c r="E232" s="2945"/>
      <c r="F232" s="2945">
        <v>1840</v>
      </c>
      <c r="G232" s="2958"/>
    </row>
    <row r="233" spans="1:7" s="2779" customFormat="1" ht="14.25" customHeight="1" thickBot="1">
      <c r="A233" s="2959" t="s">
        <v>304</v>
      </c>
      <c r="B233" s="2952" t="s">
        <v>3039</v>
      </c>
      <c r="C233" s="2952"/>
      <c r="D233" s="2952"/>
      <c r="E233" s="2952"/>
      <c r="F233" s="2952">
        <v>1770</v>
      </c>
      <c r="G233" s="2960"/>
    </row>
    <row r="234" spans="1:7" s="2779" customFormat="1" ht="14.25" customHeight="1">
      <c r="A234" s="2950" t="s">
        <v>305</v>
      </c>
      <c r="B234" s="2941" t="s">
        <v>3109</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2880</v>
      </c>
      <c r="C238" s="2945">
        <v>6920</v>
      </c>
      <c r="D238" s="2945">
        <v>6890</v>
      </c>
      <c r="E238" s="2945">
        <v>8640</v>
      </c>
      <c r="F238" s="2945">
        <v>1310</v>
      </c>
      <c r="G238" s="2945">
        <v>4230</v>
      </c>
    </row>
    <row r="239" spans="1:7" s="2779" customFormat="1" ht="14.25" customHeight="1">
      <c r="A239" s="2945" t="s">
        <v>305</v>
      </c>
      <c r="B239" s="2945" t="s">
        <v>3110</v>
      </c>
      <c r="C239" s="2945">
        <v>6780</v>
      </c>
      <c r="D239" s="2945">
        <v>6750</v>
      </c>
      <c r="E239" s="2945">
        <v>8440</v>
      </c>
      <c r="F239" s="2945">
        <v>1160</v>
      </c>
      <c r="G239" s="2945">
        <v>4140</v>
      </c>
    </row>
    <row r="240" spans="1:7" s="2779" customFormat="1" ht="14.25" customHeight="1">
      <c r="A240" s="2945" t="s">
        <v>305</v>
      </c>
      <c r="B240" s="2945" t="s">
        <v>3111</v>
      </c>
      <c r="C240" s="2945">
        <v>5420</v>
      </c>
      <c r="D240" s="2945">
        <v>5380</v>
      </c>
      <c r="E240" s="2945">
        <v>6640</v>
      </c>
      <c r="F240" s="2945">
        <v>1020</v>
      </c>
      <c r="G240" s="2945">
        <v>3300</v>
      </c>
    </row>
    <row r="241" spans="1:7" s="2779" customFormat="1" ht="14.25" customHeight="1">
      <c r="A241" s="2945" t="s">
        <v>305</v>
      </c>
      <c r="B241" s="2945" t="s">
        <v>3112</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3113</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3114</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3115</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3116</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3117</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2942</v>
      </c>
      <c r="C258" s="2945">
        <v>6190</v>
      </c>
      <c r="D258" s="2945">
        <v>6160</v>
      </c>
      <c r="E258" s="2945">
        <v>7680</v>
      </c>
      <c r="F258" s="2945">
        <v>1170</v>
      </c>
      <c r="G258" s="2945">
        <v>3780</v>
      </c>
    </row>
    <row r="259" spans="1:7" s="2779" customFormat="1" ht="14.25" customHeight="1">
      <c r="A259" s="2945" t="s">
        <v>305</v>
      </c>
      <c r="B259" s="2945" t="s">
        <v>3118</v>
      </c>
      <c r="C259" s="2945">
        <v>7610</v>
      </c>
      <c r="D259" s="2945">
        <v>7570</v>
      </c>
      <c r="E259" s="2945">
        <v>9350</v>
      </c>
      <c r="F259" s="2945">
        <v>1350</v>
      </c>
      <c r="G259" s="2945">
        <v>4650</v>
      </c>
    </row>
    <row r="260" spans="1:7" s="2779" customFormat="1" ht="14.25" customHeight="1">
      <c r="A260" s="2945" t="s">
        <v>305</v>
      </c>
      <c r="B260" s="2945" t="s">
        <v>3119</v>
      </c>
      <c r="C260" s="2945">
        <v>6920</v>
      </c>
      <c r="D260" s="2945">
        <v>6880</v>
      </c>
      <c r="E260" s="2945">
        <v>8380</v>
      </c>
      <c r="F260" s="2945">
        <v>1160</v>
      </c>
      <c r="G260" s="2945">
        <v>4220</v>
      </c>
    </row>
    <row r="261" spans="1:7" s="2779" customFormat="1" ht="14.25" customHeight="1">
      <c r="A261" s="2945" t="s">
        <v>305</v>
      </c>
      <c r="B261" s="2945" t="s">
        <v>3120</v>
      </c>
      <c r="C261" s="2945">
        <v>6850</v>
      </c>
      <c r="D261" s="2945">
        <v>6810</v>
      </c>
      <c r="E261" s="2945">
        <v>8290</v>
      </c>
      <c r="F261" s="2945">
        <v>1130</v>
      </c>
      <c r="G261" s="2945">
        <v>4180</v>
      </c>
    </row>
    <row r="262" spans="1:7" s="2779" customFormat="1" ht="14.25" customHeight="1">
      <c r="A262" s="2945" t="s">
        <v>305</v>
      </c>
      <c r="B262" s="2945" t="s">
        <v>3121</v>
      </c>
      <c r="C262" s="2945">
        <v>5860</v>
      </c>
      <c r="D262" s="2945">
        <v>5820</v>
      </c>
      <c r="E262" s="2945">
        <v>7640</v>
      </c>
      <c r="F262" s="2945">
        <v>1070</v>
      </c>
      <c r="G262" s="2945">
        <v>3570</v>
      </c>
    </row>
    <row r="263" spans="1:7" s="2779" customFormat="1" ht="14.25" customHeight="1">
      <c r="A263" s="2945" t="s">
        <v>305</v>
      </c>
      <c r="B263" s="2945" t="s">
        <v>3122</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3123</v>
      </c>
      <c r="C265" s="2945"/>
      <c r="D265" s="2945"/>
      <c r="E265" s="2945"/>
      <c r="F265" s="2945">
        <v>1500</v>
      </c>
      <c r="G265" s="2945"/>
    </row>
    <row r="266" spans="1:7" s="2779" customFormat="1" ht="14.25" customHeight="1">
      <c r="A266" s="2945" t="s">
        <v>305</v>
      </c>
      <c r="B266" s="2945" t="s">
        <v>3124</v>
      </c>
      <c r="C266" s="2945"/>
      <c r="D266" s="2945"/>
      <c r="E266" s="2945"/>
      <c r="F266" s="2945">
        <v>1500</v>
      </c>
      <c r="G266" s="2945"/>
    </row>
    <row r="267" spans="1:7" s="2779" customFormat="1" ht="14.25" customHeight="1">
      <c r="A267" s="2945" t="s">
        <v>305</v>
      </c>
      <c r="B267" s="2945" t="s">
        <v>3125</v>
      </c>
      <c r="C267" s="2945"/>
      <c r="D267" s="2945"/>
      <c r="E267" s="2945"/>
      <c r="F267" s="2945">
        <v>1500</v>
      </c>
      <c r="G267" s="2945"/>
    </row>
    <row r="268" spans="1:7" s="2779" customFormat="1" ht="14.25" customHeight="1">
      <c r="A268" s="2945" t="s">
        <v>305</v>
      </c>
      <c r="B268" s="2945" t="s">
        <v>3126</v>
      </c>
      <c r="C268" s="2945"/>
      <c r="D268" s="2945"/>
      <c r="E268" s="2945"/>
      <c r="F268" s="2945">
        <v>1290</v>
      </c>
      <c r="G268" s="2945"/>
    </row>
    <row r="269" spans="1:7" s="2779" customFormat="1" ht="14.25" customHeight="1">
      <c r="A269" s="2945" t="s">
        <v>305</v>
      </c>
      <c r="B269" s="2945" t="s">
        <v>3127</v>
      </c>
      <c r="C269" s="2945"/>
      <c r="D269" s="2945"/>
      <c r="E269" s="2945"/>
      <c r="F269" s="2945">
        <v>1150</v>
      </c>
      <c r="G269" s="2945"/>
    </row>
    <row r="270" spans="1:7" s="2779" customFormat="1" ht="14.25" customHeight="1">
      <c r="A270" s="2945" t="s">
        <v>305</v>
      </c>
      <c r="B270" s="2945" t="s">
        <v>3128</v>
      </c>
      <c r="C270" s="2945"/>
      <c r="D270" s="2945"/>
      <c r="E270" s="2945"/>
      <c r="F270" s="2945">
        <v>1380</v>
      </c>
      <c r="G270" s="2945"/>
    </row>
    <row r="271" spans="1:7" s="2779" customFormat="1" ht="14.25" customHeight="1">
      <c r="A271" s="2945" t="s">
        <v>305</v>
      </c>
      <c r="B271" s="2945" t="s">
        <v>3129</v>
      </c>
      <c r="C271" s="2945"/>
      <c r="D271" s="2945"/>
      <c r="E271" s="2945"/>
      <c r="F271" s="2945">
        <v>1460</v>
      </c>
      <c r="G271" s="2945"/>
    </row>
    <row r="272" spans="1:7" s="2779" customFormat="1" ht="14.25" customHeight="1">
      <c r="A272" s="2945" t="s">
        <v>305</v>
      </c>
      <c r="B272" s="2945" t="s">
        <v>3130</v>
      </c>
      <c r="C272" s="2945"/>
      <c r="D272" s="2945"/>
      <c r="E272" s="2945"/>
      <c r="F272" s="2945">
        <v>1460</v>
      </c>
      <c r="G272" s="2945"/>
    </row>
    <row r="273" spans="1:7" s="2779" customFormat="1" ht="14.25" customHeight="1">
      <c r="A273" s="2945" t="s">
        <v>305</v>
      </c>
      <c r="B273" s="2945" t="s">
        <v>3023</v>
      </c>
      <c r="C273" s="2945"/>
      <c r="D273" s="2945"/>
      <c r="E273" s="2945"/>
      <c r="F273" s="2945">
        <v>1490</v>
      </c>
      <c r="G273" s="2945"/>
    </row>
    <row r="274" spans="1:7" s="2779" customFormat="1" ht="14.25" customHeight="1">
      <c r="A274" s="2945" t="s">
        <v>305</v>
      </c>
      <c r="B274" s="2945" t="s">
        <v>3131</v>
      </c>
      <c r="C274" s="2945"/>
      <c r="D274" s="2945"/>
      <c r="E274" s="2945"/>
      <c r="F274" s="2945">
        <v>1490</v>
      </c>
      <c r="G274" s="2945"/>
    </row>
    <row r="275" spans="1:7" s="2779" customFormat="1" ht="14.25" customHeight="1">
      <c r="A275" s="2945" t="s">
        <v>305</v>
      </c>
      <c r="B275" s="2945" t="s">
        <v>3132</v>
      </c>
      <c r="C275" s="2945"/>
      <c r="D275" s="2945"/>
      <c r="E275" s="2945"/>
      <c r="F275" s="2945">
        <v>1220</v>
      </c>
      <c r="G275" s="2945"/>
    </row>
    <row r="276" spans="1:7" s="2779" customFormat="1" ht="14.25" customHeight="1" thickBot="1">
      <c r="A276" s="2953" t="s">
        <v>305</v>
      </c>
      <c r="B276" s="2955" t="s">
        <v>3133</v>
      </c>
      <c r="C276" s="2956"/>
      <c r="D276" s="2956"/>
      <c r="E276" s="2956"/>
      <c r="F276" s="2956">
        <v>1380</v>
      </c>
      <c r="G276" s="2956"/>
    </row>
    <row r="277" spans="1:7" s="2779" customFormat="1" ht="14.25" customHeight="1">
      <c r="A277" s="2950" t="s">
        <v>306</v>
      </c>
      <c r="B277" s="2941" t="s">
        <v>3134</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3135</v>
      </c>
      <c r="C279" s="2945">
        <v>4760</v>
      </c>
      <c r="D279" s="2945">
        <v>4720</v>
      </c>
      <c r="E279" s="2945">
        <v>5540</v>
      </c>
      <c r="F279" s="2945">
        <v>810</v>
      </c>
      <c r="G279" s="2958">
        <v>2850</v>
      </c>
    </row>
    <row r="280" spans="1:7" s="2779" customFormat="1" ht="14.25" customHeight="1">
      <c r="A280" s="2945" t="s">
        <v>306</v>
      </c>
      <c r="B280" s="2945" t="s">
        <v>3136</v>
      </c>
      <c r="C280" s="2945">
        <v>4010</v>
      </c>
      <c r="D280" s="2945">
        <v>3950</v>
      </c>
      <c r="E280" s="2945">
        <v>4710</v>
      </c>
      <c r="F280" s="2945">
        <v>800</v>
      </c>
      <c r="G280" s="2958">
        <v>2390</v>
      </c>
    </row>
    <row r="281" spans="1:7" s="2779" customFormat="1" ht="14.25" customHeight="1">
      <c r="A281" s="2945" t="s">
        <v>306</v>
      </c>
      <c r="B281" s="2945" t="s">
        <v>3137</v>
      </c>
      <c r="C281" s="2945">
        <v>4480</v>
      </c>
      <c r="D281" s="2945">
        <v>4420</v>
      </c>
      <c r="E281" s="2945">
        <v>5230</v>
      </c>
      <c r="F281" s="2945">
        <v>870</v>
      </c>
      <c r="G281" s="2958">
        <v>2660</v>
      </c>
    </row>
    <row r="282" spans="1:7" s="2779" customFormat="1" ht="14.25" customHeight="1">
      <c r="A282" s="2945" t="s">
        <v>306</v>
      </c>
      <c r="B282" s="2945" t="s">
        <v>3138</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3139</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3140</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2915</v>
      </c>
      <c r="C293" s="2945">
        <v>5320</v>
      </c>
      <c r="D293" s="2945">
        <v>5270</v>
      </c>
      <c r="E293" s="2945">
        <v>6160</v>
      </c>
      <c r="F293" s="2945">
        <v>990</v>
      </c>
      <c r="G293" s="2958">
        <v>3170</v>
      </c>
    </row>
    <row r="294" spans="1:7" s="2779" customFormat="1" ht="14.25" customHeight="1">
      <c r="A294" s="2945" t="s">
        <v>306</v>
      </c>
      <c r="B294" s="2945" t="s">
        <v>3141</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2934</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3142</v>
      </c>
      <c r="C302" s="2945">
        <v>5520</v>
      </c>
      <c r="D302" s="2945">
        <v>5470</v>
      </c>
      <c r="E302" s="2945">
        <v>6410</v>
      </c>
      <c r="F302" s="2945">
        <v>950</v>
      </c>
      <c r="G302" s="2958">
        <v>3300</v>
      </c>
    </row>
    <row r="303" spans="1:7" s="2779" customFormat="1" ht="14.25" customHeight="1">
      <c r="A303" s="2945" t="s">
        <v>306</v>
      </c>
      <c r="B303" s="2945" t="s">
        <v>2954</v>
      </c>
      <c r="C303" s="2945">
        <v>5630</v>
      </c>
      <c r="D303" s="2945">
        <v>5590</v>
      </c>
      <c r="E303" s="2945">
        <v>6550</v>
      </c>
      <c r="F303" s="2945">
        <v>1010</v>
      </c>
      <c r="G303" s="2958">
        <v>3370</v>
      </c>
    </row>
    <row r="304" spans="1:7" s="2779" customFormat="1" ht="14.25" customHeight="1">
      <c r="A304" s="2945" t="s">
        <v>306</v>
      </c>
      <c r="B304" s="2945" t="s">
        <v>2961</v>
      </c>
      <c r="C304" s="2945">
        <v>5680</v>
      </c>
      <c r="D304" s="2945">
        <v>5620</v>
      </c>
      <c r="E304" s="2945">
        <v>6620</v>
      </c>
      <c r="F304" s="2945">
        <v>1050</v>
      </c>
      <c r="G304" s="2958">
        <v>3390</v>
      </c>
    </row>
    <row r="305" spans="1:7" s="2779" customFormat="1" ht="14.25" customHeight="1">
      <c r="A305" s="2945" t="s">
        <v>306</v>
      </c>
      <c r="B305" s="2945" t="s">
        <v>2967</v>
      </c>
      <c r="C305" s="2945">
        <v>5590</v>
      </c>
      <c r="D305" s="2945">
        <v>5530</v>
      </c>
      <c r="E305" s="2945">
        <v>6460</v>
      </c>
      <c r="F305" s="2945">
        <v>900</v>
      </c>
      <c r="G305" s="2958">
        <v>3340</v>
      </c>
    </row>
    <row r="306" spans="1:7" s="2779" customFormat="1" ht="14.25" customHeight="1">
      <c r="A306" s="2945" t="s">
        <v>306</v>
      </c>
      <c r="B306" s="2945" t="s">
        <v>3143</v>
      </c>
      <c r="C306" s="2945">
        <v>5560</v>
      </c>
      <c r="D306" s="2945">
        <v>5510</v>
      </c>
      <c r="E306" s="2945">
        <v>6440</v>
      </c>
      <c r="F306" s="2945">
        <v>900</v>
      </c>
      <c r="G306" s="2958">
        <v>3320</v>
      </c>
    </row>
    <row r="307" spans="1:7" s="2779" customFormat="1" ht="14.25" customHeight="1">
      <c r="A307" s="2945" t="s">
        <v>306</v>
      </c>
      <c r="B307" s="2945" t="s">
        <v>2979</v>
      </c>
      <c r="C307" s="2945">
        <v>5650</v>
      </c>
      <c r="D307" s="2945">
        <v>5600</v>
      </c>
      <c r="E307" s="2945">
        <v>6590</v>
      </c>
      <c r="F307" s="2945">
        <v>930</v>
      </c>
      <c r="G307" s="2958">
        <v>3380</v>
      </c>
    </row>
    <row r="308" spans="1:7" s="2779" customFormat="1" ht="14.25" customHeight="1">
      <c r="A308" s="2945" t="s">
        <v>306</v>
      </c>
      <c r="B308" s="2945" t="s">
        <v>3144</v>
      </c>
      <c r="C308" s="2945">
        <v>5620</v>
      </c>
      <c r="D308" s="2945">
        <v>5580</v>
      </c>
      <c r="E308" s="2945">
        <v>6540</v>
      </c>
      <c r="F308" s="2945">
        <v>910</v>
      </c>
      <c r="G308" s="2958">
        <v>3370</v>
      </c>
    </row>
    <row r="309" spans="1:7" s="2779" customFormat="1" ht="14.25" customHeight="1">
      <c r="A309" s="2945" t="s">
        <v>306</v>
      </c>
      <c r="B309" s="2945" t="s">
        <v>3145</v>
      </c>
      <c r="C309" s="2945">
        <v>5060</v>
      </c>
      <c r="D309" s="2945">
        <v>5020</v>
      </c>
      <c r="E309" s="2945">
        <v>6370</v>
      </c>
      <c r="F309" s="2945">
        <v>800</v>
      </c>
      <c r="G309" s="2958">
        <v>3020</v>
      </c>
    </row>
    <row r="310" spans="1:7" s="2779" customFormat="1" ht="14.25" customHeight="1">
      <c r="A310" s="2945" t="s">
        <v>306</v>
      </c>
      <c r="B310" s="2945" t="s">
        <v>2994</v>
      </c>
      <c r="C310" s="2945">
        <v>5150</v>
      </c>
      <c r="D310" s="2945">
        <v>5110</v>
      </c>
      <c r="E310" s="2945">
        <v>6500</v>
      </c>
      <c r="F310" s="2945">
        <v>880</v>
      </c>
      <c r="G310" s="2958">
        <v>3080</v>
      </c>
    </row>
    <row r="311" spans="1:7" s="2779" customFormat="1" ht="14.25" customHeight="1">
      <c r="A311" s="2945" t="s">
        <v>306</v>
      </c>
      <c r="B311" s="2945" t="s">
        <v>3146</v>
      </c>
      <c r="C311" s="2945">
        <v>4750</v>
      </c>
      <c r="D311" s="2945">
        <v>4710</v>
      </c>
      <c r="E311" s="2945">
        <v>5510</v>
      </c>
      <c r="F311" s="2945">
        <v>880</v>
      </c>
      <c r="G311" s="2958">
        <v>2840</v>
      </c>
    </row>
    <row r="312" spans="1:7" s="2779" customFormat="1" ht="14.25" customHeight="1">
      <c r="A312" s="2945" t="s">
        <v>306</v>
      </c>
      <c r="B312" s="2945" t="s">
        <v>3004</v>
      </c>
      <c r="C312" s="2945">
        <v>4690</v>
      </c>
      <c r="D312" s="2945">
        <v>4640</v>
      </c>
      <c r="E312" s="2945">
        <v>5420</v>
      </c>
      <c r="F312" s="2945">
        <v>800</v>
      </c>
      <c r="G312" s="2958">
        <v>2800</v>
      </c>
    </row>
    <row r="313" spans="1:7" s="2779" customFormat="1" ht="14.25" customHeight="1">
      <c r="A313" s="2945" t="s">
        <v>306</v>
      </c>
      <c r="B313" s="2945" t="s">
        <v>3009</v>
      </c>
      <c r="C313" s="2945">
        <v>4810</v>
      </c>
      <c r="D313" s="2945">
        <v>4760</v>
      </c>
      <c r="E313" s="2945">
        <v>5550</v>
      </c>
      <c r="F313" s="2945">
        <v>920</v>
      </c>
      <c r="G313" s="2958">
        <v>2870</v>
      </c>
    </row>
    <row r="314" spans="1:7" s="2779" customFormat="1" ht="14.25" customHeight="1">
      <c r="A314" s="2945" t="s">
        <v>306</v>
      </c>
      <c r="B314" s="2945" t="s">
        <v>3147</v>
      </c>
      <c r="C314" s="2945"/>
      <c r="D314" s="2945"/>
      <c r="E314" s="2945"/>
      <c r="F314" s="2945">
        <v>1020</v>
      </c>
      <c r="G314" s="2958"/>
    </row>
    <row r="315" spans="1:7" s="2779" customFormat="1" ht="14.25" customHeight="1">
      <c r="A315" s="2945" t="s">
        <v>306</v>
      </c>
      <c r="B315" s="2945" t="s">
        <v>3148</v>
      </c>
      <c r="C315" s="2945"/>
      <c r="D315" s="2945"/>
      <c r="E315" s="2945"/>
      <c r="F315" s="2945">
        <v>1050</v>
      </c>
      <c r="G315" s="2958"/>
    </row>
    <row r="316" spans="1:7" s="2779" customFormat="1" ht="14.25" customHeight="1">
      <c r="A316" s="2945" t="s">
        <v>306</v>
      </c>
      <c r="B316" s="2945" t="s">
        <v>3024</v>
      </c>
      <c r="C316" s="2945"/>
      <c r="D316" s="2945"/>
      <c r="E316" s="2945"/>
      <c r="F316" s="2945">
        <v>900</v>
      </c>
      <c r="G316" s="2958"/>
    </row>
    <row r="317" spans="1:7" s="2779" customFormat="1" ht="14.25" customHeight="1">
      <c r="A317" s="2945" t="s">
        <v>306</v>
      </c>
      <c r="B317" s="2945" t="s">
        <v>3149</v>
      </c>
      <c r="C317" s="2945"/>
      <c r="D317" s="2945"/>
      <c r="E317" s="2945"/>
      <c r="F317" s="2945">
        <v>920</v>
      </c>
      <c r="G317" s="2958"/>
    </row>
    <row r="318" spans="1:7" s="2779" customFormat="1" ht="14.25" customHeight="1">
      <c r="A318" s="2945" t="s">
        <v>306</v>
      </c>
      <c r="B318" s="2945" t="s">
        <v>3150</v>
      </c>
      <c r="C318" s="2945"/>
      <c r="D318" s="2945"/>
      <c r="E318" s="2945"/>
      <c r="F318" s="2945">
        <v>1080</v>
      </c>
      <c r="G318" s="2958"/>
    </row>
    <row r="319" spans="1:7" s="2779" customFormat="1" ht="14.25" customHeight="1">
      <c r="A319" s="2945" t="s">
        <v>306</v>
      </c>
      <c r="B319" s="2945" t="s">
        <v>3037</v>
      </c>
      <c r="C319" s="2945"/>
      <c r="D319" s="2945"/>
      <c r="E319" s="2945"/>
      <c r="F319" s="2945">
        <v>1020</v>
      </c>
      <c r="G319" s="2958"/>
    </row>
    <row r="320" spans="1:7" s="2779" customFormat="1" ht="14.25" customHeight="1">
      <c r="A320" s="2945" t="s">
        <v>306</v>
      </c>
      <c r="B320" s="2945" t="s">
        <v>3040</v>
      </c>
      <c r="C320" s="2945"/>
      <c r="D320" s="2945"/>
      <c r="E320" s="2945"/>
      <c r="F320" s="2945">
        <v>1050</v>
      </c>
      <c r="G320" s="2958"/>
    </row>
    <row r="321" spans="1:7" s="2779" customFormat="1" ht="14.25" customHeight="1">
      <c r="A321" s="2945" t="s">
        <v>306</v>
      </c>
      <c r="B321" s="2945" t="s">
        <v>3042</v>
      </c>
      <c r="C321" s="2945"/>
      <c r="D321" s="2945"/>
      <c r="E321" s="2945"/>
      <c r="F321" s="2945">
        <v>960</v>
      </c>
      <c r="G321" s="2958"/>
    </row>
    <row r="322" spans="1:7" s="2779" customFormat="1" ht="14.25" customHeight="1">
      <c r="A322" s="2945" t="s">
        <v>306</v>
      </c>
      <c r="B322" s="2945" t="s">
        <v>3044</v>
      </c>
      <c r="C322" s="2945"/>
      <c r="D322" s="2945"/>
      <c r="E322" s="2945"/>
      <c r="F322" s="2945">
        <v>960</v>
      </c>
      <c r="G322" s="2958"/>
    </row>
    <row r="323" spans="1:7" s="2779" customFormat="1" ht="14.25" customHeight="1">
      <c r="A323" s="2945" t="s">
        <v>306</v>
      </c>
      <c r="B323" s="2945" t="s">
        <v>3046</v>
      </c>
      <c r="C323" s="2945"/>
      <c r="D323" s="2945"/>
      <c r="E323" s="2945"/>
      <c r="F323" s="2945">
        <v>880</v>
      </c>
      <c r="G323" s="2958"/>
    </row>
    <row r="324" spans="1:7" s="2779" customFormat="1" ht="14.25" customHeight="1">
      <c r="A324" s="2945" t="s">
        <v>306</v>
      </c>
      <c r="B324" s="2945" t="s">
        <v>3048</v>
      </c>
      <c r="C324" s="2945"/>
      <c r="D324" s="2945"/>
      <c r="E324" s="2945"/>
      <c r="F324" s="2945">
        <v>930</v>
      </c>
      <c r="G324" s="2958"/>
    </row>
    <row r="325" spans="1:7" s="2779" customFormat="1" ht="14.25" customHeight="1">
      <c r="A325" s="2945" t="s">
        <v>306</v>
      </c>
      <c r="B325" s="2946" t="s">
        <v>3050</v>
      </c>
      <c r="C325" s="2945"/>
      <c r="D325" s="2945"/>
      <c r="E325" s="2945"/>
      <c r="F325" s="2945">
        <v>900</v>
      </c>
      <c r="G325" s="2958"/>
    </row>
    <row r="326" spans="1:7" s="2779" customFormat="1" ht="14.25" customHeight="1" thickBot="1">
      <c r="A326" s="2959" t="s">
        <v>306</v>
      </c>
      <c r="B326" s="2952" t="s">
        <v>3052</v>
      </c>
      <c r="C326" s="2952"/>
      <c r="D326" s="2952"/>
      <c r="E326" s="2952"/>
      <c r="F326" s="2952">
        <v>790</v>
      </c>
      <c r="G326" s="2960"/>
    </row>
    <row r="327" spans="1:7" s="2779" customFormat="1" ht="14.25" customHeight="1">
      <c r="A327" s="2950" t="s">
        <v>307</v>
      </c>
      <c r="B327" s="2941" t="s">
        <v>3151</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3152</v>
      </c>
      <c r="C329" s="2945">
        <v>2730</v>
      </c>
      <c r="D329" s="2945">
        <v>2690</v>
      </c>
      <c r="E329" s="2945">
        <v>3100</v>
      </c>
      <c r="F329" s="2945">
        <v>660</v>
      </c>
      <c r="G329" s="2945">
        <v>1610</v>
      </c>
    </row>
    <row r="330" spans="1:7" s="2779" customFormat="1" ht="14.25" customHeight="1">
      <c r="A330" s="2945" t="s">
        <v>307</v>
      </c>
      <c r="B330" s="2945" t="s">
        <v>3153</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2886</v>
      </c>
      <c r="C332" s="2945">
        <v>3520</v>
      </c>
      <c r="D332" s="2945">
        <v>3480</v>
      </c>
      <c r="E332" s="2945">
        <v>3830</v>
      </c>
      <c r="F332" s="2945">
        <v>720</v>
      </c>
      <c r="G332" s="2945">
        <v>2090</v>
      </c>
    </row>
    <row r="333" spans="1:7" s="2779" customFormat="1" ht="14.25" customHeight="1">
      <c r="A333" s="2945" t="s">
        <v>307</v>
      </c>
      <c r="B333" s="2945" t="s">
        <v>3154</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2896</v>
      </c>
      <c r="C336" s="2945">
        <v>3570</v>
      </c>
      <c r="D336" s="2945">
        <v>3530</v>
      </c>
      <c r="E336" s="2945">
        <v>3880</v>
      </c>
      <c r="F336" s="2945">
        <v>770</v>
      </c>
      <c r="G336" s="2945">
        <v>2110</v>
      </c>
    </row>
    <row r="337" spans="1:10" s="2779" customFormat="1" ht="14.25" customHeight="1">
      <c r="A337" s="2945" t="s">
        <v>307</v>
      </c>
      <c r="B337" s="2945" t="s">
        <v>3155</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3156</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3157</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2921</v>
      </c>
      <c r="C345" s="2945">
        <v>3190</v>
      </c>
      <c r="D345" s="2945">
        <v>3140</v>
      </c>
      <c r="E345" s="2945">
        <v>3450</v>
      </c>
      <c r="F345" s="2945">
        <v>720</v>
      </c>
      <c r="G345" s="2945">
        <v>1880</v>
      </c>
      <c r="J345" s="2779"/>
    </row>
    <row r="346" spans="1:10">
      <c r="A346" s="2945" t="s">
        <v>307</v>
      </c>
      <c r="B346" s="2945" t="s">
        <v>3158</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2930</v>
      </c>
      <c r="C348" s="2945">
        <v>4000</v>
      </c>
      <c r="D348" s="2945">
        <v>3950</v>
      </c>
      <c r="E348" s="2945">
        <v>4430</v>
      </c>
      <c r="F348" s="2945">
        <v>760</v>
      </c>
      <c r="G348" s="2945">
        <v>2360</v>
      </c>
      <c r="J348" s="2779"/>
    </row>
    <row r="349" spans="1:10">
      <c r="A349" s="2945" t="s">
        <v>307</v>
      </c>
      <c r="B349" s="2945" t="s">
        <v>2935</v>
      </c>
      <c r="C349" s="2945">
        <v>3820</v>
      </c>
      <c r="D349" s="2945">
        <v>3780</v>
      </c>
      <c r="E349" s="2945">
        <v>4170</v>
      </c>
      <c r="F349" s="2945">
        <v>710</v>
      </c>
      <c r="G349" s="2945">
        <v>2260</v>
      </c>
      <c r="J349" s="2779"/>
    </row>
    <row r="350" spans="1:10">
      <c r="A350" s="2945" t="s">
        <v>307</v>
      </c>
      <c r="B350" s="2945" t="s">
        <v>3159</v>
      </c>
      <c r="C350" s="2945">
        <v>3760</v>
      </c>
      <c r="D350" s="2945">
        <v>3730</v>
      </c>
      <c r="E350" s="2945">
        <v>4100</v>
      </c>
      <c r="F350" s="2945">
        <v>800</v>
      </c>
      <c r="G350" s="2945">
        <v>2230</v>
      </c>
      <c r="J350" s="2779"/>
    </row>
    <row r="351" spans="1:10">
      <c r="A351" s="2945" t="s">
        <v>307</v>
      </c>
      <c r="B351" s="2945" t="s">
        <v>2943</v>
      </c>
      <c r="C351" s="2945">
        <v>3610</v>
      </c>
      <c r="D351" s="2945">
        <v>3580</v>
      </c>
      <c r="E351" s="2945">
        <v>3930</v>
      </c>
      <c r="F351" s="2945">
        <v>700</v>
      </c>
      <c r="G351" s="2945">
        <v>2140</v>
      </c>
      <c r="J351" s="2779"/>
    </row>
    <row r="352" spans="1:10">
      <c r="A352" s="2945" t="s">
        <v>307</v>
      </c>
      <c r="B352" s="2945" t="s">
        <v>2948</v>
      </c>
      <c r="C352" s="2945">
        <v>3670</v>
      </c>
      <c r="D352" s="2945">
        <v>3630</v>
      </c>
      <c r="E352" s="2945">
        <v>4000</v>
      </c>
      <c r="F352" s="2945">
        <v>750</v>
      </c>
      <c r="G352" s="2945">
        <v>2180</v>
      </c>
    </row>
    <row r="353" spans="1:7" s="2780" customFormat="1">
      <c r="A353" s="2945" t="s">
        <v>307</v>
      </c>
      <c r="B353" s="2945" t="s">
        <v>3160</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2968</v>
      </c>
      <c r="C355" s="2945">
        <v>3650</v>
      </c>
      <c r="D355" s="2945">
        <v>3610</v>
      </c>
      <c r="E355" s="2945">
        <v>4200</v>
      </c>
      <c r="F355" s="2945">
        <v>640</v>
      </c>
      <c r="G355" s="2945">
        <v>2160</v>
      </c>
    </row>
    <row r="356" spans="1:7" s="2780" customFormat="1">
      <c r="A356" s="2945" t="s">
        <v>307</v>
      </c>
      <c r="B356" s="2945" t="s">
        <v>2975</v>
      </c>
      <c r="C356" s="2945">
        <v>3260</v>
      </c>
      <c r="D356" s="2945">
        <v>3230</v>
      </c>
      <c r="E356" s="2945">
        <v>3740</v>
      </c>
      <c r="F356" s="2945">
        <v>600</v>
      </c>
      <c r="G356" s="2945">
        <v>1930</v>
      </c>
    </row>
    <row r="357" spans="1:7" s="2780" customFormat="1" ht="11.4" thickBot="1">
      <c r="A357" s="2953" t="s">
        <v>307</v>
      </c>
      <c r="B357" s="2956" t="s">
        <v>3161</v>
      </c>
      <c r="C357" s="2956">
        <v>3690</v>
      </c>
      <c r="D357" s="2956">
        <v>3650</v>
      </c>
      <c r="E357" s="2956">
        <v>4020</v>
      </c>
      <c r="F357" s="2956">
        <v>700</v>
      </c>
      <c r="G357" s="2956">
        <v>2190</v>
      </c>
    </row>
    <row r="358" spans="1:7" s="2780" customFormat="1">
      <c r="A358" s="2950" t="s">
        <v>3162</v>
      </c>
      <c r="B358" s="2941" t="s">
        <v>3163</v>
      </c>
      <c r="C358" s="2941">
        <v>2080</v>
      </c>
      <c r="D358" s="2941">
        <v>2040</v>
      </c>
      <c r="E358" s="2941">
        <v>2010</v>
      </c>
      <c r="F358" s="2941">
        <v>530</v>
      </c>
      <c r="G358" s="2957">
        <v>1230</v>
      </c>
    </row>
    <row r="359" spans="1:7" s="2780" customFormat="1">
      <c r="A359" s="2945" t="s">
        <v>3162</v>
      </c>
      <c r="B359" s="2945" t="s">
        <v>3164</v>
      </c>
      <c r="C359" s="2945">
        <v>1850</v>
      </c>
      <c r="D359" s="2945">
        <v>1820</v>
      </c>
      <c r="E359" s="2945">
        <v>1780</v>
      </c>
      <c r="F359" s="2945">
        <v>520</v>
      </c>
      <c r="G359" s="2958">
        <v>1100</v>
      </c>
    </row>
    <row r="360" spans="1:7" s="2780" customFormat="1">
      <c r="A360" s="2945" t="s">
        <v>3162</v>
      </c>
      <c r="B360" s="2945" t="s">
        <v>3165</v>
      </c>
      <c r="C360" s="2945">
        <v>2020</v>
      </c>
      <c r="D360" s="2945">
        <v>1990</v>
      </c>
      <c r="E360" s="2945">
        <v>1950</v>
      </c>
      <c r="F360" s="2945">
        <v>500</v>
      </c>
      <c r="G360" s="2958">
        <v>1200</v>
      </c>
    </row>
    <row r="361" spans="1:7" s="2780" customFormat="1">
      <c r="A361" s="2945" t="s">
        <v>3162</v>
      </c>
      <c r="B361" s="2945" t="s">
        <v>153</v>
      </c>
      <c r="C361" s="2945">
        <v>2260</v>
      </c>
      <c r="D361" s="2945">
        <v>2220</v>
      </c>
      <c r="E361" s="2945">
        <v>2180</v>
      </c>
      <c r="F361" s="2945">
        <v>580</v>
      </c>
      <c r="G361" s="2958">
        <v>1340</v>
      </c>
    </row>
    <row r="362" spans="1:7" s="2780" customFormat="1">
      <c r="A362" s="2945" t="s">
        <v>3162</v>
      </c>
      <c r="B362" s="2945" t="s">
        <v>3166</v>
      </c>
      <c r="C362" s="2945">
        <v>2650</v>
      </c>
      <c r="D362" s="2945">
        <v>2610</v>
      </c>
      <c r="E362" s="2945">
        <v>2570</v>
      </c>
      <c r="F362" s="2945">
        <v>630</v>
      </c>
      <c r="G362" s="2958">
        <v>1570</v>
      </c>
    </row>
    <row r="363" spans="1:7" s="2780" customFormat="1">
      <c r="A363" s="2945" t="s">
        <v>3162</v>
      </c>
      <c r="B363" s="2945" t="s">
        <v>2887</v>
      </c>
      <c r="C363" s="2945">
        <v>2390</v>
      </c>
      <c r="D363" s="2945">
        <v>2360</v>
      </c>
      <c r="E363" s="2945">
        <v>2320</v>
      </c>
      <c r="F363" s="2945">
        <v>600</v>
      </c>
      <c r="G363" s="2958">
        <v>1420</v>
      </c>
    </row>
    <row r="364" spans="1:7" s="2780" customFormat="1">
      <c r="A364" s="2945" t="s">
        <v>3162</v>
      </c>
      <c r="B364" s="2945" t="s">
        <v>3167</v>
      </c>
      <c r="C364" s="2945">
        <v>2050</v>
      </c>
      <c r="D364" s="2945">
        <v>2030</v>
      </c>
      <c r="E364" s="2945">
        <v>1990</v>
      </c>
      <c r="F364" s="2945">
        <v>550</v>
      </c>
      <c r="G364" s="2958">
        <v>1220</v>
      </c>
    </row>
    <row r="365" spans="1:7" s="2780" customFormat="1">
      <c r="A365" s="2945" t="s">
        <v>3162</v>
      </c>
      <c r="B365" s="2945" t="s">
        <v>200</v>
      </c>
      <c r="C365" s="2945">
        <v>2140</v>
      </c>
      <c r="D365" s="2945">
        <v>2100</v>
      </c>
      <c r="E365" s="2945">
        <v>2060</v>
      </c>
      <c r="F365" s="2945">
        <v>540</v>
      </c>
      <c r="G365" s="2958">
        <v>1270</v>
      </c>
    </row>
    <row r="366" spans="1:7" s="2780" customFormat="1">
      <c r="A366" s="2945" t="s">
        <v>3162</v>
      </c>
      <c r="B366" s="2945" t="s">
        <v>2894</v>
      </c>
      <c r="C366" s="2945">
        <v>2410</v>
      </c>
      <c r="D366" s="2945">
        <v>2370</v>
      </c>
      <c r="E366" s="2945">
        <v>2330</v>
      </c>
      <c r="F366" s="2945">
        <v>570</v>
      </c>
      <c r="G366" s="2958">
        <v>1440</v>
      </c>
    </row>
    <row r="367" spans="1:7" s="2780" customFormat="1">
      <c r="A367" s="2945" t="s">
        <v>3162</v>
      </c>
      <c r="B367" s="2945" t="s">
        <v>3168</v>
      </c>
      <c r="C367" s="2945">
        <v>2300</v>
      </c>
      <c r="D367" s="2945">
        <v>2260</v>
      </c>
      <c r="E367" s="2945">
        <v>2220</v>
      </c>
      <c r="F367" s="2945">
        <v>560</v>
      </c>
      <c r="G367" s="2958">
        <v>1370</v>
      </c>
    </row>
    <row r="368" spans="1:7" s="2780" customFormat="1">
      <c r="A368" s="2945" t="s">
        <v>3162</v>
      </c>
      <c r="B368" s="2945" t="s">
        <v>3169</v>
      </c>
      <c r="C368" s="2945">
        <v>2430</v>
      </c>
      <c r="D368" s="2945">
        <v>2390</v>
      </c>
      <c r="E368" s="2945">
        <v>2350</v>
      </c>
      <c r="F368" s="2945">
        <v>570</v>
      </c>
      <c r="G368" s="2958">
        <v>1450</v>
      </c>
    </row>
    <row r="369" spans="1:7" s="2780" customFormat="1">
      <c r="A369" s="2945" t="s">
        <v>3162</v>
      </c>
      <c r="B369" s="2945" t="s">
        <v>214</v>
      </c>
      <c r="C369" s="2945">
        <v>2320</v>
      </c>
      <c r="D369" s="2945">
        <v>2290</v>
      </c>
      <c r="E369" s="2945">
        <v>2250</v>
      </c>
      <c r="F369" s="2945">
        <v>550</v>
      </c>
      <c r="G369" s="2958">
        <v>1380</v>
      </c>
    </row>
    <row r="370" spans="1:7" s="2780" customFormat="1">
      <c r="A370" s="2945" t="s">
        <v>3162</v>
      </c>
      <c r="B370" s="2945" t="s">
        <v>221</v>
      </c>
      <c r="C370" s="2945">
        <v>2190</v>
      </c>
      <c r="D370" s="2945">
        <v>2170</v>
      </c>
      <c r="E370" s="2945">
        <v>2130</v>
      </c>
      <c r="F370" s="2945">
        <v>530</v>
      </c>
      <c r="G370" s="2958">
        <v>1310</v>
      </c>
    </row>
    <row r="371" spans="1:7" s="2780" customFormat="1">
      <c r="A371" s="2945" t="s">
        <v>3162</v>
      </c>
      <c r="B371" s="2945" t="s">
        <v>229</v>
      </c>
      <c r="C371" s="2945">
        <v>2460</v>
      </c>
      <c r="D371" s="2945">
        <v>2420</v>
      </c>
      <c r="E371" s="2945">
        <v>2370</v>
      </c>
      <c r="F371" s="2945">
        <v>560</v>
      </c>
      <c r="G371" s="2958">
        <v>1470</v>
      </c>
    </row>
    <row r="372" spans="1:7" s="2780" customFormat="1">
      <c r="A372" s="2945" t="s">
        <v>3162</v>
      </c>
      <c r="B372" s="2945" t="s">
        <v>3170</v>
      </c>
      <c r="C372" s="2945">
        <v>2250</v>
      </c>
      <c r="D372" s="2945">
        <v>2210</v>
      </c>
      <c r="E372" s="2945">
        <v>2180</v>
      </c>
      <c r="F372" s="2945">
        <v>550</v>
      </c>
      <c r="G372" s="2958">
        <v>1340</v>
      </c>
    </row>
    <row r="373" spans="1:7" s="2780" customFormat="1">
      <c r="A373" s="2945" t="s">
        <v>3162</v>
      </c>
      <c r="B373" s="2945" t="s">
        <v>258</v>
      </c>
      <c r="C373" s="2945">
        <v>2210</v>
      </c>
      <c r="D373" s="2945">
        <v>2190</v>
      </c>
      <c r="E373" s="2945">
        <v>2150</v>
      </c>
      <c r="F373" s="2945">
        <v>530</v>
      </c>
      <c r="G373" s="2958">
        <v>1320</v>
      </c>
    </row>
    <row r="374" spans="1:7" s="2780" customFormat="1">
      <c r="A374" s="2945" t="s">
        <v>3162</v>
      </c>
      <c r="B374" s="2945" t="s">
        <v>266</v>
      </c>
      <c r="C374" s="2945">
        <v>2320</v>
      </c>
      <c r="D374" s="2945">
        <v>2280</v>
      </c>
      <c r="E374" s="2945">
        <v>2230</v>
      </c>
      <c r="F374" s="2945">
        <v>580</v>
      </c>
      <c r="G374" s="2958">
        <v>1380</v>
      </c>
    </row>
    <row r="375" spans="1:7" s="2780" customFormat="1">
      <c r="A375" s="2945" t="s">
        <v>3162</v>
      </c>
      <c r="B375" s="2945" t="s">
        <v>3171</v>
      </c>
      <c r="C375" s="2945">
        <v>2090</v>
      </c>
      <c r="D375" s="2945">
        <v>2050</v>
      </c>
      <c r="E375" s="2945">
        <v>2020</v>
      </c>
      <c r="F375" s="2945">
        <v>520</v>
      </c>
      <c r="G375" s="2958">
        <v>1240</v>
      </c>
    </row>
    <row r="376" spans="1:7" s="2780" customFormat="1">
      <c r="A376" s="2945" t="s">
        <v>3162</v>
      </c>
      <c r="B376" s="2945" t="s">
        <v>277</v>
      </c>
      <c r="C376" s="2945">
        <v>2010</v>
      </c>
      <c r="D376" s="2945">
        <v>1980</v>
      </c>
      <c r="E376" s="2945">
        <v>1940</v>
      </c>
      <c r="F376" s="2945">
        <v>540</v>
      </c>
      <c r="G376" s="2958">
        <v>1190</v>
      </c>
    </row>
    <row r="377" spans="1:7" s="2780" customFormat="1" ht="11.4" thickBot="1">
      <c r="A377" s="2953" t="s">
        <v>3162</v>
      </c>
      <c r="B377" s="2956" t="s">
        <v>2924</v>
      </c>
      <c r="C377" s="2956">
        <v>1930</v>
      </c>
      <c r="D377" s="2956">
        <v>1890</v>
      </c>
      <c r="E377" s="2956">
        <v>1860</v>
      </c>
      <c r="F377" s="2956">
        <v>530</v>
      </c>
      <c r="G377" s="2961">
        <v>1150</v>
      </c>
    </row>
    <row r="378" spans="1:7" s="2780" customFormat="1">
      <c r="A378" s="2962" t="s">
        <v>3172</v>
      </c>
      <c r="B378" s="2941" t="s">
        <v>3173</v>
      </c>
      <c r="C378" s="2941">
        <v>1520</v>
      </c>
      <c r="D378" s="2941">
        <v>1490</v>
      </c>
      <c r="E378" s="2941">
        <v>1460</v>
      </c>
      <c r="F378" s="2941">
        <v>460</v>
      </c>
      <c r="G378" s="2957">
        <v>940</v>
      </c>
    </row>
    <row r="379" spans="1:7" s="2780" customFormat="1">
      <c r="A379" s="2963" t="s">
        <v>3172</v>
      </c>
      <c r="B379" s="2945" t="s">
        <v>3174</v>
      </c>
      <c r="C379" s="2945">
        <v>1500</v>
      </c>
      <c r="D379" s="2945">
        <v>1470</v>
      </c>
      <c r="E379" s="2945">
        <v>1430</v>
      </c>
      <c r="F379" s="2945">
        <v>460</v>
      </c>
      <c r="G379" s="2958">
        <v>920</v>
      </c>
    </row>
    <row r="380" spans="1:7" s="2780" customFormat="1">
      <c r="A380" s="2963" t="s">
        <v>3172</v>
      </c>
      <c r="B380" s="2945" t="s">
        <v>3175</v>
      </c>
      <c r="C380" s="2945">
        <v>1620</v>
      </c>
      <c r="D380" s="2945">
        <v>1590</v>
      </c>
      <c r="E380" s="2945">
        <v>1560</v>
      </c>
      <c r="F380" s="2945">
        <v>480</v>
      </c>
      <c r="G380" s="2958">
        <v>1000</v>
      </c>
    </row>
    <row r="381" spans="1:7" s="2780" customFormat="1">
      <c r="A381" s="2963" t="s">
        <v>3172</v>
      </c>
      <c r="B381" s="2945" t="s">
        <v>3176</v>
      </c>
      <c r="C381" s="2945">
        <v>1460</v>
      </c>
      <c r="D381" s="2945">
        <v>1430</v>
      </c>
      <c r="E381" s="2945">
        <v>1390</v>
      </c>
      <c r="F381" s="2945">
        <v>450</v>
      </c>
      <c r="G381" s="2958">
        <v>900</v>
      </c>
    </row>
    <row r="382" spans="1:7" s="2780" customFormat="1">
      <c r="A382" s="2963" t="s">
        <v>3172</v>
      </c>
      <c r="B382" s="2945" t="s">
        <v>3177</v>
      </c>
      <c r="C382" s="2945">
        <v>1310</v>
      </c>
      <c r="D382" s="2945">
        <v>1280</v>
      </c>
      <c r="E382" s="2945">
        <v>1250</v>
      </c>
      <c r="F382" s="2945">
        <v>440</v>
      </c>
      <c r="G382" s="2958">
        <v>800</v>
      </c>
    </row>
    <row r="383" spans="1:7" s="2780" customFormat="1">
      <c r="A383" s="2963" t="s">
        <v>3172</v>
      </c>
      <c r="B383" s="2945" t="s">
        <v>3178</v>
      </c>
      <c r="C383" s="2945">
        <v>1260</v>
      </c>
      <c r="D383" s="2945">
        <v>1230</v>
      </c>
      <c r="E383" s="2945">
        <v>1200</v>
      </c>
      <c r="F383" s="2945">
        <v>420</v>
      </c>
      <c r="G383" s="2958">
        <v>770</v>
      </c>
    </row>
    <row r="384" spans="1:7" s="2780" customFormat="1" ht="11.4" thickBot="1">
      <c r="A384" s="2964" t="s">
        <v>3172</v>
      </c>
      <c r="B384" s="2952" t="s">
        <v>3179</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2965" customWidth="1"/>
    <col min="2" max="2" width="20" style="2965" customWidth="1"/>
    <col min="3" max="7" width="8.88671875" style="2965"/>
    <col min="8" max="16384" width="8.88671875" style="2811"/>
  </cols>
  <sheetData>
    <row r="1" spans="1:7">
      <c r="A1" s="3509" t="s">
        <v>3180</v>
      </c>
      <c r="B1" s="3509"/>
    </row>
    <row r="2" spans="1:7" ht="15" thickBot="1">
      <c r="A2" s="2966"/>
      <c r="B2" s="2966"/>
    </row>
    <row r="3" spans="1:7" ht="15" thickBot="1">
      <c r="A3" s="2966"/>
      <c r="B3" s="2966"/>
      <c r="C3" s="2967" t="s">
        <v>2810</v>
      </c>
      <c r="D3" s="2967" t="s">
        <v>2866</v>
      </c>
      <c r="E3" s="2967" t="s">
        <v>2812</v>
      </c>
      <c r="F3" s="2967" t="s">
        <v>2867</v>
      </c>
      <c r="G3" s="2967" t="s">
        <v>2630</v>
      </c>
    </row>
    <row r="4" spans="1:7" ht="15" thickBot="1">
      <c r="A4" s="2968" t="s">
        <v>2865</v>
      </c>
      <c r="B4" s="2969" t="s">
        <v>2871</v>
      </c>
      <c r="C4" s="2967"/>
      <c r="D4" s="2967"/>
      <c r="E4" s="2967"/>
      <c r="F4" s="2967"/>
      <c r="G4" s="2967"/>
    </row>
    <row r="5" spans="1:7">
      <c r="A5" s="2970" t="s">
        <v>2839</v>
      </c>
      <c r="B5" s="2971" t="s">
        <v>2853</v>
      </c>
      <c r="C5" s="2972">
        <v>9.8000000000000004E-2</v>
      </c>
      <c r="D5" s="2972">
        <v>8.6999999999999994E-2</v>
      </c>
      <c r="E5" s="2972">
        <v>8.6999999999999994E-2</v>
      </c>
      <c r="F5" s="2972">
        <v>9.8000000000000004E-2</v>
      </c>
      <c r="G5" s="2973">
        <v>9.5000000000000001E-2</v>
      </c>
    </row>
    <row r="6" spans="1:7">
      <c r="A6" s="2974" t="s">
        <v>144</v>
      </c>
      <c r="B6" s="2975" t="s">
        <v>2868</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5" thickBot="1">
      <c r="A9" s="2978" t="s">
        <v>144</v>
      </c>
      <c r="B9" s="2979" t="s">
        <v>154</v>
      </c>
      <c r="C9" s="2980">
        <v>0.1</v>
      </c>
      <c r="D9" s="2980">
        <v>0.1</v>
      </c>
      <c r="E9" s="2980">
        <v>0.1</v>
      </c>
      <c r="F9" s="2981"/>
      <c r="G9" s="2982">
        <v>0.1</v>
      </c>
    </row>
    <row r="10" spans="1:7">
      <c r="A10" s="2970" t="s">
        <v>184</v>
      </c>
      <c r="B10" s="2971" t="s">
        <v>2854</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2904</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5" thickBot="1">
      <c r="A29" s="2978" t="s">
        <v>184</v>
      </c>
      <c r="B29" s="2979" t="s">
        <v>2922</v>
      </c>
      <c r="C29" s="2984"/>
      <c r="D29" s="2980">
        <v>5.1999999999999998E-2</v>
      </c>
      <c r="E29" s="2980">
        <v>7.0000000000000007E-2</v>
      </c>
      <c r="F29" s="2984"/>
      <c r="G29" s="2982">
        <v>7.0999999999999994E-2</v>
      </c>
    </row>
    <row r="30" spans="1:7">
      <c r="A30" s="2985" t="s">
        <v>296</v>
      </c>
      <c r="B30" s="2971" t="s">
        <v>2855</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2841</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2925</v>
      </c>
      <c r="C50" s="2976">
        <v>9.8000000000000004E-2</v>
      </c>
      <c r="D50" s="2976">
        <v>7.2999999999999995E-2</v>
      </c>
      <c r="E50" s="2976">
        <v>7.0999999999999994E-2</v>
      </c>
      <c r="F50" s="2987"/>
      <c r="G50" s="2977">
        <v>7.2999999999999995E-2</v>
      </c>
    </row>
    <row r="51" spans="1:7">
      <c r="A51" s="2986" t="s">
        <v>296</v>
      </c>
      <c r="B51" s="2975" t="s">
        <v>2927</v>
      </c>
      <c r="C51" s="2976">
        <v>9.9000000000000005E-2</v>
      </c>
      <c r="D51" s="2976">
        <v>8.5000000000000006E-2</v>
      </c>
      <c r="E51" s="2976">
        <v>6.3E-2</v>
      </c>
      <c r="F51" s="2987"/>
      <c r="G51" s="2977">
        <v>9.6000000000000002E-2</v>
      </c>
    </row>
    <row r="52" spans="1:7">
      <c r="A52" s="2986" t="s">
        <v>296</v>
      </c>
      <c r="B52" s="2975" t="s">
        <v>2931</v>
      </c>
      <c r="C52" s="2976">
        <v>7.3999999999999996E-2</v>
      </c>
      <c r="D52" s="2976">
        <v>9.6000000000000002E-2</v>
      </c>
      <c r="E52" s="2976">
        <v>0.05</v>
      </c>
      <c r="F52" s="2987"/>
      <c r="G52" s="2977">
        <v>9.8000000000000004E-2</v>
      </c>
    </row>
    <row r="53" spans="1:7">
      <c r="A53" s="2986" t="s">
        <v>296</v>
      </c>
      <c r="B53" s="2975" t="s">
        <v>2936</v>
      </c>
      <c r="C53" s="2976">
        <v>8.5999999999999993E-2</v>
      </c>
      <c r="D53" s="2987"/>
      <c r="E53" s="2976">
        <v>9.1999999999999998E-2</v>
      </c>
      <c r="F53" s="2987"/>
      <c r="G53" s="2988"/>
    </row>
    <row r="54" spans="1:7" ht="15" thickBot="1">
      <c r="A54" s="2989" t="s">
        <v>296</v>
      </c>
      <c r="B54" s="2979" t="s">
        <v>2939</v>
      </c>
      <c r="C54" s="2980">
        <v>9.6000000000000002E-2</v>
      </c>
      <c r="D54" s="2981"/>
      <c r="E54" s="2990"/>
      <c r="F54" s="2981"/>
      <c r="G54" s="2991"/>
    </row>
    <row r="55" spans="1:7">
      <c r="A55" s="2985" t="s">
        <v>110</v>
      </c>
      <c r="B55" s="2971" t="s">
        <v>2856</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2937</v>
      </c>
      <c r="C78" s="2976">
        <v>0.1</v>
      </c>
      <c r="D78" s="2976">
        <v>8.5000000000000006E-2</v>
      </c>
      <c r="E78" s="2976">
        <v>9.6000000000000002E-2</v>
      </c>
      <c r="F78" s="2987"/>
      <c r="G78" s="2977">
        <v>9.6000000000000002E-2</v>
      </c>
    </row>
    <row r="79" spans="1:7">
      <c r="A79" s="2986" t="s">
        <v>110</v>
      </c>
      <c r="B79" s="2975" t="s">
        <v>2940</v>
      </c>
      <c r="C79" s="2976">
        <v>0.05</v>
      </c>
      <c r="D79" s="2976">
        <v>9.6000000000000002E-2</v>
      </c>
      <c r="E79" s="2976">
        <v>9.5000000000000001E-2</v>
      </c>
      <c r="F79" s="2987"/>
      <c r="G79" s="2977">
        <v>9.8000000000000004E-2</v>
      </c>
    </row>
    <row r="80" spans="1:7">
      <c r="A80" s="2986" t="s">
        <v>110</v>
      </c>
      <c r="B80" s="2975" t="s">
        <v>2944</v>
      </c>
      <c r="C80" s="2976">
        <v>8.5999999999999993E-2</v>
      </c>
      <c r="D80" s="2992"/>
      <c r="E80" s="2976">
        <v>0.1</v>
      </c>
      <c r="F80" s="2987"/>
      <c r="G80" s="2988"/>
    </row>
    <row r="81" spans="1:7">
      <c r="A81" s="2986" t="s">
        <v>110</v>
      </c>
      <c r="B81" s="2975" t="s">
        <v>2949</v>
      </c>
      <c r="C81" s="2976">
        <v>9.6000000000000002E-2</v>
      </c>
      <c r="D81" s="2987"/>
      <c r="E81" s="2976">
        <v>9.8000000000000004E-2</v>
      </c>
      <c r="F81" s="2987"/>
      <c r="G81" s="2988"/>
    </row>
    <row r="82" spans="1:7">
      <c r="A82" s="2986" t="s">
        <v>110</v>
      </c>
      <c r="B82" s="2975" t="s">
        <v>2956</v>
      </c>
      <c r="C82" s="2992"/>
      <c r="D82" s="2987"/>
      <c r="E82" s="2976">
        <v>7.6999999999999999E-2</v>
      </c>
      <c r="F82" s="2987"/>
      <c r="G82" s="2988"/>
    </row>
    <row r="83" spans="1:7">
      <c r="A83" s="2986" t="s">
        <v>110</v>
      </c>
      <c r="B83" s="2975" t="s">
        <v>2962</v>
      </c>
      <c r="C83" s="2987"/>
      <c r="D83" s="2987"/>
      <c r="E83" s="2987"/>
      <c r="F83" s="2976">
        <v>0.1</v>
      </c>
      <c r="G83" s="2993"/>
    </row>
    <row r="84" spans="1:7">
      <c r="A84" s="2986" t="s">
        <v>110</v>
      </c>
      <c r="B84" s="2975" t="s">
        <v>2969</v>
      </c>
      <c r="C84" s="2987"/>
      <c r="D84" s="2987"/>
      <c r="E84" s="2987"/>
      <c r="F84" s="2976">
        <v>0.1</v>
      </c>
      <c r="G84" s="2993"/>
    </row>
    <row r="85" spans="1:7">
      <c r="A85" s="2986" t="s">
        <v>110</v>
      </c>
      <c r="B85" s="2975" t="s">
        <v>2976</v>
      </c>
      <c r="C85" s="2987"/>
      <c r="D85" s="2987"/>
      <c r="E85" s="2987"/>
      <c r="F85" s="2976">
        <v>0.1</v>
      </c>
      <c r="G85" s="2993"/>
    </row>
    <row r="86" spans="1:7" ht="15" thickBot="1">
      <c r="A86" s="2989" t="s">
        <v>110</v>
      </c>
      <c r="B86" s="2979" t="s">
        <v>2981</v>
      </c>
      <c r="C86" s="2980">
        <v>9.8000000000000004E-2</v>
      </c>
      <c r="D86" s="2980">
        <v>9.8000000000000004E-2</v>
      </c>
      <c r="E86" s="2980">
        <v>9.6000000000000002E-2</v>
      </c>
      <c r="F86" s="2990"/>
      <c r="G86" s="2982">
        <v>0.1</v>
      </c>
    </row>
    <row r="87" spans="1:7">
      <c r="A87" s="2985" t="s">
        <v>303</v>
      </c>
      <c r="B87" s="2971" t="s">
        <v>2857</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2950</v>
      </c>
      <c r="C113" s="2976">
        <v>0.1</v>
      </c>
      <c r="D113" s="2976">
        <v>0.1</v>
      </c>
      <c r="E113" s="2987"/>
      <c r="F113" s="2987"/>
      <c r="G113" s="2977">
        <v>0.1</v>
      </c>
    </row>
    <row r="114" spans="1:7">
      <c r="A114" s="2986" t="s">
        <v>303</v>
      </c>
      <c r="B114" s="2975" t="s">
        <v>2957</v>
      </c>
      <c r="C114" s="2976">
        <v>9.7000000000000003E-2</v>
      </c>
      <c r="D114" s="2976">
        <v>9.7000000000000003E-2</v>
      </c>
      <c r="E114" s="2987"/>
      <c r="F114" s="2987"/>
      <c r="G114" s="2977">
        <v>9.9000000000000005E-2</v>
      </c>
    </row>
    <row r="115" spans="1:7">
      <c r="A115" s="2986" t="s">
        <v>303</v>
      </c>
      <c r="B115" s="2975" t="s">
        <v>2963</v>
      </c>
      <c r="C115" s="2976">
        <v>0.1</v>
      </c>
      <c r="D115" s="2976">
        <v>0.1</v>
      </c>
      <c r="E115" s="2987"/>
      <c r="F115" s="2987"/>
      <c r="G115" s="2977">
        <v>0.1</v>
      </c>
    </row>
    <row r="116" spans="1:7">
      <c r="A116" s="2986" t="s">
        <v>303</v>
      </c>
      <c r="B116" s="2975" t="s">
        <v>2970</v>
      </c>
      <c r="C116" s="2976">
        <v>0.1</v>
      </c>
      <c r="D116" s="2976">
        <v>0.1</v>
      </c>
      <c r="E116" s="2987"/>
      <c r="F116" s="2987"/>
      <c r="G116" s="2977">
        <v>0.1</v>
      </c>
    </row>
    <row r="117" spans="1:7">
      <c r="A117" s="2986" t="s">
        <v>303</v>
      </c>
      <c r="B117" s="2975" t="s">
        <v>2977</v>
      </c>
      <c r="C117" s="2976">
        <v>9.7000000000000003E-2</v>
      </c>
      <c r="D117" s="2976">
        <v>9.7000000000000003E-2</v>
      </c>
      <c r="E117" s="2987"/>
      <c r="F117" s="2987"/>
      <c r="G117" s="2977">
        <v>9.7000000000000003E-2</v>
      </c>
    </row>
    <row r="118" spans="1:7">
      <c r="A118" s="2986" t="s">
        <v>303</v>
      </c>
      <c r="B118" s="2975" t="s">
        <v>2982</v>
      </c>
      <c r="C118" s="2976">
        <v>0.1</v>
      </c>
      <c r="D118" s="2976">
        <v>0.1</v>
      </c>
      <c r="E118" s="2987"/>
      <c r="F118" s="2987"/>
      <c r="G118" s="2977">
        <v>0.1</v>
      </c>
    </row>
    <row r="119" spans="1:7">
      <c r="A119" s="2986" t="s">
        <v>303</v>
      </c>
      <c r="B119" s="2975" t="s">
        <v>2986</v>
      </c>
      <c r="C119" s="2976">
        <v>5.0999999999999997E-2</v>
      </c>
      <c r="D119" s="2976">
        <v>5.1999999999999998E-2</v>
      </c>
      <c r="E119" s="2987"/>
      <c r="F119" s="2992"/>
      <c r="G119" s="2977">
        <v>0.06</v>
      </c>
    </row>
    <row r="120" spans="1:7">
      <c r="A120" s="2986" t="s">
        <v>303</v>
      </c>
      <c r="B120" s="2975" t="s">
        <v>2990</v>
      </c>
      <c r="C120" s="2987"/>
      <c r="D120" s="2987"/>
      <c r="E120" s="2987"/>
      <c r="F120" s="2976">
        <v>0.1</v>
      </c>
      <c r="G120" s="2993"/>
    </row>
    <row r="121" spans="1:7">
      <c r="A121" s="2986" t="s">
        <v>303</v>
      </c>
      <c r="B121" s="2975" t="s">
        <v>2995</v>
      </c>
      <c r="C121" s="2987"/>
      <c r="D121" s="2987"/>
      <c r="E121" s="2987"/>
      <c r="F121" s="2976">
        <v>0.1</v>
      </c>
      <c r="G121" s="2993"/>
    </row>
    <row r="122" spans="1:7">
      <c r="A122" s="2986" t="s">
        <v>303</v>
      </c>
      <c r="B122" s="2975" t="s">
        <v>3000</v>
      </c>
      <c r="C122" s="2976">
        <v>0.1</v>
      </c>
      <c r="D122" s="2976">
        <v>0.1</v>
      </c>
      <c r="E122" s="2976">
        <v>9.8000000000000004E-2</v>
      </c>
      <c r="F122" s="2976">
        <v>0.1</v>
      </c>
      <c r="G122" s="2977">
        <v>0.1</v>
      </c>
    </row>
    <row r="123" spans="1:7">
      <c r="A123" s="2986" t="s">
        <v>303</v>
      </c>
      <c r="B123" s="2975" t="s">
        <v>3005</v>
      </c>
      <c r="C123" s="2976">
        <v>0.1</v>
      </c>
      <c r="D123" s="2976">
        <v>0.1</v>
      </c>
      <c r="E123" s="2976">
        <v>9.8000000000000004E-2</v>
      </c>
      <c r="F123" s="2976">
        <v>0.1</v>
      </c>
      <c r="G123" s="2977">
        <v>0.1</v>
      </c>
    </row>
    <row r="124" spans="1:7">
      <c r="A124" s="2986" t="s">
        <v>303</v>
      </c>
      <c r="B124" s="2975" t="s">
        <v>3010</v>
      </c>
      <c r="C124" s="2976">
        <v>0.1</v>
      </c>
      <c r="D124" s="2976">
        <v>0.1</v>
      </c>
      <c r="E124" s="2976">
        <v>9.8000000000000004E-2</v>
      </c>
      <c r="F124" s="2992"/>
      <c r="G124" s="2977">
        <v>0.1</v>
      </c>
    </row>
    <row r="125" spans="1:7">
      <c r="A125" s="2986" t="s">
        <v>303</v>
      </c>
      <c r="B125" s="2975" t="s">
        <v>3015</v>
      </c>
      <c r="C125" s="2976">
        <v>9.8000000000000004E-2</v>
      </c>
      <c r="D125" s="2976">
        <v>9.8000000000000004E-2</v>
      </c>
      <c r="E125" s="2976">
        <v>9.6000000000000002E-2</v>
      </c>
      <c r="F125" s="2992"/>
      <c r="G125" s="2977">
        <v>0.1</v>
      </c>
    </row>
    <row r="126" spans="1:7" ht="15" thickBot="1">
      <c r="A126" s="2989" t="s">
        <v>303</v>
      </c>
      <c r="B126" s="2979" t="s">
        <v>3181</v>
      </c>
      <c r="C126" s="2980">
        <v>0.1</v>
      </c>
      <c r="D126" s="2980">
        <v>0.1</v>
      </c>
      <c r="E126" s="2980">
        <v>9.8000000000000004E-2</v>
      </c>
      <c r="F126" s="2980">
        <v>0.1</v>
      </c>
      <c r="G126" s="2982">
        <v>0.1</v>
      </c>
    </row>
    <row r="127" spans="1:7">
      <c r="A127" s="2985" t="s">
        <v>29</v>
      </c>
      <c r="B127" s="2971" t="s">
        <v>2858</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2928</v>
      </c>
      <c r="C148" s="2976">
        <v>0.13</v>
      </c>
      <c r="D148" s="2976">
        <v>0.13</v>
      </c>
      <c r="E148" s="2976">
        <v>0.13</v>
      </c>
      <c r="F148" s="2987"/>
      <c r="G148" s="2977">
        <v>0.13</v>
      </c>
    </row>
    <row r="149" spans="1:7">
      <c r="A149" s="2986" t="s">
        <v>29</v>
      </c>
      <c r="B149" s="2975" t="s">
        <v>2932</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2951</v>
      </c>
      <c r="C153" s="2976">
        <v>0.13</v>
      </c>
      <c r="D153" s="2976">
        <v>0.13</v>
      </c>
      <c r="E153" s="2976">
        <v>0.13</v>
      </c>
      <c r="F153" s="2976">
        <v>0.13</v>
      </c>
      <c r="G153" s="2977">
        <v>0.13</v>
      </c>
    </row>
    <row r="154" spans="1:7">
      <c r="A154" s="2986" t="s">
        <v>29</v>
      </c>
      <c r="B154" s="2975" t="s">
        <v>2958</v>
      </c>
      <c r="C154" s="2976">
        <v>0.121</v>
      </c>
      <c r="D154" s="2976">
        <v>0.121</v>
      </c>
      <c r="E154" s="2976">
        <v>0.105</v>
      </c>
      <c r="F154" s="2976">
        <v>0.121</v>
      </c>
      <c r="G154" s="2977">
        <v>0.123</v>
      </c>
    </row>
    <row r="155" spans="1:7">
      <c r="A155" s="2986" t="s">
        <v>29</v>
      </c>
      <c r="B155" s="2975" t="s">
        <v>2964</v>
      </c>
      <c r="C155" s="2976">
        <v>0.1</v>
      </c>
      <c r="D155" s="2976">
        <v>0.1</v>
      </c>
      <c r="E155" s="2976">
        <v>0.1</v>
      </c>
      <c r="F155" s="2976">
        <v>0.1</v>
      </c>
      <c r="G155" s="2977">
        <v>0.1</v>
      </c>
    </row>
    <row r="156" spans="1:7">
      <c r="A156" s="2986" t="s">
        <v>29</v>
      </c>
      <c r="B156" s="2975" t="s">
        <v>2971</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2991</v>
      </c>
      <c r="C160" s="2976">
        <v>0.13</v>
      </c>
      <c r="D160" s="2976">
        <v>0.13</v>
      </c>
      <c r="E160" s="2976">
        <v>0.124</v>
      </c>
      <c r="F160" s="2976">
        <v>0.126</v>
      </c>
      <c r="G160" s="2977">
        <v>0.13</v>
      </c>
    </row>
    <row r="161" spans="1:7">
      <c r="A161" s="2986" t="s">
        <v>29</v>
      </c>
      <c r="B161" s="2975" t="s">
        <v>2996</v>
      </c>
      <c r="C161" s="2976">
        <v>0.13</v>
      </c>
      <c r="D161" s="2976">
        <v>0.13</v>
      </c>
      <c r="E161" s="2976">
        <v>0.124</v>
      </c>
      <c r="F161" s="2976">
        <v>0.127</v>
      </c>
      <c r="G161" s="2977">
        <v>0.13</v>
      </c>
    </row>
    <row r="162" spans="1:7">
      <c r="A162" s="2986" t="s">
        <v>29</v>
      </c>
      <c r="B162" s="2975" t="s">
        <v>3001</v>
      </c>
      <c r="C162" s="2976">
        <v>0.1</v>
      </c>
      <c r="D162" s="2976">
        <v>0.1</v>
      </c>
      <c r="E162" s="2976">
        <v>0.1</v>
      </c>
      <c r="F162" s="2976">
        <v>0.121</v>
      </c>
      <c r="G162" s="2977">
        <v>0.105</v>
      </c>
    </row>
    <row r="163" spans="1:7">
      <c r="A163" s="2986" t="s">
        <v>29</v>
      </c>
      <c r="B163" s="2975" t="s">
        <v>3006</v>
      </c>
      <c r="C163" s="2976">
        <v>0.1</v>
      </c>
      <c r="D163" s="2976">
        <v>0.1</v>
      </c>
      <c r="E163" s="2976">
        <v>0.1</v>
      </c>
      <c r="F163" s="2976">
        <v>0.1</v>
      </c>
      <c r="G163" s="2977">
        <v>0.1</v>
      </c>
    </row>
    <row r="164" spans="1:7">
      <c r="A164" s="2986" t="s">
        <v>29</v>
      </c>
      <c r="B164" s="2975" t="s">
        <v>3011</v>
      </c>
      <c r="C164" s="2992"/>
      <c r="D164" s="2992"/>
      <c r="E164" s="2992"/>
      <c r="F164" s="2976">
        <v>0.1</v>
      </c>
      <c r="G164" s="2988"/>
    </row>
    <row r="165" spans="1:7">
      <c r="A165" s="2986" t="s">
        <v>29</v>
      </c>
      <c r="B165" s="2975" t="s">
        <v>3182</v>
      </c>
      <c r="C165" s="2976">
        <v>0.126</v>
      </c>
      <c r="D165" s="2976">
        <v>0.126</v>
      </c>
      <c r="E165" s="2976">
        <v>0.11899999999999999</v>
      </c>
      <c r="F165" s="2976">
        <v>0.13</v>
      </c>
      <c r="G165" s="2977">
        <v>0.128</v>
      </c>
    </row>
    <row r="166" spans="1:7">
      <c r="A166" s="2986" t="s">
        <v>29</v>
      </c>
      <c r="B166" s="2975" t="s">
        <v>3021</v>
      </c>
      <c r="C166" s="2976">
        <v>0.129</v>
      </c>
      <c r="D166" s="2976">
        <v>0.129</v>
      </c>
      <c r="E166" s="2976">
        <v>0.123</v>
      </c>
      <c r="F166" s="2976">
        <v>0.128</v>
      </c>
      <c r="G166" s="2977">
        <v>0.13</v>
      </c>
    </row>
    <row r="167" spans="1:7">
      <c r="A167" s="2986" t="s">
        <v>29</v>
      </c>
      <c r="B167" s="2975" t="s">
        <v>3025</v>
      </c>
      <c r="C167" s="2976">
        <v>0.125</v>
      </c>
      <c r="D167" s="2976">
        <v>0.125</v>
      </c>
      <c r="E167" s="2976">
        <v>0.11700000000000001</v>
      </c>
      <c r="F167" s="2976">
        <v>0.13</v>
      </c>
      <c r="G167" s="2977">
        <v>0.126</v>
      </c>
    </row>
    <row r="168" spans="1:7">
      <c r="A168" s="2986" t="s">
        <v>29</v>
      </c>
      <c r="B168" s="2975" t="s">
        <v>3030</v>
      </c>
      <c r="C168" s="2976">
        <v>0.128</v>
      </c>
      <c r="D168" s="2976">
        <v>0.128</v>
      </c>
      <c r="E168" s="2976">
        <v>0.123</v>
      </c>
      <c r="F168" s="2987"/>
      <c r="G168" s="2977">
        <v>0.13</v>
      </c>
    </row>
    <row r="169" spans="1:7">
      <c r="A169" s="2986" t="s">
        <v>29</v>
      </c>
      <c r="B169" s="2975" t="s">
        <v>3183</v>
      </c>
      <c r="C169" s="2992"/>
      <c r="D169" s="2992"/>
      <c r="E169" s="2992"/>
      <c r="F169" s="2976">
        <v>0.05</v>
      </c>
      <c r="G169" s="2988"/>
    </row>
    <row r="170" spans="1:7">
      <c r="A170" s="2986" t="s">
        <v>29</v>
      </c>
      <c r="B170" s="2975" t="s">
        <v>3184</v>
      </c>
      <c r="C170" s="2992"/>
      <c r="D170" s="2992"/>
      <c r="E170" s="2992"/>
      <c r="F170" s="2976">
        <v>0.05</v>
      </c>
      <c r="G170" s="2988"/>
    </row>
    <row r="171" spans="1:7">
      <c r="A171" s="2986" t="s">
        <v>29</v>
      </c>
      <c r="B171" s="2975" t="s">
        <v>3185</v>
      </c>
      <c r="C171" s="2992"/>
      <c r="D171" s="2992"/>
      <c r="E171" s="2992"/>
      <c r="F171" s="2976">
        <v>0.05</v>
      </c>
      <c r="G171" s="2993"/>
    </row>
    <row r="172" spans="1:7">
      <c r="A172" s="2986" t="s">
        <v>29</v>
      </c>
      <c r="B172" s="2975" t="s">
        <v>3186</v>
      </c>
      <c r="C172" s="2992"/>
      <c r="D172" s="2992"/>
      <c r="E172" s="2992"/>
      <c r="F172" s="2976">
        <v>0.05</v>
      </c>
      <c r="G172" s="2993"/>
    </row>
    <row r="173" spans="1:7">
      <c r="A173" s="2986" t="s">
        <v>29</v>
      </c>
      <c r="B173" s="2975" t="s">
        <v>3187</v>
      </c>
      <c r="C173" s="2992"/>
      <c r="D173" s="2992"/>
      <c r="E173" s="2992"/>
      <c r="F173" s="2976">
        <v>0.05</v>
      </c>
      <c r="G173" s="2988"/>
    </row>
    <row r="174" spans="1:7">
      <c r="A174" s="2986" t="s">
        <v>29</v>
      </c>
      <c r="B174" s="2975" t="s">
        <v>3188</v>
      </c>
      <c r="C174" s="2992"/>
      <c r="D174" s="2992"/>
      <c r="E174" s="2992"/>
      <c r="F174" s="2976">
        <v>0.05</v>
      </c>
      <c r="G174" s="2988"/>
    </row>
    <row r="175" spans="1:7">
      <c r="A175" s="2986" t="s">
        <v>29</v>
      </c>
      <c r="B175" s="2975" t="s">
        <v>3189</v>
      </c>
      <c r="C175" s="2992"/>
      <c r="D175" s="2992"/>
      <c r="E175" s="2992"/>
      <c r="F175" s="2976">
        <v>0.05</v>
      </c>
      <c r="G175" s="2988"/>
    </row>
    <row r="176" spans="1:7">
      <c r="A176" s="2986" t="s">
        <v>29</v>
      </c>
      <c r="B176" s="2975" t="s">
        <v>3190</v>
      </c>
      <c r="C176" s="2992"/>
      <c r="D176" s="2992"/>
      <c r="E176" s="2992"/>
      <c r="F176" s="2976">
        <v>0.05</v>
      </c>
      <c r="G176" s="2988"/>
    </row>
    <row r="177" spans="1:7">
      <c r="A177" s="2986" t="s">
        <v>29</v>
      </c>
      <c r="B177" s="2975" t="s">
        <v>3191</v>
      </c>
      <c r="C177" s="2987"/>
      <c r="D177" s="2987"/>
      <c r="E177" s="2987"/>
      <c r="F177" s="2976">
        <v>0.05</v>
      </c>
      <c r="G177" s="2993"/>
    </row>
    <row r="178" spans="1:7">
      <c r="A178" s="2986" t="s">
        <v>29</v>
      </c>
      <c r="B178" s="2975" t="s">
        <v>3192</v>
      </c>
      <c r="C178" s="2987"/>
      <c r="D178" s="2987"/>
      <c r="E178" s="2987"/>
      <c r="F178" s="2976">
        <v>0.05</v>
      </c>
      <c r="G178" s="2993"/>
    </row>
    <row r="179" spans="1:7">
      <c r="A179" s="2986" t="s">
        <v>29</v>
      </c>
      <c r="B179" s="2975" t="s">
        <v>3193</v>
      </c>
      <c r="C179" s="2987"/>
      <c r="D179" s="2987"/>
      <c r="E179" s="2987"/>
      <c r="F179" s="2976">
        <v>0.05</v>
      </c>
      <c r="G179" s="2993"/>
    </row>
    <row r="180" spans="1:7">
      <c r="A180" s="2986" t="s">
        <v>29</v>
      </c>
      <c r="B180" s="2975" t="s">
        <v>3194</v>
      </c>
      <c r="C180" s="2987"/>
      <c r="D180" s="2987"/>
      <c r="E180" s="2987"/>
      <c r="F180" s="2976">
        <v>0.05</v>
      </c>
      <c r="G180" s="2993"/>
    </row>
    <row r="181" spans="1:7">
      <c r="A181" s="2986" t="s">
        <v>29</v>
      </c>
      <c r="B181" s="2975" t="s">
        <v>3195</v>
      </c>
      <c r="C181" s="2987"/>
      <c r="D181" s="2987"/>
      <c r="E181" s="2987"/>
      <c r="F181" s="2976">
        <v>0.05</v>
      </c>
      <c r="G181" s="2993"/>
    </row>
    <row r="182" spans="1:7">
      <c r="A182" s="2986" t="s">
        <v>29</v>
      </c>
      <c r="B182" s="2975" t="s">
        <v>3196</v>
      </c>
      <c r="C182" s="2987"/>
      <c r="D182" s="2987"/>
      <c r="E182" s="2987"/>
      <c r="F182" s="2976">
        <v>0.05</v>
      </c>
      <c r="G182" s="2993"/>
    </row>
    <row r="183" spans="1:7">
      <c r="A183" s="2986" t="s">
        <v>29</v>
      </c>
      <c r="B183" s="2975" t="s">
        <v>3197</v>
      </c>
      <c r="C183" s="2987"/>
      <c r="D183" s="2987"/>
      <c r="E183" s="2987"/>
      <c r="F183" s="2976">
        <v>0.05</v>
      </c>
      <c r="G183" s="2993"/>
    </row>
    <row r="184" spans="1:7">
      <c r="A184" s="2986" t="s">
        <v>29</v>
      </c>
      <c r="B184" s="2975" t="s">
        <v>3198</v>
      </c>
      <c r="C184" s="2987"/>
      <c r="D184" s="2987"/>
      <c r="E184" s="2987"/>
      <c r="F184" s="2976">
        <v>0.05</v>
      </c>
      <c r="G184" s="2993"/>
    </row>
    <row r="185" spans="1:7">
      <c r="A185" s="2986" t="s">
        <v>29</v>
      </c>
      <c r="B185" s="2975" t="s">
        <v>3199</v>
      </c>
      <c r="C185" s="2987"/>
      <c r="D185" s="2987"/>
      <c r="E185" s="2987"/>
      <c r="F185" s="2976">
        <v>0.05</v>
      </c>
      <c r="G185" s="2993"/>
    </row>
    <row r="186" spans="1:7">
      <c r="A186" s="2986" t="s">
        <v>29</v>
      </c>
      <c r="B186" s="2975" t="s">
        <v>3200</v>
      </c>
      <c r="C186" s="2987"/>
      <c r="D186" s="2987"/>
      <c r="E186" s="2987"/>
      <c r="F186" s="2976">
        <v>0.05</v>
      </c>
      <c r="G186" s="2993"/>
    </row>
    <row r="187" spans="1:7">
      <c r="A187" s="2986" t="s">
        <v>29</v>
      </c>
      <c r="B187" s="2975" t="s">
        <v>3201</v>
      </c>
      <c r="C187" s="2987"/>
      <c r="D187" s="2987"/>
      <c r="E187" s="2987"/>
      <c r="F187" s="2976">
        <v>0.05</v>
      </c>
      <c r="G187" s="2993"/>
    </row>
    <row r="188" spans="1:7">
      <c r="A188" s="2986" t="s">
        <v>29</v>
      </c>
      <c r="B188" s="2975" t="s">
        <v>3202</v>
      </c>
      <c r="C188" s="2987"/>
      <c r="D188" s="2987"/>
      <c r="E188" s="2987"/>
      <c r="F188" s="2976">
        <v>0.05</v>
      </c>
      <c r="G188" s="2993"/>
    </row>
    <row r="189" spans="1:7" ht="15" thickBot="1">
      <c r="A189" s="2989" t="s">
        <v>29</v>
      </c>
      <c r="B189" s="2979" t="s">
        <v>3203</v>
      </c>
      <c r="C189" s="2981"/>
      <c r="D189" s="2981"/>
      <c r="E189" s="2981"/>
      <c r="F189" s="2980">
        <v>0.05</v>
      </c>
      <c r="G189" s="2994"/>
    </row>
    <row r="190" spans="1:7">
      <c r="A190" s="2985" t="s">
        <v>304</v>
      </c>
      <c r="B190" s="2971" t="s">
        <v>2859</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2895</v>
      </c>
      <c r="C199" s="2976">
        <v>0.13</v>
      </c>
      <c r="D199" s="2976">
        <v>0.13</v>
      </c>
      <c r="E199" s="2976">
        <v>0.13</v>
      </c>
      <c r="F199" s="2976">
        <v>0.13</v>
      </c>
      <c r="G199" s="2977">
        <v>0.13</v>
      </c>
    </row>
    <row r="200" spans="1:7">
      <c r="A200" s="2986" t="s">
        <v>304</v>
      </c>
      <c r="B200" s="2975" t="s">
        <v>2898</v>
      </c>
      <c r="C200" s="2992"/>
      <c r="D200" s="2992"/>
      <c r="E200" s="2992"/>
      <c r="F200" s="2976">
        <v>0.13</v>
      </c>
      <c r="G200" s="2988"/>
    </row>
    <row r="201" spans="1:7">
      <c r="A201" s="2986" t="s">
        <v>304</v>
      </c>
      <c r="B201" s="2975" t="s">
        <v>2903</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2906</v>
      </c>
      <c r="C203" s="2976">
        <v>0.129</v>
      </c>
      <c r="D203" s="2976">
        <v>0.129</v>
      </c>
      <c r="E203" s="2976">
        <v>0.13</v>
      </c>
      <c r="F203" s="2976">
        <v>0.13</v>
      </c>
      <c r="G203" s="2977">
        <v>0.13</v>
      </c>
    </row>
    <row r="204" spans="1:7">
      <c r="A204" s="2986" t="s">
        <v>304</v>
      </c>
      <c r="B204" s="2975" t="s">
        <v>2909</v>
      </c>
      <c r="C204" s="2976">
        <v>0.129</v>
      </c>
      <c r="D204" s="2976">
        <v>0.129</v>
      </c>
      <c r="E204" s="2976">
        <v>0.123</v>
      </c>
      <c r="F204" s="2976">
        <v>0.13</v>
      </c>
      <c r="G204" s="2977">
        <v>0.13</v>
      </c>
    </row>
    <row r="205" spans="1:7">
      <c r="A205" s="2986" t="s">
        <v>304</v>
      </c>
      <c r="B205" s="2975" t="s">
        <v>2911</v>
      </c>
      <c r="C205" s="2976">
        <v>0.13</v>
      </c>
      <c r="D205" s="2976">
        <v>0.13</v>
      </c>
      <c r="E205" s="2976">
        <v>0.13</v>
      </c>
      <c r="F205" s="2976">
        <v>0.13</v>
      </c>
      <c r="G205" s="2977">
        <v>0.13</v>
      </c>
    </row>
    <row r="206" spans="1:7">
      <c r="A206" s="2986" t="s">
        <v>304</v>
      </c>
      <c r="B206" s="2975" t="s">
        <v>2914</v>
      </c>
      <c r="C206" s="2976">
        <v>0.13</v>
      </c>
      <c r="D206" s="2976">
        <v>0.13</v>
      </c>
      <c r="E206" s="2976">
        <v>0.13</v>
      </c>
      <c r="F206" s="2976">
        <v>0.128</v>
      </c>
      <c r="G206" s="2977">
        <v>0.13</v>
      </c>
    </row>
    <row r="207" spans="1:7">
      <c r="A207" s="2986" t="s">
        <v>304</v>
      </c>
      <c r="B207" s="2975" t="s">
        <v>2916</v>
      </c>
      <c r="C207" s="2976">
        <v>0.13</v>
      </c>
      <c r="D207" s="2976">
        <v>0.13</v>
      </c>
      <c r="E207" s="2976">
        <v>0.13</v>
      </c>
      <c r="F207" s="2976">
        <v>0.13</v>
      </c>
      <c r="G207" s="2977">
        <v>0.13</v>
      </c>
    </row>
    <row r="208" spans="1:7">
      <c r="A208" s="2986" t="s">
        <v>304</v>
      </c>
      <c r="B208" s="2975" t="s">
        <v>2919</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2926</v>
      </c>
      <c r="C210" s="2976">
        <v>0.121</v>
      </c>
      <c r="D210" s="2976">
        <v>0.121</v>
      </c>
      <c r="E210" s="2976">
        <v>0.125</v>
      </c>
      <c r="F210" s="2976">
        <v>0.13</v>
      </c>
      <c r="G210" s="2977">
        <v>0.123</v>
      </c>
    </row>
    <row r="211" spans="1:7">
      <c r="A211" s="2986" t="s">
        <v>304</v>
      </c>
      <c r="B211" s="2975" t="s">
        <v>2929</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2941</v>
      </c>
      <c r="C214" s="2976">
        <v>0.128</v>
      </c>
      <c r="D214" s="2976">
        <v>0.128</v>
      </c>
      <c r="E214" s="2976">
        <v>0.13</v>
      </c>
      <c r="F214" s="2976">
        <v>0.13</v>
      </c>
      <c r="G214" s="2977">
        <v>0.13</v>
      </c>
    </row>
    <row r="215" spans="1:7">
      <c r="A215" s="2986" t="s">
        <v>304</v>
      </c>
      <c r="B215" s="2975" t="s">
        <v>2945</v>
      </c>
      <c r="C215" s="2976">
        <v>0.13</v>
      </c>
      <c r="D215" s="2976">
        <v>0.13</v>
      </c>
      <c r="E215" s="2976">
        <v>0.13</v>
      </c>
      <c r="F215" s="2976">
        <v>0.129</v>
      </c>
      <c r="G215" s="2977">
        <v>0.13</v>
      </c>
    </row>
    <row r="216" spans="1:7">
      <c r="A216" s="2986" t="s">
        <v>304</v>
      </c>
      <c r="B216" s="2975" t="s">
        <v>2952</v>
      </c>
      <c r="C216" s="2976">
        <v>0.13</v>
      </c>
      <c r="D216" s="2976">
        <v>0.13</v>
      </c>
      <c r="E216" s="2976">
        <v>0.13</v>
      </c>
      <c r="F216" s="2976">
        <v>0.13</v>
      </c>
      <c r="G216" s="2977">
        <v>0.13</v>
      </c>
    </row>
    <row r="217" spans="1:7">
      <c r="A217" s="2986" t="s">
        <v>304</v>
      </c>
      <c r="B217" s="2975" t="s">
        <v>2959</v>
      </c>
      <c r="C217" s="2976">
        <v>0.129</v>
      </c>
      <c r="D217" s="2976">
        <v>0.129</v>
      </c>
      <c r="E217" s="2976">
        <v>0.13</v>
      </c>
      <c r="F217" s="2976">
        <v>0.13</v>
      </c>
      <c r="G217" s="2977">
        <v>0.13</v>
      </c>
    </row>
    <row r="218" spans="1:7">
      <c r="A218" s="2986" t="s">
        <v>304</v>
      </c>
      <c r="B218" s="2975" t="s">
        <v>2965</v>
      </c>
      <c r="C218" s="2987"/>
      <c r="D218" s="2987"/>
      <c r="E218" s="2987"/>
      <c r="F218" s="2976">
        <v>0.05</v>
      </c>
      <c r="G218" s="2993"/>
    </row>
    <row r="219" spans="1:7">
      <c r="A219" s="2986" t="s">
        <v>304</v>
      </c>
      <c r="B219" s="2975" t="s">
        <v>2972</v>
      </c>
      <c r="C219" s="2987"/>
      <c r="D219" s="2987"/>
      <c r="E219" s="2987"/>
      <c r="F219" s="2976">
        <v>0.05</v>
      </c>
      <c r="G219" s="2993"/>
    </row>
    <row r="220" spans="1:7">
      <c r="A220" s="2986" t="s">
        <v>304</v>
      </c>
      <c r="B220" s="2975" t="s">
        <v>2978</v>
      </c>
      <c r="C220" s="2987"/>
      <c r="D220" s="2987"/>
      <c r="E220" s="2987"/>
      <c r="F220" s="2976">
        <v>0.05</v>
      </c>
      <c r="G220" s="2993"/>
    </row>
    <row r="221" spans="1:7">
      <c r="A221" s="2986" t="s">
        <v>304</v>
      </c>
      <c r="B221" s="2975" t="s">
        <v>2983</v>
      </c>
      <c r="C221" s="2987"/>
      <c r="D221" s="2987"/>
      <c r="E221" s="2987"/>
      <c r="F221" s="2976">
        <v>0.05</v>
      </c>
      <c r="G221" s="2993"/>
    </row>
    <row r="222" spans="1:7">
      <c r="A222" s="2986" t="s">
        <v>304</v>
      </c>
      <c r="B222" s="2975" t="s">
        <v>2987</v>
      </c>
      <c r="C222" s="2987"/>
      <c r="D222" s="2987"/>
      <c r="E222" s="2987"/>
      <c r="F222" s="2976">
        <v>0.05</v>
      </c>
      <c r="G222" s="2993"/>
    </row>
    <row r="223" spans="1:7">
      <c r="A223" s="2986" t="s">
        <v>304</v>
      </c>
      <c r="B223" s="2975" t="s">
        <v>2992</v>
      </c>
      <c r="C223" s="2987"/>
      <c r="D223" s="2987"/>
      <c r="E223" s="2987"/>
      <c r="F223" s="2976">
        <v>0.05</v>
      </c>
      <c r="G223" s="2993"/>
    </row>
    <row r="224" spans="1:7">
      <c r="A224" s="2986" t="s">
        <v>304</v>
      </c>
      <c r="B224" s="2975" t="s">
        <v>2997</v>
      </c>
      <c r="C224" s="2987"/>
      <c r="D224" s="2987"/>
      <c r="E224" s="2987"/>
      <c r="F224" s="2976">
        <v>0.05</v>
      </c>
      <c r="G224" s="2993"/>
    </row>
    <row r="225" spans="1:7">
      <c r="A225" s="2986" t="s">
        <v>304</v>
      </c>
      <c r="B225" s="2975" t="s">
        <v>3002</v>
      </c>
      <c r="C225" s="2987"/>
      <c r="D225" s="2987"/>
      <c r="E225" s="2987"/>
      <c r="F225" s="2976">
        <v>0.05</v>
      </c>
      <c r="G225" s="2993"/>
    </row>
    <row r="226" spans="1:7">
      <c r="A226" s="2986" t="s">
        <v>304</v>
      </c>
      <c r="B226" s="2975" t="s">
        <v>3204</v>
      </c>
      <c r="C226" s="2987"/>
      <c r="D226" s="2987"/>
      <c r="E226" s="2987"/>
      <c r="F226" s="2976">
        <v>0.05</v>
      </c>
      <c r="G226" s="2993"/>
    </row>
    <row r="227" spans="1:7">
      <c r="A227" s="2986" t="s">
        <v>304</v>
      </c>
      <c r="B227" s="2975" t="s">
        <v>3205</v>
      </c>
      <c r="C227" s="2987"/>
      <c r="D227" s="2987"/>
      <c r="E227" s="2987"/>
      <c r="F227" s="2976">
        <v>0.05</v>
      </c>
      <c r="G227" s="2993"/>
    </row>
    <row r="228" spans="1:7">
      <c r="A228" s="2986" t="s">
        <v>304</v>
      </c>
      <c r="B228" s="2975" t="s">
        <v>3206</v>
      </c>
      <c r="C228" s="2987"/>
      <c r="D228" s="2987"/>
      <c r="E228" s="2987"/>
      <c r="F228" s="2976">
        <v>0.05</v>
      </c>
      <c r="G228" s="2993"/>
    </row>
    <row r="229" spans="1:7">
      <c r="A229" s="2986" t="s">
        <v>304</v>
      </c>
      <c r="B229" s="2975" t="s">
        <v>3207</v>
      </c>
      <c r="C229" s="2987"/>
      <c r="D229" s="2987"/>
      <c r="E229" s="2987"/>
      <c r="F229" s="2976">
        <v>0.05</v>
      </c>
      <c r="G229" s="2993"/>
    </row>
    <row r="230" spans="1:7">
      <c r="A230" s="2986" t="s">
        <v>304</v>
      </c>
      <c r="B230" s="2975" t="s">
        <v>3208</v>
      </c>
      <c r="C230" s="2987"/>
      <c r="D230" s="2987"/>
      <c r="E230" s="2987"/>
      <c r="F230" s="2976">
        <v>0.05</v>
      </c>
      <c r="G230" s="2993"/>
    </row>
    <row r="231" spans="1:7">
      <c r="A231" s="2986" t="s">
        <v>304</v>
      </c>
      <c r="B231" s="2975" t="s">
        <v>3209</v>
      </c>
      <c r="C231" s="2987"/>
      <c r="D231" s="2987"/>
      <c r="E231" s="2987"/>
      <c r="F231" s="2976">
        <v>0.05</v>
      </c>
      <c r="G231" s="2993"/>
    </row>
    <row r="232" spans="1:7">
      <c r="A232" s="2986" t="s">
        <v>304</v>
      </c>
      <c r="B232" s="2975" t="s">
        <v>3210</v>
      </c>
      <c r="C232" s="2987"/>
      <c r="D232" s="2987"/>
      <c r="E232" s="2987"/>
      <c r="F232" s="2976">
        <v>0.05</v>
      </c>
      <c r="G232" s="2993"/>
    </row>
    <row r="233" spans="1:7" ht="15" thickBot="1">
      <c r="A233" s="2989" t="s">
        <v>304</v>
      </c>
      <c r="B233" s="2979" t="s">
        <v>3211</v>
      </c>
      <c r="C233" s="2981"/>
      <c r="D233" s="2981"/>
      <c r="E233" s="2981"/>
      <c r="F233" s="2980">
        <v>0.05</v>
      </c>
      <c r="G233" s="2994"/>
    </row>
    <row r="234" spans="1:7">
      <c r="A234" s="2985" t="s">
        <v>305</v>
      </c>
      <c r="B234" s="2971" t="s">
        <v>2860</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2880</v>
      </c>
      <c r="C238" s="2976">
        <v>0.14899999999999999</v>
      </c>
      <c r="D238" s="2976">
        <v>0.14899999999999999</v>
      </c>
      <c r="E238" s="2976">
        <v>0.15</v>
      </c>
      <c r="F238" s="2976">
        <v>0.15</v>
      </c>
      <c r="G238" s="2977">
        <v>0.15</v>
      </c>
    </row>
    <row r="239" spans="1:7">
      <c r="A239" s="2986" t="s">
        <v>305</v>
      </c>
      <c r="B239" s="2975" t="s">
        <v>2884</v>
      </c>
      <c r="C239" s="2976">
        <v>0.15</v>
      </c>
      <c r="D239" s="2976">
        <v>0.15</v>
      </c>
      <c r="E239" s="2976">
        <v>0.15</v>
      </c>
      <c r="F239" s="2976">
        <v>0.15</v>
      </c>
      <c r="G239" s="2977">
        <v>0.15</v>
      </c>
    </row>
    <row r="240" spans="1:7">
      <c r="A240" s="2986" t="s">
        <v>305</v>
      </c>
      <c r="B240" s="2975" t="s">
        <v>2889</v>
      </c>
      <c r="C240" s="2976">
        <v>0.15</v>
      </c>
      <c r="D240" s="2976">
        <v>0.15</v>
      </c>
      <c r="E240" s="2976">
        <v>0.15</v>
      </c>
      <c r="F240" s="2976">
        <v>0.15</v>
      </c>
      <c r="G240" s="2977">
        <v>0.15</v>
      </c>
    </row>
    <row r="241" spans="1:7">
      <c r="A241" s="2986" t="s">
        <v>305</v>
      </c>
      <c r="B241" s="2975" t="s">
        <v>2893</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2899</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2907</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2912</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2920</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2933</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2942</v>
      </c>
      <c r="C258" s="2976">
        <v>0.14299999999999999</v>
      </c>
      <c r="D258" s="2976">
        <v>0.14299999999999999</v>
      </c>
      <c r="E258" s="2976">
        <v>0.15</v>
      </c>
      <c r="F258" s="2976">
        <v>0.14799999999999999</v>
      </c>
      <c r="G258" s="2977">
        <v>0.14599999999999999</v>
      </c>
    </row>
    <row r="259" spans="1:7">
      <c r="A259" s="2986" t="s">
        <v>305</v>
      </c>
      <c r="B259" s="2975" t="s">
        <v>2946</v>
      </c>
      <c r="C259" s="2976">
        <v>0.14399999999999999</v>
      </c>
      <c r="D259" s="2976">
        <v>0.14399999999999999</v>
      </c>
      <c r="E259" s="2976">
        <v>0.14899999999999999</v>
      </c>
      <c r="F259" s="2976">
        <v>0.14699999999999999</v>
      </c>
      <c r="G259" s="2977">
        <v>0.14599999999999999</v>
      </c>
    </row>
    <row r="260" spans="1:7">
      <c r="A260" s="2986" t="s">
        <v>305</v>
      </c>
      <c r="B260" s="2975" t="s">
        <v>2953</v>
      </c>
      <c r="C260" s="2976">
        <v>0.109</v>
      </c>
      <c r="D260" s="2976">
        <v>0.111</v>
      </c>
      <c r="E260" s="2976">
        <v>0.13100000000000001</v>
      </c>
      <c r="F260" s="2976">
        <v>0.126</v>
      </c>
      <c r="G260" s="2977">
        <v>0.11899999999999999</v>
      </c>
    </row>
    <row r="261" spans="1:7">
      <c r="A261" s="2986" t="s">
        <v>305</v>
      </c>
      <c r="B261" s="2975" t="s">
        <v>2960</v>
      </c>
      <c r="C261" s="2976">
        <v>0.1</v>
      </c>
      <c r="D261" s="2976">
        <v>0.1</v>
      </c>
      <c r="E261" s="2976">
        <v>0.11799999999999999</v>
      </c>
      <c r="F261" s="2976">
        <v>0.108</v>
      </c>
      <c r="G261" s="2977">
        <v>0.107</v>
      </c>
    </row>
    <row r="262" spans="1:7">
      <c r="A262" s="2986" t="s">
        <v>305</v>
      </c>
      <c r="B262" s="2975" t="s">
        <v>2966</v>
      </c>
      <c r="C262" s="2976">
        <v>0.1</v>
      </c>
      <c r="D262" s="2976">
        <v>0.1</v>
      </c>
      <c r="E262" s="2976">
        <v>0.1</v>
      </c>
      <c r="F262" s="2976">
        <v>0.14099999999999999</v>
      </c>
      <c r="G262" s="2977">
        <v>0.1</v>
      </c>
    </row>
    <row r="263" spans="1:7">
      <c r="A263" s="2986" t="s">
        <v>305</v>
      </c>
      <c r="B263" s="2975" t="s">
        <v>2973</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2984</v>
      </c>
      <c r="C265" s="2987"/>
      <c r="D265" s="2987"/>
      <c r="E265" s="2987"/>
      <c r="F265" s="2976">
        <v>0.05</v>
      </c>
      <c r="G265" s="2993"/>
    </row>
    <row r="266" spans="1:7">
      <c r="A266" s="2986" t="s">
        <v>305</v>
      </c>
      <c r="B266" s="2975" t="s">
        <v>2988</v>
      </c>
      <c r="C266" s="2987"/>
      <c r="D266" s="2987"/>
      <c r="E266" s="2987"/>
      <c r="F266" s="2976">
        <v>0.05</v>
      </c>
      <c r="G266" s="2993"/>
    </row>
    <row r="267" spans="1:7">
      <c r="A267" s="2986" t="s">
        <v>305</v>
      </c>
      <c r="B267" s="2975" t="s">
        <v>2993</v>
      </c>
      <c r="C267" s="2987"/>
      <c r="D267" s="2987"/>
      <c r="E267" s="2987"/>
      <c r="F267" s="2976">
        <v>0.05</v>
      </c>
      <c r="G267" s="2993"/>
    </row>
    <row r="268" spans="1:7">
      <c r="A268" s="2986" t="s">
        <v>305</v>
      </c>
      <c r="B268" s="2975" t="s">
        <v>2998</v>
      </c>
      <c r="C268" s="2987"/>
      <c r="D268" s="2987"/>
      <c r="E268" s="2987"/>
      <c r="F268" s="2976">
        <v>0.05</v>
      </c>
      <c r="G268" s="2993"/>
    </row>
    <row r="269" spans="1:7">
      <c r="A269" s="2986" t="s">
        <v>305</v>
      </c>
      <c r="B269" s="2975" t="s">
        <v>3003</v>
      </c>
      <c r="C269" s="2987"/>
      <c r="D269" s="2987"/>
      <c r="E269" s="2987"/>
      <c r="F269" s="2976">
        <v>0.05</v>
      </c>
      <c r="G269" s="2993"/>
    </row>
    <row r="270" spans="1:7">
      <c r="A270" s="2986" t="s">
        <v>305</v>
      </c>
      <c r="B270" s="2975" t="s">
        <v>3008</v>
      </c>
      <c r="C270" s="2987"/>
      <c r="D270" s="2987"/>
      <c r="E270" s="2987"/>
      <c r="F270" s="2976">
        <v>0.05</v>
      </c>
      <c r="G270" s="2993"/>
    </row>
    <row r="271" spans="1:7">
      <c r="A271" s="2986" t="s">
        <v>305</v>
      </c>
      <c r="B271" s="2975" t="s">
        <v>3212</v>
      </c>
      <c r="C271" s="2987"/>
      <c r="D271" s="2987"/>
      <c r="E271" s="2987"/>
      <c r="F271" s="2976">
        <v>0.05</v>
      </c>
      <c r="G271" s="2993"/>
    </row>
    <row r="272" spans="1:7">
      <c r="A272" s="2986" t="s">
        <v>305</v>
      </c>
      <c r="B272" s="2975" t="s">
        <v>3213</v>
      </c>
      <c r="C272" s="2987"/>
      <c r="D272" s="2987"/>
      <c r="E272" s="2987"/>
      <c r="F272" s="2976">
        <v>0.05</v>
      </c>
      <c r="G272" s="2993"/>
    </row>
    <row r="273" spans="1:7">
      <c r="A273" s="2986" t="s">
        <v>305</v>
      </c>
      <c r="B273" s="2975" t="s">
        <v>3214</v>
      </c>
      <c r="C273" s="2987"/>
      <c r="D273" s="2987"/>
      <c r="E273" s="2987"/>
      <c r="F273" s="2976">
        <v>0.05</v>
      </c>
      <c r="G273" s="2993"/>
    </row>
    <row r="274" spans="1:7">
      <c r="A274" s="2986" t="s">
        <v>305</v>
      </c>
      <c r="B274" s="2975" t="s">
        <v>3215</v>
      </c>
      <c r="C274" s="2987"/>
      <c r="D274" s="2987"/>
      <c r="E274" s="2987"/>
      <c r="F274" s="2976">
        <v>0.05</v>
      </c>
      <c r="G274" s="2993"/>
    </row>
    <row r="275" spans="1:7">
      <c r="A275" s="2986" t="s">
        <v>305</v>
      </c>
      <c r="B275" s="2975" t="s">
        <v>3216</v>
      </c>
      <c r="C275" s="2987"/>
      <c r="D275" s="2987"/>
      <c r="E275" s="2987"/>
      <c r="F275" s="2976">
        <v>0.05</v>
      </c>
      <c r="G275" s="2993"/>
    </row>
    <row r="276" spans="1:7" ht="15" thickBot="1">
      <c r="A276" s="2989" t="s">
        <v>305</v>
      </c>
      <c r="B276" s="2979" t="s">
        <v>3217</v>
      </c>
      <c r="C276" s="2981"/>
      <c r="D276" s="2981"/>
      <c r="E276" s="2981"/>
      <c r="F276" s="2980">
        <v>0.05</v>
      </c>
      <c r="G276" s="2994"/>
    </row>
    <row r="277" spans="1:7">
      <c r="A277" s="2985" t="s">
        <v>306</v>
      </c>
      <c r="B277" s="2971" t="s">
        <v>2861</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2873</v>
      </c>
      <c r="C279" s="2976">
        <v>0.15</v>
      </c>
      <c r="D279" s="2976">
        <v>0.15</v>
      </c>
      <c r="E279" s="2976">
        <v>0.15</v>
      </c>
      <c r="F279" s="2976">
        <v>0.15</v>
      </c>
      <c r="G279" s="2977">
        <v>0.15</v>
      </c>
    </row>
    <row r="280" spans="1:7">
      <c r="A280" s="2986" t="s">
        <v>306</v>
      </c>
      <c r="B280" s="2975" t="s">
        <v>2877</v>
      </c>
      <c r="C280" s="2976">
        <v>0.15</v>
      </c>
      <c r="D280" s="2976">
        <v>0.15</v>
      </c>
      <c r="E280" s="2976">
        <v>0.15</v>
      </c>
      <c r="F280" s="2976">
        <v>0.15</v>
      </c>
      <c r="G280" s="2977">
        <v>0.15</v>
      </c>
    </row>
    <row r="281" spans="1:7">
      <c r="A281" s="2986" t="s">
        <v>306</v>
      </c>
      <c r="B281" s="2975" t="s">
        <v>2881</v>
      </c>
      <c r="C281" s="2976">
        <v>0.15</v>
      </c>
      <c r="D281" s="2976">
        <v>0.15</v>
      </c>
      <c r="E281" s="2976">
        <v>0.15</v>
      </c>
      <c r="F281" s="2976">
        <v>0.15</v>
      </c>
      <c r="G281" s="2977">
        <v>0.15</v>
      </c>
    </row>
    <row r="282" spans="1:7">
      <c r="A282" s="2986" t="s">
        <v>306</v>
      </c>
      <c r="B282" s="2975" t="s">
        <v>2885</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2900</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2905</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2915</v>
      </c>
      <c r="C293" s="2976">
        <v>0.15</v>
      </c>
      <c r="D293" s="2976">
        <v>0.15</v>
      </c>
      <c r="E293" s="2976">
        <v>0.15</v>
      </c>
      <c r="F293" s="2976">
        <v>0.14499999999999999</v>
      </c>
      <c r="G293" s="2977">
        <v>0.15</v>
      </c>
    </row>
    <row r="294" spans="1:7">
      <c r="A294" s="2986" t="s">
        <v>306</v>
      </c>
      <c r="B294" s="2975" t="s">
        <v>2917</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2934</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2947</v>
      </c>
      <c r="C302" s="2976">
        <v>0.15</v>
      </c>
      <c r="D302" s="2976">
        <v>0.15</v>
      </c>
      <c r="E302" s="2976">
        <v>0.15</v>
      </c>
      <c r="F302" s="2976">
        <v>0.14699999999999999</v>
      </c>
      <c r="G302" s="2977">
        <v>0.15</v>
      </c>
    </row>
    <row r="303" spans="1:7">
      <c r="A303" s="2986" t="s">
        <v>306</v>
      </c>
      <c r="B303" s="2975" t="s">
        <v>2954</v>
      </c>
      <c r="C303" s="2976">
        <v>0.15</v>
      </c>
      <c r="D303" s="2976">
        <v>0.15</v>
      </c>
      <c r="E303" s="2976">
        <v>0.15</v>
      </c>
      <c r="F303" s="2976">
        <v>0.14199999999999999</v>
      </c>
      <c r="G303" s="2977">
        <v>0.15</v>
      </c>
    </row>
    <row r="304" spans="1:7">
      <c r="A304" s="2986" t="s">
        <v>306</v>
      </c>
      <c r="B304" s="2975" t="s">
        <v>2961</v>
      </c>
      <c r="C304" s="2976">
        <v>0.15</v>
      </c>
      <c r="D304" s="2976">
        <v>0.15</v>
      </c>
      <c r="E304" s="2976">
        <v>0.15</v>
      </c>
      <c r="F304" s="2976">
        <v>0.14499999999999999</v>
      </c>
      <c r="G304" s="2977">
        <v>0.15</v>
      </c>
    </row>
    <row r="305" spans="1:7">
      <c r="A305" s="2986" t="s">
        <v>306</v>
      </c>
      <c r="B305" s="2975" t="s">
        <v>2967</v>
      </c>
      <c r="C305" s="2976">
        <v>0.15</v>
      </c>
      <c r="D305" s="2976">
        <v>0.15</v>
      </c>
      <c r="E305" s="2976">
        <v>0.15</v>
      </c>
      <c r="F305" s="2976">
        <v>0.111</v>
      </c>
      <c r="G305" s="2977">
        <v>0.15</v>
      </c>
    </row>
    <row r="306" spans="1:7">
      <c r="A306" s="2986" t="s">
        <v>306</v>
      </c>
      <c r="B306" s="2975" t="s">
        <v>2974</v>
      </c>
      <c r="C306" s="2976">
        <v>0.15</v>
      </c>
      <c r="D306" s="2976">
        <v>0.15</v>
      </c>
      <c r="E306" s="2976">
        <v>0.15</v>
      </c>
      <c r="F306" s="2976">
        <v>0.126</v>
      </c>
      <c r="G306" s="2977">
        <v>0.15</v>
      </c>
    </row>
    <row r="307" spans="1:7">
      <c r="A307" s="2986" t="s">
        <v>306</v>
      </c>
      <c r="B307" s="2975" t="s">
        <v>2979</v>
      </c>
      <c r="C307" s="2976">
        <v>0.15</v>
      </c>
      <c r="D307" s="2976">
        <v>0.15</v>
      </c>
      <c r="E307" s="2976">
        <v>0.15</v>
      </c>
      <c r="F307" s="2976">
        <v>0.12</v>
      </c>
      <c r="G307" s="2977">
        <v>0.15</v>
      </c>
    </row>
    <row r="308" spans="1:7">
      <c r="A308" s="2986" t="s">
        <v>306</v>
      </c>
      <c r="B308" s="2975" t="s">
        <v>2985</v>
      </c>
      <c r="C308" s="2976">
        <v>0.15</v>
      </c>
      <c r="D308" s="2976">
        <v>0.15</v>
      </c>
      <c r="E308" s="2976">
        <v>0.15</v>
      </c>
      <c r="F308" s="2976">
        <v>0.13</v>
      </c>
      <c r="G308" s="2977">
        <v>0.15</v>
      </c>
    </row>
    <row r="309" spans="1:7">
      <c r="A309" s="2986" t="s">
        <v>306</v>
      </c>
      <c r="B309" s="2975" t="s">
        <v>2989</v>
      </c>
      <c r="C309" s="2976">
        <v>0.15</v>
      </c>
      <c r="D309" s="2976">
        <v>0.15</v>
      </c>
      <c r="E309" s="2976">
        <v>0.15</v>
      </c>
      <c r="F309" s="2976">
        <v>0.14099999999999999</v>
      </c>
      <c r="G309" s="2977">
        <v>0.15</v>
      </c>
    </row>
    <row r="310" spans="1:7">
      <c r="A310" s="2986" t="s">
        <v>306</v>
      </c>
      <c r="B310" s="2975" t="s">
        <v>2994</v>
      </c>
      <c r="C310" s="2976">
        <v>0.15</v>
      </c>
      <c r="D310" s="2976">
        <v>0.15</v>
      </c>
      <c r="E310" s="2976">
        <v>0.15</v>
      </c>
      <c r="F310" s="2976">
        <v>0.15</v>
      </c>
      <c r="G310" s="2977">
        <v>0.15</v>
      </c>
    </row>
    <row r="311" spans="1:7">
      <c r="A311" s="2986" t="s">
        <v>306</v>
      </c>
      <c r="B311" s="2975" t="s">
        <v>2999</v>
      </c>
      <c r="C311" s="2976">
        <v>0.13200000000000001</v>
      </c>
      <c r="D311" s="2976">
        <v>0.13300000000000001</v>
      </c>
      <c r="E311" s="2976">
        <v>0.14499999999999999</v>
      </c>
      <c r="F311" s="2976">
        <v>0.14199999999999999</v>
      </c>
      <c r="G311" s="2977">
        <v>0.14000000000000001</v>
      </c>
    </row>
    <row r="312" spans="1:7">
      <c r="A312" s="2986" t="s">
        <v>306</v>
      </c>
      <c r="B312" s="2975" t="s">
        <v>3004</v>
      </c>
      <c r="C312" s="2976">
        <v>0.13800000000000001</v>
      </c>
      <c r="D312" s="2976">
        <v>0.14000000000000001</v>
      </c>
      <c r="E312" s="2976">
        <v>0.14599999999999999</v>
      </c>
      <c r="F312" s="2976">
        <v>0.14899999999999999</v>
      </c>
      <c r="G312" s="2977">
        <v>0.14199999999999999</v>
      </c>
    </row>
    <row r="313" spans="1:7">
      <c r="A313" s="2986" t="s">
        <v>306</v>
      </c>
      <c r="B313" s="2975" t="s">
        <v>3009</v>
      </c>
      <c r="C313" s="2976">
        <v>0.125</v>
      </c>
      <c r="D313" s="2976">
        <v>0.127</v>
      </c>
      <c r="E313" s="2976">
        <v>0.14399999999999999</v>
      </c>
      <c r="F313" s="2976">
        <v>0.115</v>
      </c>
      <c r="G313" s="2977">
        <v>0.13600000000000001</v>
      </c>
    </row>
    <row r="314" spans="1:7">
      <c r="A314" s="2986" t="s">
        <v>306</v>
      </c>
      <c r="B314" s="2975" t="s">
        <v>3218</v>
      </c>
      <c r="C314" s="2992"/>
      <c r="D314" s="2992"/>
      <c r="E314" s="2992"/>
      <c r="F314" s="2976">
        <v>0.05</v>
      </c>
      <c r="G314" s="2993"/>
    </row>
    <row r="315" spans="1:7">
      <c r="A315" s="2986" t="s">
        <v>306</v>
      </c>
      <c r="B315" s="2975" t="s">
        <v>3219</v>
      </c>
      <c r="C315" s="2992"/>
      <c r="D315" s="2992"/>
      <c r="E315" s="2992"/>
      <c r="F315" s="2976">
        <v>0.05</v>
      </c>
      <c r="G315" s="2993"/>
    </row>
    <row r="316" spans="1:7">
      <c r="A316" s="2986" t="s">
        <v>306</v>
      </c>
      <c r="B316" s="2975" t="s">
        <v>3220</v>
      </c>
      <c r="C316" s="2987"/>
      <c r="D316" s="2987"/>
      <c r="E316" s="2987"/>
      <c r="F316" s="2976">
        <v>0.05</v>
      </c>
      <c r="G316" s="2993"/>
    </row>
    <row r="317" spans="1:7">
      <c r="A317" s="2986" t="s">
        <v>306</v>
      </c>
      <c r="B317" s="2975" t="s">
        <v>3221</v>
      </c>
      <c r="C317" s="2987"/>
      <c r="D317" s="2987"/>
      <c r="E317" s="2987"/>
      <c r="F317" s="2976">
        <v>0.05</v>
      </c>
      <c r="G317" s="2993"/>
    </row>
    <row r="318" spans="1:7">
      <c r="A318" s="2986" t="s">
        <v>306</v>
      </c>
      <c r="B318" s="2975" t="s">
        <v>3222</v>
      </c>
      <c r="C318" s="2987"/>
      <c r="D318" s="2987"/>
      <c r="E318" s="2987"/>
      <c r="F318" s="2976">
        <v>0.05</v>
      </c>
      <c r="G318" s="2993"/>
    </row>
    <row r="319" spans="1:7">
      <c r="A319" s="2986" t="s">
        <v>306</v>
      </c>
      <c r="B319" s="2975" t="s">
        <v>3223</v>
      </c>
      <c r="C319" s="2987"/>
      <c r="D319" s="2987"/>
      <c r="E319" s="2987"/>
      <c r="F319" s="2976">
        <v>0.05</v>
      </c>
      <c r="G319" s="2993"/>
    </row>
    <row r="320" spans="1:7">
      <c r="A320" s="2986" t="s">
        <v>306</v>
      </c>
      <c r="B320" s="2975" t="s">
        <v>3224</v>
      </c>
      <c r="C320" s="2987"/>
      <c r="D320" s="2987"/>
      <c r="E320" s="2987"/>
      <c r="F320" s="2976">
        <v>0.05</v>
      </c>
      <c r="G320" s="2993"/>
    </row>
    <row r="321" spans="1:7">
      <c r="A321" s="2986" t="s">
        <v>306</v>
      </c>
      <c r="B321" s="2975" t="s">
        <v>3225</v>
      </c>
      <c r="C321" s="2987"/>
      <c r="D321" s="2987"/>
      <c r="E321" s="2987"/>
      <c r="F321" s="2976">
        <v>0.05</v>
      </c>
      <c r="G321" s="2993"/>
    </row>
    <row r="322" spans="1:7">
      <c r="A322" s="2986" t="s">
        <v>306</v>
      </c>
      <c r="B322" s="2975" t="s">
        <v>3226</v>
      </c>
      <c r="C322" s="2987"/>
      <c r="D322" s="2987"/>
      <c r="E322" s="2987"/>
      <c r="F322" s="2976">
        <v>0.05</v>
      </c>
      <c r="G322" s="2993"/>
    </row>
    <row r="323" spans="1:7">
      <c r="A323" s="2986" t="s">
        <v>306</v>
      </c>
      <c r="B323" s="2975" t="s">
        <v>3227</v>
      </c>
      <c r="C323" s="2987"/>
      <c r="D323" s="2987"/>
      <c r="E323" s="2987"/>
      <c r="F323" s="2976">
        <v>0.05</v>
      </c>
      <c r="G323" s="2993"/>
    </row>
    <row r="324" spans="1:7">
      <c r="A324" s="2986" t="s">
        <v>306</v>
      </c>
      <c r="B324" s="2975" t="s">
        <v>3228</v>
      </c>
      <c r="C324" s="2987"/>
      <c r="D324" s="2987"/>
      <c r="E324" s="2987"/>
      <c r="F324" s="2976">
        <v>0.05</v>
      </c>
      <c r="G324" s="2993"/>
    </row>
    <row r="325" spans="1:7">
      <c r="A325" s="2986" t="s">
        <v>306</v>
      </c>
      <c r="B325" s="2975" t="s">
        <v>3229</v>
      </c>
      <c r="C325" s="2987"/>
      <c r="D325" s="2987"/>
      <c r="E325" s="2987"/>
      <c r="F325" s="2976">
        <v>0.05</v>
      </c>
      <c r="G325" s="2993"/>
    </row>
    <row r="326" spans="1:7" ht="15" thickBot="1">
      <c r="A326" s="2989" t="s">
        <v>306</v>
      </c>
      <c r="B326" s="2979" t="s">
        <v>3230</v>
      </c>
      <c r="C326" s="2981"/>
      <c r="D326" s="2981"/>
      <c r="E326" s="2981"/>
      <c r="F326" s="2980">
        <v>0.05</v>
      </c>
      <c r="G326" s="2994"/>
    </row>
    <row r="327" spans="1:7">
      <c r="A327" s="2985" t="s">
        <v>307</v>
      </c>
      <c r="B327" s="2971" t="s">
        <v>2862</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2874</v>
      </c>
      <c r="C329" s="2976">
        <v>0.15</v>
      </c>
      <c r="D329" s="2976">
        <v>0.15</v>
      </c>
      <c r="E329" s="2976">
        <v>0.15</v>
      </c>
      <c r="F329" s="2976">
        <v>0.15</v>
      </c>
      <c r="G329" s="2977">
        <v>0.15</v>
      </c>
    </row>
    <row r="330" spans="1:7">
      <c r="A330" s="2986" t="s">
        <v>307</v>
      </c>
      <c r="B330" s="2975" t="s">
        <v>2878</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2886</v>
      </c>
      <c r="C332" s="2976">
        <v>0.15</v>
      </c>
      <c r="D332" s="2976">
        <v>0.15</v>
      </c>
      <c r="E332" s="2976">
        <v>0.15</v>
      </c>
      <c r="F332" s="2976">
        <v>0.15</v>
      </c>
      <c r="G332" s="2977">
        <v>0.15</v>
      </c>
    </row>
    <row r="333" spans="1:7">
      <c r="A333" s="2986" t="s">
        <v>307</v>
      </c>
      <c r="B333" s="2975" t="s">
        <v>2890</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2896</v>
      </c>
      <c r="C336" s="2976">
        <v>0.15</v>
      </c>
      <c r="D336" s="2976">
        <v>0.15</v>
      </c>
      <c r="E336" s="2976">
        <v>0.15</v>
      </c>
      <c r="F336" s="2976">
        <v>0.14199999999999999</v>
      </c>
      <c r="G336" s="2977">
        <v>0.15</v>
      </c>
    </row>
    <row r="337" spans="1:7">
      <c r="A337" s="2986" t="s">
        <v>307</v>
      </c>
      <c r="B337" s="2975" t="s">
        <v>2901</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2908</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2913</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2921</v>
      </c>
      <c r="C345" s="2976">
        <v>0.15</v>
      </c>
      <c r="D345" s="2976">
        <v>0.15</v>
      </c>
      <c r="E345" s="2976">
        <v>0.15</v>
      </c>
      <c r="F345" s="2976">
        <v>0.13800000000000001</v>
      </c>
      <c r="G345" s="2977">
        <v>0.15</v>
      </c>
    </row>
    <row r="346" spans="1:7">
      <c r="A346" s="2986" t="s">
        <v>307</v>
      </c>
      <c r="B346" s="2975" t="s">
        <v>2923</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2930</v>
      </c>
      <c r="C348" s="2976">
        <v>0.15</v>
      </c>
      <c r="D348" s="2976">
        <v>0.15</v>
      </c>
      <c r="E348" s="2976">
        <v>0.15</v>
      </c>
      <c r="F348" s="2976">
        <v>0.14399999999999999</v>
      </c>
      <c r="G348" s="2977">
        <v>0.15</v>
      </c>
    </row>
    <row r="349" spans="1:7">
      <c r="A349" s="2986" t="s">
        <v>307</v>
      </c>
      <c r="B349" s="2975" t="s">
        <v>2935</v>
      </c>
      <c r="C349" s="2976">
        <v>0.15</v>
      </c>
      <c r="D349" s="2976">
        <v>0.15</v>
      </c>
      <c r="E349" s="2976">
        <v>0.15</v>
      </c>
      <c r="F349" s="2976">
        <v>0.15</v>
      </c>
      <c r="G349" s="2977">
        <v>0.15</v>
      </c>
    </row>
    <row r="350" spans="1:7">
      <c r="A350" s="2986" t="s">
        <v>307</v>
      </c>
      <c r="B350" s="2975" t="s">
        <v>2938</v>
      </c>
      <c r="C350" s="2976">
        <v>0.15</v>
      </c>
      <c r="D350" s="2976">
        <v>0.15</v>
      </c>
      <c r="E350" s="2976">
        <v>0.15</v>
      </c>
      <c r="F350" s="2976">
        <v>0.14699999999999999</v>
      </c>
      <c r="G350" s="2977">
        <v>0.15</v>
      </c>
    </row>
    <row r="351" spans="1:7">
      <c r="A351" s="2986" t="s">
        <v>307</v>
      </c>
      <c r="B351" s="2975" t="s">
        <v>2943</v>
      </c>
      <c r="C351" s="2976">
        <v>0.15</v>
      </c>
      <c r="D351" s="2976">
        <v>0.15</v>
      </c>
      <c r="E351" s="2976">
        <v>0.15</v>
      </c>
      <c r="F351" s="2976">
        <v>0.13</v>
      </c>
      <c r="G351" s="2977">
        <v>0.15</v>
      </c>
    </row>
    <row r="352" spans="1:7">
      <c r="A352" s="2986" t="s">
        <v>307</v>
      </c>
      <c r="B352" s="2975" t="s">
        <v>2948</v>
      </c>
      <c r="C352" s="2976">
        <v>0.15</v>
      </c>
      <c r="D352" s="2976">
        <v>0.15</v>
      </c>
      <c r="E352" s="2976">
        <v>0.15</v>
      </c>
      <c r="F352" s="2976">
        <v>0.14599999999999999</v>
      </c>
      <c r="G352" s="2977">
        <v>0.15</v>
      </c>
    </row>
    <row r="353" spans="1:7">
      <c r="A353" s="2986" t="s">
        <v>307</v>
      </c>
      <c r="B353" s="2975" t="s">
        <v>2955</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2968</v>
      </c>
      <c r="C355" s="2976">
        <v>0.15</v>
      </c>
      <c r="D355" s="2976">
        <v>0.15</v>
      </c>
      <c r="E355" s="2976">
        <v>0.15</v>
      </c>
      <c r="F355" s="2976">
        <v>0.15</v>
      </c>
      <c r="G355" s="2977">
        <v>0.15</v>
      </c>
    </row>
    <row r="356" spans="1:7">
      <c r="A356" s="2986" t="s">
        <v>307</v>
      </c>
      <c r="B356" s="2975" t="s">
        <v>2975</v>
      </c>
      <c r="C356" s="2976">
        <v>0.15</v>
      </c>
      <c r="D356" s="2976">
        <v>0.15</v>
      </c>
      <c r="E356" s="2976">
        <v>0.15</v>
      </c>
      <c r="F356" s="2976">
        <v>0.15</v>
      </c>
      <c r="G356" s="2977">
        <v>0.15</v>
      </c>
    </row>
    <row r="357" spans="1:7" ht="15" thickBot="1">
      <c r="A357" s="2989" t="s">
        <v>307</v>
      </c>
      <c r="B357" s="2979" t="s">
        <v>2980</v>
      </c>
      <c r="C357" s="2980">
        <v>0.126</v>
      </c>
      <c r="D357" s="2980">
        <v>0.127</v>
      </c>
      <c r="E357" s="2980">
        <v>0.14299999999999999</v>
      </c>
      <c r="F357" s="2980">
        <v>0.125</v>
      </c>
      <c r="G357" s="2982">
        <v>0.129</v>
      </c>
    </row>
    <row r="358" spans="1:7">
      <c r="A358" s="2985" t="s">
        <v>2849</v>
      </c>
      <c r="B358" s="2971" t="s">
        <v>2863</v>
      </c>
      <c r="C358" s="2972">
        <v>0.15</v>
      </c>
      <c r="D358" s="2972">
        <v>0.15</v>
      </c>
      <c r="E358" s="2972">
        <v>0.15</v>
      </c>
      <c r="F358" s="2972">
        <v>0.15</v>
      </c>
      <c r="G358" s="2973">
        <v>0.15</v>
      </c>
    </row>
    <row r="359" spans="1:7">
      <c r="A359" s="2986" t="s">
        <v>2849</v>
      </c>
      <c r="B359" s="2975" t="s">
        <v>2869</v>
      </c>
      <c r="C359" s="2976">
        <v>0.1</v>
      </c>
      <c r="D359" s="2976">
        <v>0.1</v>
      </c>
      <c r="E359" s="2976">
        <v>0.1</v>
      </c>
      <c r="F359" s="2976">
        <v>0.1</v>
      </c>
      <c r="G359" s="2977">
        <v>0.1</v>
      </c>
    </row>
    <row r="360" spans="1:7">
      <c r="A360" s="2986" t="s">
        <v>2849</v>
      </c>
      <c r="B360" s="2975" t="s">
        <v>2875</v>
      </c>
      <c r="C360" s="2976">
        <v>0.15</v>
      </c>
      <c r="D360" s="2976">
        <v>0.15</v>
      </c>
      <c r="E360" s="2976">
        <v>0.15</v>
      </c>
      <c r="F360" s="2976">
        <v>0.14899999999999999</v>
      </c>
      <c r="G360" s="2977">
        <v>0.15</v>
      </c>
    </row>
    <row r="361" spans="1:7">
      <c r="A361" s="2986" t="s">
        <v>2849</v>
      </c>
      <c r="B361" s="2975" t="s">
        <v>153</v>
      </c>
      <c r="C361" s="2976">
        <v>0.15</v>
      </c>
      <c r="D361" s="2976">
        <v>0.15</v>
      </c>
      <c r="E361" s="2976">
        <v>0.15</v>
      </c>
      <c r="F361" s="2976">
        <v>0.115</v>
      </c>
      <c r="G361" s="2977">
        <v>0.15</v>
      </c>
    </row>
    <row r="362" spans="1:7">
      <c r="A362" s="2986" t="s">
        <v>2849</v>
      </c>
      <c r="B362" s="2975" t="s">
        <v>2882</v>
      </c>
      <c r="C362" s="2976">
        <v>0.15</v>
      </c>
      <c r="D362" s="2976">
        <v>0.15</v>
      </c>
      <c r="E362" s="2976">
        <v>0.15</v>
      </c>
      <c r="F362" s="2976">
        <v>0.106</v>
      </c>
      <c r="G362" s="2977">
        <v>0.15</v>
      </c>
    </row>
    <row r="363" spans="1:7">
      <c r="A363" s="2986" t="s">
        <v>2849</v>
      </c>
      <c r="B363" s="2975" t="s">
        <v>2887</v>
      </c>
      <c r="C363" s="2976">
        <v>0.15</v>
      </c>
      <c r="D363" s="2976">
        <v>0.15</v>
      </c>
      <c r="E363" s="2976">
        <v>0.15</v>
      </c>
      <c r="F363" s="2976">
        <v>0.14699999999999999</v>
      </c>
      <c r="G363" s="2977">
        <v>0.15</v>
      </c>
    </row>
    <row r="364" spans="1:7">
      <c r="A364" s="2986" t="s">
        <v>2849</v>
      </c>
      <c r="B364" s="2975" t="s">
        <v>2891</v>
      </c>
      <c r="C364" s="2976">
        <v>0.15</v>
      </c>
      <c r="D364" s="2976">
        <v>0.15</v>
      </c>
      <c r="E364" s="2976">
        <v>0.15</v>
      </c>
      <c r="F364" s="2976">
        <v>0.14799999999999999</v>
      </c>
      <c r="G364" s="2977">
        <v>0.15</v>
      </c>
    </row>
    <row r="365" spans="1:7">
      <c r="A365" s="2986" t="s">
        <v>2849</v>
      </c>
      <c r="B365" s="2975" t="s">
        <v>200</v>
      </c>
      <c r="C365" s="2976">
        <v>0.15</v>
      </c>
      <c r="D365" s="2976">
        <v>0.15</v>
      </c>
      <c r="E365" s="2976">
        <v>0.15</v>
      </c>
      <c r="F365" s="2976">
        <v>0.15</v>
      </c>
      <c r="G365" s="2977">
        <v>0.15</v>
      </c>
    </row>
    <row r="366" spans="1:7">
      <c r="A366" s="2986" t="s">
        <v>2849</v>
      </c>
      <c r="B366" s="2975" t="s">
        <v>2894</v>
      </c>
      <c r="C366" s="2976">
        <v>0.15</v>
      </c>
      <c r="D366" s="2976">
        <v>0.15</v>
      </c>
      <c r="E366" s="2976">
        <v>0.15</v>
      </c>
      <c r="F366" s="2976">
        <v>0.15</v>
      </c>
      <c r="G366" s="2977">
        <v>0.15</v>
      </c>
    </row>
    <row r="367" spans="1:7">
      <c r="A367" s="2986" t="s">
        <v>2849</v>
      </c>
      <c r="B367" s="2975" t="s">
        <v>2897</v>
      </c>
      <c r="C367" s="2976">
        <v>0.15</v>
      </c>
      <c r="D367" s="2976">
        <v>0.15</v>
      </c>
      <c r="E367" s="2976">
        <v>0.15</v>
      </c>
      <c r="F367" s="2976">
        <v>0.14699999999999999</v>
      </c>
      <c r="G367" s="2977">
        <v>0.15</v>
      </c>
    </row>
    <row r="368" spans="1:7">
      <c r="A368" s="2986" t="s">
        <v>2849</v>
      </c>
      <c r="B368" s="2975" t="s">
        <v>2902</v>
      </c>
      <c r="C368" s="2976">
        <v>0.15</v>
      </c>
      <c r="D368" s="2976">
        <v>0.15</v>
      </c>
      <c r="E368" s="2976">
        <v>0.15</v>
      </c>
      <c r="F368" s="2976">
        <v>0.13600000000000001</v>
      </c>
      <c r="G368" s="2977">
        <v>0.15</v>
      </c>
    </row>
    <row r="369" spans="1:7">
      <c r="A369" s="2986" t="s">
        <v>2849</v>
      </c>
      <c r="B369" s="2975" t="s">
        <v>214</v>
      </c>
      <c r="C369" s="2976">
        <v>0.15</v>
      </c>
      <c r="D369" s="2976">
        <v>0.15</v>
      </c>
      <c r="E369" s="2976">
        <v>0.15</v>
      </c>
      <c r="F369" s="2976">
        <v>0.14399999999999999</v>
      </c>
      <c r="G369" s="2977">
        <v>0.15</v>
      </c>
    </row>
    <row r="370" spans="1:7">
      <c r="A370" s="2986" t="s">
        <v>2849</v>
      </c>
      <c r="B370" s="2975" t="s">
        <v>221</v>
      </c>
      <c r="C370" s="2976">
        <v>0.15</v>
      </c>
      <c r="D370" s="2976">
        <v>0.15</v>
      </c>
      <c r="E370" s="2976">
        <v>0.15</v>
      </c>
      <c r="F370" s="2976">
        <v>0.14599999999999999</v>
      </c>
      <c r="G370" s="2977">
        <v>0.15</v>
      </c>
    </row>
    <row r="371" spans="1:7">
      <c r="A371" s="2986" t="s">
        <v>2849</v>
      </c>
      <c r="B371" s="2975" t="s">
        <v>229</v>
      </c>
      <c r="C371" s="2976">
        <v>0.15</v>
      </c>
      <c r="D371" s="2976">
        <v>0.15</v>
      </c>
      <c r="E371" s="2976">
        <v>0.15</v>
      </c>
      <c r="F371" s="2976">
        <v>0.12</v>
      </c>
      <c r="G371" s="2977">
        <v>0.15</v>
      </c>
    </row>
    <row r="372" spans="1:7">
      <c r="A372" s="2986" t="s">
        <v>2849</v>
      </c>
      <c r="B372" s="2975" t="s">
        <v>2910</v>
      </c>
      <c r="C372" s="2976">
        <v>0.15</v>
      </c>
      <c r="D372" s="2976">
        <v>0.15</v>
      </c>
      <c r="E372" s="2976">
        <v>0.15</v>
      </c>
      <c r="F372" s="2976">
        <v>0.14299999999999999</v>
      </c>
      <c r="G372" s="2977">
        <v>0.15</v>
      </c>
    </row>
    <row r="373" spans="1:7">
      <c r="A373" s="2986" t="s">
        <v>2849</v>
      </c>
      <c r="B373" s="2975" t="s">
        <v>258</v>
      </c>
      <c r="C373" s="2976">
        <v>0.15</v>
      </c>
      <c r="D373" s="2976">
        <v>0.15</v>
      </c>
      <c r="E373" s="2976">
        <v>0.15</v>
      </c>
      <c r="F373" s="2976">
        <v>0.14599999999999999</v>
      </c>
      <c r="G373" s="2977">
        <v>0.15</v>
      </c>
    </row>
    <row r="374" spans="1:7">
      <c r="A374" s="2986" t="s">
        <v>2849</v>
      </c>
      <c r="B374" s="2975" t="s">
        <v>266</v>
      </c>
      <c r="C374" s="2976">
        <v>0.15</v>
      </c>
      <c r="D374" s="2976">
        <v>0.15</v>
      </c>
      <c r="E374" s="2976">
        <v>0.15</v>
      </c>
      <c r="F374" s="2976">
        <v>0.14399999999999999</v>
      </c>
      <c r="G374" s="2977">
        <v>0.15</v>
      </c>
    </row>
    <row r="375" spans="1:7">
      <c r="A375" s="2986" t="s">
        <v>2849</v>
      </c>
      <c r="B375" s="2975" t="s">
        <v>2918</v>
      </c>
      <c r="C375" s="2976">
        <v>0.15</v>
      </c>
      <c r="D375" s="2976">
        <v>0.15</v>
      </c>
      <c r="E375" s="2976">
        <v>0.15</v>
      </c>
      <c r="F375" s="2976">
        <v>0.13</v>
      </c>
      <c r="G375" s="2977">
        <v>0.15</v>
      </c>
    </row>
    <row r="376" spans="1:7">
      <c r="A376" s="2986" t="s">
        <v>2849</v>
      </c>
      <c r="B376" s="2975" t="s">
        <v>277</v>
      </c>
      <c r="C376" s="2976">
        <v>0.15</v>
      </c>
      <c r="D376" s="2976">
        <v>0.15</v>
      </c>
      <c r="E376" s="2976">
        <v>0.15</v>
      </c>
      <c r="F376" s="2976">
        <v>0.14199999999999999</v>
      </c>
      <c r="G376" s="2977">
        <v>0.15</v>
      </c>
    </row>
    <row r="377" spans="1:7" ht="15" thickBot="1">
      <c r="A377" s="2989" t="s">
        <v>2849</v>
      </c>
      <c r="B377" s="2979" t="s">
        <v>2924</v>
      </c>
      <c r="C377" s="2980">
        <v>0.15</v>
      </c>
      <c r="D377" s="2980">
        <v>0.15</v>
      </c>
      <c r="E377" s="2980">
        <v>0.15</v>
      </c>
      <c r="F377" s="2980">
        <v>0.14000000000000001</v>
      </c>
      <c r="G377" s="2982">
        <v>0.15</v>
      </c>
    </row>
    <row r="378" spans="1:7">
      <c r="A378" s="2985" t="s">
        <v>2850</v>
      </c>
      <c r="B378" s="2971" t="s">
        <v>2864</v>
      </c>
      <c r="C378" s="2972">
        <v>0.15</v>
      </c>
      <c r="D378" s="2972">
        <v>0.15</v>
      </c>
      <c r="E378" s="2972">
        <v>0.15</v>
      </c>
      <c r="F378" s="2972">
        <v>0.107</v>
      </c>
      <c r="G378" s="2973">
        <v>0.15</v>
      </c>
    </row>
    <row r="379" spans="1:7">
      <c r="A379" s="2986" t="s">
        <v>2850</v>
      </c>
      <c r="B379" s="2975" t="s">
        <v>2870</v>
      </c>
      <c r="C379" s="2976">
        <v>0.15</v>
      </c>
      <c r="D379" s="2976">
        <v>0.15</v>
      </c>
      <c r="E379" s="2976">
        <v>0.15</v>
      </c>
      <c r="F379" s="2976">
        <v>0.115</v>
      </c>
      <c r="G379" s="2977">
        <v>0.14899999999999999</v>
      </c>
    </row>
    <row r="380" spans="1:7">
      <c r="A380" s="2986" t="s">
        <v>2850</v>
      </c>
      <c r="B380" s="2975" t="s">
        <v>2876</v>
      </c>
      <c r="C380" s="2976">
        <v>0.15</v>
      </c>
      <c r="D380" s="2976">
        <v>0.15</v>
      </c>
      <c r="E380" s="2976">
        <v>0.15</v>
      </c>
      <c r="F380" s="2976">
        <v>0.1</v>
      </c>
      <c r="G380" s="2977">
        <v>0.14799999999999999</v>
      </c>
    </row>
    <row r="381" spans="1:7">
      <c r="A381" s="2986" t="s">
        <v>2850</v>
      </c>
      <c r="B381" s="2975" t="s">
        <v>2879</v>
      </c>
      <c r="C381" s="2976">
        <v>0.15</v>
      </c>
      <c r="D381" s="2976">
        <v>0.15</v>
      </c>
      <c r="E381" s="2976">
        <v>0.15</v>
      </c>
      <c r="F381" s="2976">
        <v>0.126</v>
      </c>
      <c r="G381" s="2977">
        <v>0.15</v>
      </c>
    </row>
    <row r="382" spans="1:7">
      <c r="A382" s="2986" t="s">
        <v>2850</v>
      </c>
      <c r="B382" s="2975" t="s">
        <v>2883</v>
      </c>
      <c r="C382" s="2976">
        <v>0.15</v>
      </c>
      <c r="D382" s="2976">
        <v>0.15</v>
      </c>
      <c r="E382" s="2976">
        <v>0.15</v>
      </c>
      <c r="F382" s="2976">
        <v>0.15</v>
      </c>
      <c r="G382" s="2977">
        <v>0.15</v>
      </c>
    </row>
    <row r="383" spans="1:7">
      <c r="A383" s="2986" t="s">
        <v>2850</v>
      </c>
      <c r="B383" s="2975" t="s">
        <v>2888</v>
      </c>
      <c r="C383" s="2976">
        <v>0.15</v>
      </c>
      <c r="D383" s="2976">
        <v>0.15</v>
      </c>
      <c r="E383" s="2976">
        <v>0.15</v>
      </c>
      <c r="F383" s="2976">
        <v>0.14699999999999999</v>
      </c>
      <c r="G383" s="2977">
        <v>0.15</v>
      </c>
    </row>
    <row r="384" spans="1:7" ht="15" thickBot="1">
      <c r="A384" s="2996" t="s">
        <v>2850</v>
      </c>
      <c r="B384" s="2997" t="s">
        <v>2892</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2811"/>
  </cols>
  <sheetData>
    <row r="1" spans="1:6">
      <c r="A1" s="3510" t="s">
        <v>3231</v>
      </c>
      <c r="B1" s="3510"/>
      <c r="C1" s="3510"/>
      <c r="D1" s="3510"/>
      <c r="E1" s="3510"/>
      <c r="F1" s="3511"/>
    </row>
    <row r="2" spans="1:6">
      <c r="A2" s="3000" t="s">
        <v>3232</v>
      </c>
    </row>
    <row r="3" spans="1:6">
      <c r="A3" s="3000" t="s">
        <v>3233</v>
      </c>
      <c r="F3" s="3001" t="s">
        <v>3234</v>
      </c>
    </row>
    <row r="4" spans="1:6">
      <c r="A4" s="3002" t="s">
        <v>672</v>
      </c>
      <c r="B4" s="3002" t="s">
        <v>673</v>
      </c>
      <c r="C4" s="3002" t="s">
        <v>21</v>
      </c>
      <c r="D4" s="3002" t="s">
        <v>674</v>
      </c>
      <c r="E4" s="3002" t="s">
        <v>3</v>
      </c>
      <c r="F4" s="3002" t="s">
        <v>3235</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zoomScale="90" zoomScaleNormal="90" workbookViewId="0">
      <selection activeCell="F54" sqref="F54"/>
    </sheetView>
  </sheetViews>
  <sheetFormatPr defaultRowHeight="14.4"/>
  <cols>
    <col min="1" max="1" width="13.88671875" customWidth="1"/>
    <col min="11" max="17" width="0" hidden="1" customWidth="1"/>
    <col min="25" max="30" width="0" hidden="1" customWidth="1"/>
  </cols>
  <sheetData>
    <row r="1" spans="1:30">
      <c r="A1" s="2935">
        <f>基准地价修正!G23</f>
        <v>45755</v>
      </c>
      <c r="B1" s="2927" t="s">
        <v>3379</v>
      </c>
      <c r="C1" s="2928"/>
      <c r="D1" s="2928"/>
      <c r="E1" s="2928"/>
      <c r="F1" s="2928"/>
      <c r="G1" s="2928"/>
      <c r="H1" s="2928"/>
      <c r="I1" s="2928"/>
      <c r="J1" s="2894"/>
      <c r="K1" s="2928" t="s">
        <v>454</v>
      </c>
      <c r="L1" s="2928"/>
      <c r="M1" s="2928"/>
      <c r="N1" s="2928"/>
      <c r="O1" s="2928"/>
      <c r="P1" s="2928"/>
      <c r="Q1" s="2894"/>
      <c r="R1" s="3512" t="s">
        <v>456</v>
      </c>
      <c r="S1" s="3513"/>
      <c r="T1" s="3513"/>
      <c r="U1" s="3513"/>
      <c r="V1" s="3513"/>
      <c r="W1" s="3513"/>
      <c r="X1" s="2894"/>
      <c r="Y1" s="3512" t="s">
        <v>457</v>
      </c>
      <c r="Z1" s="3513"/>
      <c r="AA1" s="3513"/>
      <c r="AB1" s="3513"/>
      <c r="AC1" s="3513"/>
      <c r="AD1" s="3513"/>
    </row>
    <row r="2" spans="1:30" s="2007" customFormat="1" ht="15" thickBot="1">
      <c r="B2" s="2879"/>
      <c r="C2" s="2880"/>
      <c r="D2" s="2008" t="s">
        <v>2809</v>
      </c>
      <c r="E2" s="2009" t="s">
        <v>2810</v>
      </c>
      <c r="F2" s="2009" t="s">
        <v>2811</v>
      </c>
      <c r="G2" s="2009" t="s">
        <v>2812</v>
      </c>
      <c r="H2" s="2009" t="s">
        <v>2813</v>
      </c>
      <c r="I2" s="2009" t="s">
        <v>2630</v>
      </c>
      <c r="J2" s="2881"/>
      <c r="K2" s="2008" t="s">
        <v>2809</v>
      </c>
      <c r="L2" s="2009" t="s">
        <v>2810</v>
      </c>
      <c r="M2" s="2009" t="s">
        <v>2811</v>
      </c>
      <c r="N2" s="2009" t="s">
        <v>2812</v>
      </c>
      <c r="O2" s="2009" t="s">
        <v>2814</v>
      </c>
      <c r="P2" s="2009" t="s">
        <v>2630</v>
      </c>
      <c r="Q2" s="2881"/>
      <c r="R2" s="2008" t="s">
        <v>2809</v>
      </c>
      <c r="S2" s="2009" t="s">
        <v>2810</v>
      </c>
      <c r="T2" s="2009" t="s">
        <v>2811</v>
      </c>
      <c r="U2" s="2009" t="s">
        <v>2815</v>
      </c>
      <c r="V2" s="2009" t="s">
        <v>2816</v>
      </c>
      <c r="W2" s="2009" t="s">
        <v>2630</v>
      </c>
      <c r="X2" s="2881"/>
      <c r="Y2" s="2008" t="s">
        <v>2809</v>
      </c>
      <c r="Z2" s="2009" t="s">
        <v>2810</v>
      </c>
      <c r="AA2" s="2009" t="s">
        <v>2811</v>
      </c>
      <c r="AB2" s="2009" t="s">
        <v>2817</v>
      </c>
      <c r="AC2" s="2009" t="s">
        <v>2816</v>
      </c>
      <c r="AD2" s="2009" t="s">
        <v>2630</v>
      </c>
    </row>
    <row r="3" spans="1:30" s="2884" customFormat="1" ht="13.2">
      <c r="A3" s="2882" t="s">
        <v>2818</v>
      </c>
      <c r="B3" s="2883"/>
      <c r="D3" s="2884">
        <f>ROUND(AVERAGEIF(D4:D21,"&lt;&gt;0"),2)</f>
        <v>0.38</v>
      </c>
      <c r="E3" s="2884">
        <f t="shared" ref="E3:H3" si="0">ROUND(AVERAGEIF(E4:E21,"&lt;&gt;0"),2)</f>
        <v>0.26</v>
      </c>
      <c r="F3" s="2884">
        <f t="shared" si="0"/>
        <v>-0.01</v>
      </c>
      <c r="G3" s="2884">
        <f t="shared" si="0"/>
        <v>0.41</v>
      </c>
      <c r="H3" s="2884">
        <f t="shared" si="0"/>
        <v>0.52</v>
      </c>
      <c r="I3" s="2884">
        <f>F3</f>
        <v>-0.01</v>
      </c>
      <c r="J3" s="2885"/>
      <c r="K3" s="2886">
        <f>ROUND(AVERAGEIF(K4:K21,"&lt;&gt;0"),4)</f>
        <v>3.8E-3</v>
      </c>
      <c r="L3" s="2887">
        <f t="shared" ref="L3:O3" si="1">ROUND(AVERAGEIF(L4:L21,"&lt;&gt;0"),4)</f>
        <v>2.5999999999999999E-3</v>
      </c>
      <c r="M3" s="2887">
        <f t="shared" si="1"/>
        <v>-1E-4</v>
      </c>
      <c r="N3" s="2887">
        <f t="shared" si="1"/>
        <v>4.1000000000000003E-3</v>
      </c>
      <c r="O3" s="2887">
        <f t="shared" si="1"/>
        <v>5.1999999999999998E-3</v>
      </c>
      <c r="P3" s="2887">
        <f>M3</f>
        <v>-1E-4</v>
      </c>
      <c r="Q3" s="2885"/>
      <c r="R3" s="2888">
        <f>ROUND(SUMPRODUCT(PRODUCT(1+K4:K21)),4)</f>
        <v>1.0613999999999999</v>
      </c>
      <c r="S3" s="2889">
        <f t="shared" ref="S3:V3" si="2">ROUND(SUMPRODUCT(PRODUCT(1+L4:L21)),4)</f>
        <v>1.0415000000000001</v>
      </c>
      <c r="T3" s="2889">
        <f t="shared" si="2"/>
        <v>0.99780000000000002</v>
      </c>
      <c r="U3" s="2889">
        <f t="shared" si="2"/>
        <v>1.0678000000000001</v>
      </c>
      <c r="V3" s="2889">
        <f t="shared" si="2"/>
        <v>1.0866</v>
      </c>
      <c r="W3" s="2888">
        <f>T3</f>
        <v>0.99780000000000002</v>
      </c>
      <c r="X3" s="2885"/>
      <c r="Y3" s="2890">
        <f>ROUND(AVERAGEIF(Y8:Y21,"&lt;&gt;0"),4)</f>
        <v>8.3999999999999995E-3</v>
      </c>
      <c r="Z3" s="2891">
        <f t="shared" ref="Z3:AC3" si="3">ROUND(AVERAGEIF(Z8:Z21,"&lt;&gt;0"),4)</f>
        <v>3.5000000000000001E-3</v>
      </c>
      <c r="AA3" s="2892">
        <f t="shared" si="3"/>
        <v>8.0000000000000004E-4</v>
      </c>
      <c r="AB3" s="2890">
        <f t="shared" si="3"/>
        <v>9.1000000000000004E-3</v>
      </c>
      <c r="AC3" s="2893">
        <f t="shared" si="3"/>
        <v>6.1000000000000004E-3</v>
      </c>
      <c r="AD3" s="2890">
        <f>AA3</f>
        <v>8.0000000000000004E-4</v>
      </c>
    </row>
    <row r="4" spans="1:30" s="2006" customFormat="1" ht="13.2">
      <c r="B4" s="2022"/>
      <c r="J4" s="2894"/>
      <c r="K4" s="2895"/>
      <c r="L4" s="2896"/>
      <c r="M4" s="2896"/>
      <c r="N4" s="2896"/>
      <c r="O4" s="2896"/>
      <c r="P4" s="2896"/>
      <c r="Q4" s="2894"/>
      <c r="R4" s="2024"/>
      <c r="S4" s="2897"/>
      <c r="T4" s="2898"/>
      <c r="U4" s="2024"/>
      <c r="V4" s="2899"/>
      <c r="W4" s="2024"/>
      <c r="X4" s="2894"/>
      <c r="Y4" s="2025"/>
      <c r="Z4" s="2900"/>
      <c r="AA4" s="2901"/>
      <c r="AB4" s="2025"/>
      <c r="AC4" s="2902"/>
      <c r="AD4" s="2025"/>
    </row>
    <row r="5" spans="1:30" s="2042" customFormat="1" ht="13.2">
      <c r="A5" s="2037" t="s">
        <v>3375</v>
      </c>
      <c r="B5" s="2028">
        <v>2025</v>
      </c>
      <c r="C5" s="2039">
        <v>1</v>
      </c>
      <c r="D5" s="2004">
        <v>0</v>
      </c>
      <c r="E5" s="2004">
        <v>0</v>
      </c>
      <c r="F5" s="2004">
        <v>0</v>
      </c>
      <c r="G5" s="2004">
        <v>0</v>
      </c>
      <c r="H5" s="2004">
        <v>0</v>
      </c>
      <c r="I5" s="2005">
        <f t="shared" ref="I5" si="4">F5</f>
        <v>0</v>
      </c>
      <c r="J5" s="2904"/>
      <c r="K5" s="2040">
        <f t="shared" ref="K5" si="5">D5/100</f>
        <v>0</v>
      </c>
      <c r="L5" s="2025">
        <f t="shared" ref="L5" si="6">E5/100</f>
        <v>0</v>
      </c>
      <c r="M5" s="2025">
        <f t="shared" ref="M5" si="7">F5/100</f>
        <v>0</v>
      </c>
      <c r="N5" s="2025">
        <f t="shared" ref="N5" si="8">G5/100</f>
        <v>0</v>
      </c>
      <c r="O5" s="2025">
        <f t="shared" ref="O5" si="9">H5/100</f>
        <v>0</v>
      </c>
      <c r="P5" s="2025">
        <f>M5</f>
        <v>0</v>
      </c>
      <c r="Q5" s="2904"/>
      <c r="R5" s="2024">
        <f>ROUND(IF(项目基本情况!$B$8="出让",SUMPRODUCT(PRODUCT(1+K5:$K$21)),SUMPRODUCT(PRODUCT(1+K5:$K$20))),4)</f>
        <v>1.0511999999999999</v>
      </c>
      <c r="S5" s="2024">
        <f>ROUND(IF(项目基本情况!$B$8="出让",SUMPRODUCT(PRODUCT(1+L5:$L$21)),SUMPRODUCT(PRODUCT(1+L5:$L$20))),4)</f>
        <v>1.0398000000000001</v>
      </c>
      <c r="T5" s="2024">
        <f>ROUND(IF(项目基本情况!$B$8="出让",SUMPRODUCT(PRODUCT(1+M5:$M$21)),SUMPRODUCT(PRODUCT(1+M5:$M$20))),4)</f>
        <v>1.0003</v>
      </c>
      <c r="U5" s="2024">
        <f>ROUND(IF(项目基本情况!$B$8="出让",SUMPRODUCT(PRODUCT(1+N5:$N$21)),SUMPRODUCT(PRODUCT(1+N5:$N$20))),4)</f>
        <v>1.0561</v>
      </c>
      <c r="V5" s="2024">
        <f>ROUND(IF(项目基本情况!$B$8="出让",SUMPRODUCT(PRODUCT(1+O5:$O$21)),SUMPRODUCT(PRODUCT(1+O5:$O$20))),4)</f>
        <v>1.0827</v>
      </c>
      <c r="W5" s="2024">
        <f>T5</f>
        <v>1.0003</v>
      </c>
      <c r="X5" s="2904"/>
      <c r="Y5" s="2025">
        <f>IF(D5=0,0,ROUND(AVERAGE(D5:D18)/100,4))</f>
        <v>0</v>
      </c>
      <c r="Z5" s="2025">
        <f t="shared" ref="Z5" si="10">IF(E5=0,0,ROUND(AVERAGE(E5:E18)/100,4))</f>
        <v>0</v>
      </c>
      <c r="AA5" s="2025">
        <f t="shared" ref="AA5" si="11">IF(F5=0,0,ROUND(AVERAGE(F5:F18)/100,4))</f>
        <v>0</v>
      </c>
      <c r="AB5" s="2025">
        <f t="shared" ref="AB5" si="12">IF(G5=0,0,ROUND(AVERAGE(G5:G18)/100,4))</f>
        <v>0</v>
      </c>
      <c r="AC5" s="2025">
        <f t="shared" ref="AC5" si="13">IF(H5=0,0,ROUND(AVERAGE(H5:H18)/100,4))</f>
        <v>0</v>
      </c>
      <c r="AD5" s="2025">
        <f t="shared" ref="AD5" si="14">AA5</f>
        <v>0</v>
      </c>
    </row>
    <row r="6" spans="1:30" s="2914" customFormat="1" ht="13.2">
      <c r="A6" s="2905" t="s">
        <v>3384</v>
      </c>
      <c r="B6" s="2906">
        <v>2024</v>
      </c>
      <c r="C6" s="2907">
        <v>4</v>
      </c>
      <c r="D6" s="2908">
        <v>-1.02</v>
      </c>
      <c r="E6" s="2908">
        <v>-0.48</v>
      </c>
      <c r="F6" s="2908">
        <v>-0.75</v>
      </c>
      <c r="G6" s="2908">
        <v>-1.05</v>
      </c>
      <c r="H6" s="2909">
        <v>0.08</v>
      </c>
      <c r="I6" s="2910">
        <f t="shared" ref="I6" si="15">F6</f>
        <v>-0.75</v>
      </c>
      <c r="J6" s="2911"/>
      <c r="K6" s="2912">
        <f t="shared" ref="K6" si="16">D6/100</f>
        <v>-1.0200000000000001E-2</v>
      </c>
      <c r="L6" s="2913">
        <f t="shared" ref="L6" si="17">E6/100</f>
        <v>-4.7999999999999996E-3</v>
      </c>
      <c r="M6" s="2913">
        <f t="shared" ref="M6" si="18">F6/100</f>
        <v>-7.4999999999999997E-3</v>
      </c>
      <c r="N6" s="2913">
        <f t="shared" ref="N6" si="19">G6/100</f>
        <v>-1.0500000000000001E-2</v>
      </c>
      <c r="O6" s="2913">
        <f t="shared" ref="O6" si="20">H6/100</f>
        <v>8.0000000000000004E-4</v>
      </c>
      <c r="P6" s="2913">
        <f>M6</f>
        <v>-7.4999999999999997E-3</v>
      </c>
      <c r="Q6" s="2911"/>
      <c r="R6" s="2911">
        <f>ROUND(IF(项目基本情况!$B$8="出让",SUMPRODUCT(PRODUCT(1+K6:$K$21)),SUMPRODUCT(PRODUCT(1+K6:$K$20))),4)</f>
        <v>1.0511999999999999</v>
      </c>
      <c r="S6" s="2911">
        <f>ROUND(IF(项目基本情况!$B$8="出让",SUMPRODUCT(PRODUCT(1+L6:$L$21)),SUMPRODUCT(PRODUCT(1+L6:$L$20))),4)</f>
        <v>1.0398000000000001</v>
      </c>
      <c r="T6" s="2911">
        <f>ROUND(IF(项目基本情况!$B$8="出让",SUMPRODUCT(PRODUCT(1+M6:$M$21)),SUMPRODUCT(PRODUCT(1+M6:$M$20))),4)</f>
        <v>1.0003</v>
      </c>
      <c r="U6" s="2911">
        <f>ROUND(IF(项目基本情况!$B$8="出让",SUMPRODUCT(PRODUCT(1+N6:$N$21)),SUMPRODUCT(PRODUCT(1+N6:$N$20))),4)</f>
        <v>1.0561</v>
      </c>
      <c r="V6" s="2911">
        <f>ROUND(IF(项目基本情况!$B$8="出让",SUMPRODUCT(PRODUCT(1+O6:$O$21)),SUMPRODUCT(PRODUCT(1+O6:$O$20))),4)</f>
        <v>1.0827</v>
      </c>
      <c r="W6" s="2911">
        <f>T6</f>
        <v>1.0003</v>
      </c>
      <c r="X6" s="2911"/>
      <c r="Y6" s="2913">
        <f>IF(D6=0,0,ROUND(AVERAGE(D6:D19)/100,4))</f>
        <v>2.8999999999999998E-3</v>
      </c>
      <c r="Z6" s="2913">
        <f t="shared" ref="Z6" si="21">IF(E6=0,0,ROUND(AVERAGE(E6:E19)/100,4))</f>
        <v>2.3E-3</v>
      </c>
      <c r="AA6" s="2913">
        <f t="shared" ref="AA6" si="22">IF(F6=0,0,ROUND(AVERAGE(F6:F19)/100,4))</f>
        <v>-2.9999999999999997E-4</v>
      </c>
      <c r="AB6" s="2913">
        <f t="shared" ref="AB6" si="23">IF(G6=0,0,ROUND(AVERAGE(G6:G19)/100,4))</f>
        <v>3.3E-3</v>
      </c>
      <c r="AC6" s="2913">
        <f t="shared" ref="AC6" si="24">IF(H6=0,0,ROUND(AVERAGE(H6:H19)/100,4))</f>
        <v>5.0000000000000001E-3</v>
      </c>
      <c r="AD6" s="2913">
        <f t="shared" ref="AD6" si="25">AA6</f>
        <v>-2.9999999999999997E-4</v>
      </c>
    </row>
    <row r="7" spans="1:30" s="2042" customFormat="1" ht="13.2">
      <c r="A7" s="2037" t="s">
        <v>3383</v>
      </c>
      <c r="B7" s="2028">
        <v>2024</v>
      </c>
      <c r="C7" s="2039">
        <v>3</v>
      </c>
      <c r="D7" s="2004">
        <v>-1.19</v>
      </c>
      <c r="E7" s="2004">
        <v>-0.47</v>
      </c>
      <c r="F7" s="2004">
        <v>-0.28999999999999998</v>
      </c>
      <c r="G7" s="2004">
        <v>-0.74</v>
      </c>
      <c r="H7" s="2004">
        <v>-0.21</v>
      </c>
      <c r="I7" s="2005">
        <f t="shared" ref="I7" si="26">F7</f>
        <v>-0.28999999999999998</v>
      </c>
      <c r="J7" s="2904"/>
      <c r="K7" s="2040">
        <f t="shared" ref="K7" si="27">D7/100</f>
        <v>-1.1899999999999999E-2</v>
      </c>
      <c r="L7" s="2025">
        <f t="shared" ref="L7" si="28">E7/100</f>
        <v>-4.6999999999999993E-3</v>
      </c>
      <c r="M7" s="2025">
        <f t="shared" ref="M7" si="29">F7/100</f>
        <v>-2.8999999999999998E-3</v>
      </c>
      <c r="N7" s="2025">
        <f t="shared" ref="N7" si="30">G7/100</f>
        <v>-7.4000000000000003E-3</v>
      </c>
      <c r="O7" s="2025">
        <f t="shared" ref="O7" si="31">H7/100</f>
        <v>-2.0999999999999999E-3</v>
      </c>
      <c r="P7" s="2025">
        <f>M7</f>
        <v>-2.8999999999999998E-3</v>
      </c>
      <c r="Q7" s="2904"/>
      <c r="R7" s="2024">
        <f>ROUND(IF(项目基本情况!$B$8="出让",SUMPRODUCT(PRODUCT(1+K7:$K$21)),SUMPRODUCT(PRODUCT(1+K7:$K$20))),4)</f>
        <v>1.0620000000000001</v>
      </c>
      <c r="S7" s="2024">
        <f>ROUND(IF(项目基本情况!$B$8="出让",SUMPRODUCT(PRODUCT(1+L7:$L$21)),SUMPRODUCT(PRODUCT(1+L7:$L$20))),4)</f>
        <v>1.0448</v>
      </c>
      <c r="T7" s="2024">
        <f>ROUND(IF(项目基本情况!$B$8="出让",SUMPRODUCT(PRODUCT(1+M7:$M$21)),SUMPRODUCT(PRODUCT(1+M7:$M$20))),4)</f>
        <v>1.0079</v>
      </c>
      <c r="U7" s="2024">
        <f>ROUND(IF(项目基本情况!$B$8="出让",SUMPRODUCT(PRODUCT(1+N7:$N$21)),SUMPRODUCT(PRODUCT(1+N7:$N$20))),4)</f>
        <v>1.0672999999999999</v>
      </c>
      <c r="V7" s="2024">
        <f>ROUND(IF(项目基本情况!$B$8="出让",SUMPRODUCT(PRODUCT(1+O7:$O$21)),SUMPRODUCT(PRODUCT(1+O7:$O$20))),4)</f>
        <v>1.0818000000000001</v>
      </c>
      <c r="W7" s="2024">
        <f>T7</f>
        <v>1.0079</v>
      </c>
      <c r="X7" s="2904"/>
      <c r="Y7" s="2025">
        <f>IF(D7=0,0,ROUND(AVERAGE(D7:D20)/100,4))</f>
        <v>4.3E-3</v>
      </c>
      <c r="Z7" s="2025">
        <f t="shared" ref="Z7" si="32">IF(E7=0,0,ROUND(AVERAGE(E7:E20)/100,4))</f>
        <v>3.0999999999999999E-3</v>
      </c>
      <c r="AA7" s="2025">
        <f t="shared" ref="AA7" si="33">IF(F7=0,0,ROUND(AVERAGE(F7:F20)/100,4))</f>
        <v>5.9999999999999995E-4</v>
      </c>
      <c r="AB7" s="2025">
        <f t="shared" ref="AB7" si="34">IF(G7=0,0,ROUND(AVERAGE(G7:G20)/100,4))</f>
        <v>4.7000000000000002E-3</v>
      </c>
      <c r="AC7" s="2025">
        <f t="shared" ref="AC7" si="35">IF(H7=0,0,ROUND(AVERAGE(H7:H20)/100,4))</f>
        <v>5.5999999999999999E-3</v>
      </c>
      <c r="AD7" s="2025">
        <f t="shared" ref="AD7" si="36">AA7</f>
        <v>5.9999999999999995E-4</v>
      </c>
    </row>
    <row r="8" spans="1:30" s="2042" customFormat="1" ht="13.2">
      <c r="A8" s="2903" t="s">
        <v>3376</v>
      </c>
      <c r="B8" s="2028">
        <v>2024</v>
      </c>
      <c r="C8" s="2039">
        <v>2</v>
      </c>
      <c r="D8" s="2004">
        <v>-0.59</v>
      </c>
      <c r="E8" s="2004">
        <v>-0.21</v>
      </c>
      <c r="F8" s="2004">
        <v>-1.38</v>
      </c>
      <c r="G8" s="2004">
        <v>-1.24</v>
      </c>
      <c r="H8" s="2915">
        <v>0.34</v>
      </c>
      <c r="I8" s="2005">
        <f t="shared" ref="I8:I21" si="37">F8</f>
        <v>-1.38</v>
      </c>
      <c r="J8" s="2904"/>
      <c r="K8" s="2040">
        <f t="shared" ref="K8:O21" si="38">D8/100</f>
        <v>-5.8999999999999999E-3</v>
      </c>
      <c r="L8" s="2025">
        <f t="shared" si="38"/>
        <v>-2.0999999999999999E-3</v>
      </c>
      <c r="M8" s="2025">
        <f t="shared" si="38"/>
        <v>-1.38E-2</v>
      </c>
      <c r="N8" s="2025">
        <f t="shared" si="38"/>
        <v>-1.24E-2</v>
      </c>
      <c r="O8" s="2025">
        <f t="shared" si="38"/>
        <v>3.4000000000000002E-3</v>
      </c>
      <c r="P8" s="2025">
        <f>M8</f>
        <v>-1.38E-2</v>
      </c>
      <c r="Q8" s="2904"/>
      <c r="R8" s="2024">
        <f>ROUND(IF(项目基本情况!$B$8="出让",SUMPRODUCT(PRODUCT(1+K8:$K$21)),SUMPRODUCT(PRODUCT(1+K8:$K$20))),4)</f>
        <v>1.0748</v>
      </c>
      <c r="S8" s="2024">
        <f>ROUND(IF(项目基本情况!$B$8="出让",SUMPRODUCT(PRODUCT(1+L8:$L$21)),SUMPRODUCT(PRODUCT(1+L8:$L$20))),4)</f>
        <v>1.0498000000000001</v>
      </c>
      <c r="T8" s="2024">
        <f>ROUND(IF(项目基本情况!$B$8="出让",SUMPRODUCT(PRODUCT(1+M8:$M$21)),SUMPRODUCT(PRODUCT(1+M8:$M$20))),4)</f>
        <v>1.0107999999999999</v>
      </c>
      <c r="U8" s="2024">
        <f>ROUND(IF(项目基本情况!$B$8="出让",SUMPRODUCT(PRODUCT(1+N8:$N$21)),SUMPRODUCT(PRODUCT(1+N8:$N$20))),4)</f>
        <v>1.0752999999999999</v>
      </c>
      <c r="V8" s="2024">
        <f>ROUND(IF(项目基本情况!$B$8="出让",SUMPRODUCT(PRODUCT(1+O8:$O$21)),SUMPRODUCT(PRODUCT(1+O8:$O$20))),4)</f>
        <v>1.0841000000000001</v>
      </c>
      <c r="W8" s="2024">
        <f>T8</f>
        <v>1.0107999999999999</v>
      </c>
      <c r="X8" s="2904"/>
      <c r="Y8" s="2025">
        <f>IF(D8=0,0,ROUND(AVERAGE(D8:D21)/100,4))</f>
        <v>5.8999999999999999E-3</v>
      </c>
      <c r="Z8" s="2025">
        <f t="shared" ref="Z8:AC8" si="39">IF(E8=0,0,ROUND(AVERAGE(E8:E21)/100,4))</f>
        <v>3.5999999999999999E-3</v>
      </c>
      <c r="AA8" s="2025">
        <f t="shared" si="39"/>
        <v>5.9999999999999995E-4</v>
      </c>
      <c r="AB8" s="2025">
        <f t="shared" si="39"/>
        <v>6.0000000000000001E-3</v>
      </c>
      <c r="AC8" s="2025">
        <f t="shared" si="39"/>
        <v>6.0000000000000001E-3</v>
      </c>
      <c r="AD8" s="2025">
        <f t="shared" ref="AD8:AD20" si="40">AA8</f>
        <v>5.9999999999999995E-4</v>
      </c>
    </row>
    <row r="9" spans="1:30" s="2042" customFormat="1" ht="13.2">
      <c r="A9" s="2903" t="s">
        <v>3374</v>
      </c>
      <c r="B9" s="2028">
        <v>2024</v>
      </c>
      <c r="C9" s="2039">
        <v>1</v>
      </c>
      <c r="D9" s="2004">
        <v>0.08</v>
      </c>
      <c r="E9" s="2004">
        <v>0.46</v>
      </c>
      <c r="F9" s="2004">
        <v>-0.16</v>
      </c>
      <c r="G9" s="2004">
        <v>0.26</v>
      </c>
      <c r="H9" s="2915">
        <v>0.59</v>
      </c>
      <c r="I9" s="2005">
        <v>0</v>
      </c>
      <c r="J9" s="2904"/>
      <c r="K9" s="2040">
        <f t="shared" ref="K9" si="41">D9/100</f>
        <v>8.0000000000000004E-4</v>
      </c>
      <c r="L9" s="2025">
        <f t="shared" ref="L9" si="42">E9/100</f>
        <v>4.5999999999999999E-3</v>
      </c>
      <c r="M9" s="2025">
        <f t="shared" ref="M9" si="43">F9/100</f>
        <v>-1.6000000000000001E-3</v>
      </c>
      <c r="N9" s="2025">
        <f t="shared" ref="N9" si="44">G9/100</f>
        <v>2.5999999999999999E-3</v>
      </c>
      <c r="O9" s="2025">
        <f t="shared" ref="O9" si="45">H9/100</f>
        <v>5.8999999999999999E-3</v>
      </c>
      <c r="P9" s="2025">
        <f t="shared" ref="P9" si="46">M9</f>
        <v>-1.6000000000000001E-3</v>
      </c>
      <c r="Q9" s="2904"/>
      <c r="R9" s="2024">
        <f>ROUND(IF(项目基本情况!$B$8="出让",SUMPRODUCT(PRODUCT(1+K9:$K$21)),SUMPRODUCT(PRODUCT(1+K9:$K$20))),4)</f>
        <v>1.0811999999999999</v>
      </c>
      <c r="S9" s="2024">
        <f>ROUND(IF(项目基本情况!$B$8="出让",SUMPRODUCT(PRODUCT(1+L9:$L$21)),SUMPRODUCT(PRODUCT(1+L9:$L$20))),4)</f>
        <v>1.052</v>
      </c>
      <c r="T9" s="2024">
        <f>ROUND(IF(项目基本情况!$B$8="出让",SUMPRODUCT(PRODUCT(1+M9:$M$21)),SUMPRODUCT(PRODUCT(1+M9:$M$20))),4)</f>
        <v>1.0249999999999999</v>
      </c>
      <c r="U9" s="2024">
        <f>ROUND(IF(项目基本情况!$B$8="出让",SUMPRODUCT(PRODUCT(1+N9:$N$21)),SUMPRODUCT(PRODUCT(1+N9:$N$20))),4)</f>
        <v>1.0888</v>
      </c>
      <c r="V9" s="2024">
        <f>ROUND(IF(项目基本情况!$B$8="出让",SUMPRODUCT(PRODUCT(1+O9:$O$21)),SUMPRODUCT(PRODUCT(1+O9:$O$20))),4)</f>
        <v>1.0804</v>
      </c>
      <c r="W9" s="2024">
        <f t="shared" ref="W9" si="47">T9</f>
        <v>1.0249999999999999</v>
      </c>
      <c r="X9" s="2904"/>
      <c r="Y9" s="2025"/>
      <c r="Z9" s="2025"/>
      <c r="AA9" s="2025"/>
      <c r="AB9" s="2025"/>
      <c r="AC9" s="2025"/>
      <c r="AD9" s="2025"/>
    </row>
    <row r="10" spans="1:30" s="2042" customFormat="1" ht="13.2">
      <c r="A10" s="2903" t="s">
        <v>3370</v>
      </c>
      <c r="B10" s="2028">
        <v>2023</v>
      </c>
      <c r="C10" s="2039">
        <v>4</v>
      </c>
      <c r="D10" s="2004">
        <v>0.19</v>
      </c>
      <c r="E10" s="2004">
        <v>0.24</v>
      </c>
      <c r="F10" s="2004">
        <v>-0.16</v>
      </c>
      <c r="G10" s="2004">
        <v>0.17</v>
      </c>
      <c r="H10" s="2915">
        <v>0.61</v>
      </c>
      <c r="I10" s="2005">
        <f>F10</f>
        <v>-0.16</v>
      </c>
      <c r="J10" s="2904"/>
      <c r="K10" s="2040">
        <f t="shared" si="38"/>
        <v>1.9E-3</v>
      </c>
      <c r="L10" s="2025">
        <f t="shared" si="38"/>
        <v>2.3999999999999998E-3</v>
      </c>
      <c r="M10" s="2025">
        <f t="shared" si="38"/>
        <v>-1.6000000000000001E-3</v>
      </c>
      <c r="N10" s="2025">
        <f t="shared" si="38"/>
        <v>1.7000000000000001E-3</v>
      </c>
      <c r="O10" s="2025">
        <f t="shared" si="38"/>
        <v>6.0999999999999995E-3</v>
      </c>
      <c r="P10" s="2025">
        <f t="shared" ref="P10" si="48">M10</f>
        <v>-1.6000000000000001E-3</v>
      </c>
      <c r="Q10" s="2904"/>
      <c r="R10" s="2024">
        <f>ROUND(IF(项目基本情况!$B$8="出让",SUMPRODUCT(PRODUCT(1+K10:$K$21)),SUMPRODUCT(PRODUCT(1+K10:$K$20))),4)</f>
        <v>1.0804</v>
      </c>
      <c r="S10" s="2024">
        <f>ROUND(IF(项目基本情况!$B$8="出让",SUMPRODUCT(PRODUCT(1+L10:$L$21)),SUMPRODUCT(PRODUCT(1+L10:$L$20))),4)</f>
        <v>1.0471999999999999</v>
      </c>
      <c r="T10" s="2024">
        <f>ROUND(IF(项目基本情况!$B$8="出让",SUMPRODUCT(PRODUCT(1+M10:$M$21)),SUMPRODUCT(PRODUCT(1+M10:$M$20))),4)</f>
        <v>1.0266</v>
      </c>
      <c r="U10" s="2024">
        <f>ROUND(IF(项目基本情况!$B$8="出让",SUMPRODUCT(PRODUCT(1+N10:$N$21)),SUMPRODUCT(PRODUCT(1+N10:$N$20))),4)</f>
        <v>1.0859000000000001</v>
      </c>
      <c r="V10" s="2024">
        <f>ROUND(IF(项目基本情况!$B$8="出让",SUMPRODUCT(PRODUCT(1+O10:$O$21)),SUMPRODUCT(PRODUCT(1+O10:$O$20))),4)</f>
        <v>1.0741000000000001</v>
      </c>
      <c r="W10" s="2024">
        <f t="shared" ref="W10" si="49">T10</f>
        <v>1.0266</v>
      </c>
      <c r="X10" s="2904"/>
      <c r="Y10" s="2025"/>
      <c r="Z10" s="2025"/>
      <c r="AA10" s="2025"/>
      <c r="AB10" s="2025"/>
      <c r="AC10" s="2025"/>
      <c r="AD10" s="2025"/>
    </row>
    <row r="11" spans="1:30" s="2042" customFormat="1" ht="13.2">
      <c r="A11" s="2903" t="s">
        <v>3369</v>
      </c>
      <c r="B11" s="2028">
        <v>2023</v>
      </c>
      <c r="C11" s="2039">
        <v>3</v>
      </c>
      <c r="D11" s="2004">
        <v>0.25</v>
      </c>
      <c r="E11" s="2004">
        <v>0.5</v>
      </c>
      <c r="F11" s="2004">
        <v>0.31</v>
      </c>
      <c r="G11" s="2004">
        <v>0.21</v>
      </c>
      <c r="H11" s="2915">
        <v>0.43</v>
      </c>
      <c r="I11" s="2005">
        <f t="shared" si="37"/>
        <v>0.31</v>
      </c>
      <c r="J11" s="2904"/>
      <c r="K11" s="2040">
        <f t="shared" ref="K11:K13" si="50">D11/100</f>
        <v>2.5000000000000001E-3</v>
      </c>
      <c r="L11" s="2025">
        <f t="shared" ref="L11:L13" si="51">E11/100</f>
        <v>5.0000000000000001E-3</v>
      </c>
      <c r="M11" s="2025">
        <f t="shared" ref="M11:M13" si="52">F11/100</f>
        <v>3.0999999999999999E-3</v>
      </c>
      <c r="N11" s="2025">
        <f t="shared" ref="N11:N13" si="53">G11/100</f>
        <v>2.0999999999999999E-3</v>
      </c>
      <c r="O11" s="2025">
        <f t="shared" ref="O11:O13" si="54">H11/100</f>
        <v>4.3E-3</v>
      </c>
      <c r="P11" s="2025">
        <f t="shared" ref="P11:P13" si="55">M11</f>
        <v>3.0999999999999999E-3</v>
      </c>
      <c r="Q11" s="2904"/>
      <c r="R11" s="2024">
        <f>ROUND(IF(项目基本情况!$B$8="出让",SUMPRODUCT(PRODUCT(1+K11:$K$21)),SUMPRODUCT(PRODUCT(1+K11:$K$20))),4)</f>
        <v>1.0783</v>
      </c>
      <c r="S11" s="2024">
        <f>ROUND(IF(项目基本情况!$B$8="出让",SUMPRODUCT(PRODUCT(1+L11:$L$21)),SUMPRODUCT(PRODUCT(1+L11:$L$20))),4)</f>
        <v>1.0447</v>
      </c>
      <c r="T11" s="2024">
        <f>ROUND(IF(项目基本情况!$B$8="出让",SUMPRODUCT(PRODUCT(1+M11:$M$21)),SUMPRODUCT(PRODUCT(1+M11:$M$20))),4)</f>
        <v>1.0282</v>
      </c>
      <c r="U11" s="2024">
        <f>ROUND(IF(项目基本情况!$B$8="出让",SUMPRODUCT(PRODUCT(1+N11:$N$21)),SUMPRODUCT(PRODUCT(1+N11:$N$20))),4)</f>
        <v>1.0841000000000001</v>
      </c>
      <c r="V11" s="2024">
        <f>ROUND(IF(项目基本情况!$B$8="出让",SUMPRODUCT(PRODUCT(1+O11:$O$21)),SUMPRODUCT(PRODUCT(1+O11:$O$20))),4)</f>
        <v>1.0674999999999999</v>
      </c>
      <c r="W11" s="2024">
        <f t="shared" ref="W11:W12" si="56">T11</f>
        <v>1.0282</v>
      </c>
      <c r="X11" s="2904"/>
      <c r="Y11" s="2025"/>
      <c r="Z11" s="2025"/>
      <c r="AA11" s="2025"/>
      <c r="AB11" s="2025"/>
      <c r="AC11" s="2025"/>
      <c r="AD11" s="2025"/>
    </row>
    <row r="12" spans="1:30" s="2042" customFormat="1" ht="13.2">
      <c r="A12" s="2903" t="s">
        <v>3367</v>
      </c>
      <c r="B12" s="2028">
        <v>2023</v>
      </c>
      <c r="C12" s="2039">
        <v>2</v>
      </c>
      <c r="D12" s="2004">
        <v>0.91</v>
      </c>
      <c r="E12" s="2004">
        <v>0.66</v>
      </c>
      <c r="F12" s="2004">
        <v>0.47</v>
      </c>
      <c r="G12" s="2004">
        <v>0.96</v>
      </c>
      <c r="H12" s="2915">
        <v>0.71</v>
      </c>
      <c r="I12" s="2005">
        <f t="shared" si="37"/>
        <v>0.47</v>
      </c>
      <c r="J12" s="2904"/>
      <c r="K12" s="2040">
        <f t="shared" si="50"/>
        <v>9.1000000000000004E-3</v>
      </c>
      <c r="L12" s="2025">
        <f t="shared" si="51"/>
        <v>6.6E-3</v>
      </c>
      <c r="M12" s="2025">
        <f t="shared" si="52"/>
        <v>4.6999999999999993E-3</v>
      </c>
      <c r="N12" s="2025">
        <f t="shared" si="53"/>
        <v>9.5999999999999992E-3</v>
      </c>
      <c r="O12" s="2025">
        <f t="shared" si="54"/>
        <v>7.0999999999999995E-3</v>
      </c>
      <c r="P12" s="2025">
        <f t="shared" si="55"/>
        <v>4.6999999999999993E-3</v>
      </c>
      <c r="Q12" s="2904"/>
      <c r="R12" s="2024">
        <f>ROUND(IF(项目基本情况!$B$8="出让",SUMPRODUCT(PRODUCT(1+K12:$K$21)),SUMPRODUCT(PRODUCT(1+K12:$K$20))),4)</f>
        <v>1.0755999999999999</v>
      </c>
      <c r="S12" s="2024">
        <f>ROUND(IF(项目基本情况!$B$8="出让",SUMPRODUCT(PRODUCT(1+L12:$L$21)),SUMPRODUCT(PRODUCT(1+L12:$L$20))),4)</f>
        <v>1.0395000000000001</v>
      </c>
      <c r="T12" s="2024">
        <f>ROUND(IF(项目基本情况!$B$8="出让",SUMPRODUCT(PRODUCT(1+M12:$M$21)),SUMPRODUCT(PRODUCT(1+M12:$M$20))),4)</f>
        <v>1.0250999999999999</v>
      </c>
      <c r="U12" s="2024">
        <f>ROUND(IF(项目基本情况!$B$8="出让",SUMPRODUCT(PRODUCT(1+N12:$N$21)),SUMPRODUCT(PRODUCT(1+N12:$N$20))),4)</f>
        <v>1.0818000000000001</v>
      </c>
      <c r="V12" s="2024">
        <f>ROUND(IF(项目基本情况!$B$8="出让",SUMPRODUCT(PRODUCT(1+O12:$O$21)),SUMPRODUCT(PRODUCT(1+O12:$O$20))),4)</f>
        <v>1.0629999999999999</v>
      </c>
      <c r="W12" s="2024">
        <f t="shared" si="56"/>
        <v>1.0250999999999999</v>
      </c>
      <c r="X12" s="2904"/>
      <c r="Y12" s="2025"/>
      <c r="Z12" s="2025"/>
      <c r="AA12" s="2025"/>
      <c r="AB12" s="2025"/>
      <c r="AC12" s="2025"/>
      <c r="AD12" s="2025"/>
    </row>
    <row r="13" spans="1:30" s="2042" customFormat="1" ht="13.2">
      <c r="A13" s="2903" t="s">
        <v>3366</v>
      </c>
      <c r="B13" s="2028">
        <v>2023</v>
      </c>
      <c r="C13" s="2039">
        <v>1</v>
      </c>
      <c r="D13" s="2004">
        <v>0.89</v>
      </c>
      <c r="E13" s="2004">
        <v>0.74</v>
      </c>
      <c r="F13" s="2004">
        <v>0.56999999999999995</v>
      </c>
      <c r="G13" s="2004">
        <v>0.92</v>
      </c>
      <c r="H13" s="2915">
        <v>0.5</v>
      </c>
      <c r="I13" s="2005">
        <f t="shared" si="37"/>
        <v>0.56999999999999995</v>
      </c>
      <c r="J13" s="2904"/>
      <c r="K13" s="2040">
        <f t="shared" si="50"/>
        <v>8.8999999999999999E-3</v>
      </c>
      <c r="L13" s="2025">
        <f t="shared" si="51"/>
        <v>7.4000000000000003E-3</v>
      </c>
      <c r="M13" s="2025">
        <f t="shared" si="52"/>
        <v>5.6999999999999993E-3</v>
      </c>
      <c r="N13" s="2025">
        <f t="shared" si="53"/>
        <v>9.1999999999999998E-3</v>
      </c>
      <c r="O13" s="2025">
        <f t="shared" si="54"/>
        <v>5.0000000000000001E-3</v>
      </c>
      <c r="P13" s="2025">
        <f t="shared" si="55"/>
        <v>5.6999999999999993E-3</v>
      </c>
      <c r="Q13" s="2904"/>
      <c r="R13" s="2024">
        <f>ROUND(IF(项目基本情况!$B$8="出让",SUMPRODUCT(PRODUCT(1+K13:$K$21)),SUMPRODUCT(PRODUCT(1+K13:$K$20))),4)</f>
        <v>1.0659000000000001</v>
      </c>
      <c r="S13" s="2024">
        <f>ROUND(IF(项目基本情况!$B$8="出让",SUMPRODUCT(PRODUCT(1+L13:$L$21)),SUMPRODUCT(PRODUCT(1+L13:$L$20))),4)</f>
        <v>1.0326</v>
      </c>
      <c r="T13" s="2024">
        <f>ROUND(IF(项目基本情况!$B$8="出让",SUMPRODUCT(PRODUCT(1+M13:$M$21)),SUMPRODUCT(PRODUCT(1+M13:$M$20))),4)</f>
        <v>1.0203</v>
      </c>
      <c r="U13" s="2024">
        <f>ROUND(IF(项目基本情况!$B$8="出让",SUMPRODUCT(PRODUCT(1+N13:$N$21)),SUMPRODUCT(PRODUCT(1+N13:$N$20))),4)</f>
        <v>1.0714999999999999</v>
      </c>
      <c r="V13" s="2024">
        <f>ROUND(IF(项目基本情况!$B$8="出让",SUMPRODUCT(PRODUCT(1+O13:$O$21)),SUMPRODUCT(PRODUCT(1+O13:$O$20))),4)</f>
        <v>1.0555000000000001</v>
      </c>
      <c r="W13" s="2024">
        <f t="shared" ref="W13:W20" si="57">T13</f>
        <v>1.0203</v>
      </c>
      <c r="X13" s="2904"/>
      <c r="Y13" s="2025"/>
      <c r="Z13" s="2025"/>
      <c r="AA13" s="2025"/>
      <c r="AB13" s="2025"/>
      <c r="AC13" s="2025"/>
      <c r="AD13" s="2025"/>
    </row>
    <row r="14" spans="1:30" s="2042" customFormat="1" ht="13.2">
      <c r="A14" s="2903" t="s">
        <v>3365</v>
      </c>
      <c r="B14" s="2028">
        <v>2022</v>
      </c>
      <c r="C14" s="2039">
        <v>4</v>
      </c>
      <c r="D14" s="2004">
        <v>0.62</v>
      </c>
      <c r="E14" s="2004">
        <v>0.2</v>
      </c>
      <c r="F14" s="2004">
        <v>0.11</v>
      </c>
      <c r="G14" s="2004">
        <v>0.69</v>
      </c>
      <c r="H14" s="2915">
        <v>0.53</v>
      </c>
      <c r="I14" s="2005">
        <f t="shared" si="37"/>
        <v>0.11</v>
      </c>
      <c r="J14" s="2904"/>
      <c r="K14" s="2040">
        <f t="shared" si="38"/>
        <v>6.1999999999999998E-3</v>
      </c>
      <c r="L14" s="2025">
        <f t="shared" si="38"/>
        <v>2E-3</v>
      </c>
      <c r="M14" s="2025">
        <f t="shared" si="38"/>
        <v>1.1000000000000001E-3</v>
      </c>
      <c r="N14" s="2025">
        <f t="shared" si="38"/>
        <v>6.8999999999999999E-3</v>
      </c>
      <c r="O14" s="2025">
        <f t="shared" si="38"/>
        <v>5.3E-3</v>
      </c>
      <c r="P14" s="2025">
        <f t="shared" ref="P14:P21" si="58">M14</f>
        <v>1.1000000000000001E-3</v>
      </c>
      <c r="Q14" s="2904"/>
      <c r="R14" s="2024">
        <f>ROUND(IF(项目基本情况!$B$8="出让",SUMPRODUCT(PRODUCT(1+K14:$K$21)),SUMPRODUCT(PRODUCT(1+K14:$K$20))),4)</f>
        <v>1.0565</v>
      </c>
      <c r="S14" s="2024">
        <f>ROUND(IF(项目基本情况!$B$8="出让",SUMPRODUCT(PRODUCT(1+L14:$L$21)),SUMPRODUCT(PRODUCT(1+L14:$L$20))),4)</f>
        <v>1.0250999999999999</v>
      </c>
      <c r="T14" s="2024">
        <f>ROUND(IF(项目基本情况!$B$8="出让",SUMPRODUCT(PRODUCT(1+M14:$M$21)),SUMPRODUCT(PRODUCT(1+M14:$M$20))),4)</f>
        <v>1.0145</v>
      </c>
      <c r="U14" s="2024">
        <f>ROUND(IF(项目基本情况!$B$8="出让",SUMPRODUCT(PRODUCT(1+N14:$N$21)),SUMPRODUCT(PRODUCT(1+N14:$N$20))),4)</f>
        <v>1.0618000000000001</v>
      </c>
      <c r="V14" s="2024">
        <f>ROUND(IF(项目基本情况!$B$8="出让",SUMPRODUCT(PRODUCT(1+O14:$O$21)),SUMPRODUCT(PRODUCT(1+O14:$O$20))),4)</f>
        <v>1.0502</v>
      </c>
      <c r="W14" s="2024">
        <f t="shared" si="57"/>
        <v>1.0145</v>
      </c>
      <c r="X14" s="2904"/>
      <c r="Y14" s="2025">
        <f>IF(D14=0,0,ROUND(AVERAGE(D14:D22)/100,4))</f>
        <v>8.0999999999999996E-3</v>
      </c>
      <c r="Z14" s="2025">
        <f t="shared" ref="Z14:AC14" si="59">IF(E14=0,0,ROUND(AVERAGE(E14:E21)/100,4))</f>
        <v>3.3E-3</v>
      </c>
      <c r="AA14" s="2025">
        <f t="shared" si="59"/>
        <v>1.5E-3</v>
      </c>
      <c r="AB14" s="2025">
        <f t="shared" si="59"/>
        <v>8.8999999999999999E-3</v>
      </c>
      <c r="AC14" s="2025">
        <f t="shared" si="59"/>
        <v>6.6E-3</v>
      </c>
      <c r="AD14" s="2025">
        <f t="shared" si="40"/>
        <v>1.5E-3</v>
      </c>
    </row>
    <row r="15" spans="1:30" s="2042" customFormat="1" ht="13.2">
      <c r="A15" s="2903" t="s">
        <v>3363</v>
      </c>
      <c r="B15" s="2028">
        <v>2022</v>
      </c>
      <c r="C15" s="2039">
        <v>3</v>
      </c>
      <c r="D15" s="2004">
        <v>0.66</v>
      </c>
      <c r="E15" s="2004">
        <v>0.32</v>
      </c>
      <c r="F15" s="2004">
        <v>0.23</v>
      </c>
      <c r="G15" s="2004">
        <v>0.72</v>
      </c>
      <c r="H15" s="2915">
        <v>0.63</v>
      </c>
      <c r="I15" s="2005">
        <f t="shared" si="37"/>
        <v>0.23</v>
      </c>
      <c r="J15" s="2904"/>
      <c r="K15" s="2040">
        <f t="shared" si="38"/>
        <v>6.6E-3</v>
      </c>
      <c r="L15" s="2025">
        <f t="shared" si="38"/>
        <v>3.2000000000000002E-3</v>
      </c>
      <c r="M15" s="2025">
        <f t="shared" si="38"/>
        <v>2.3E-3</v>
      </c>
      <c r="N15" s="2025">
        <f t="shared" si="38"/>
        <v>7.1999999999999998E-3</v>
      </c>
      <c r="O15" s="2025">
        <f t="shared" si="38"/>
        <v>6.3E-3</v>
      </c>
      <c r="P15" s="2025">
        <f t="shared" si="58"/>
        <v>2.3E-3</v>
      </c>
      <c r="Q15" s="2904"/>
      <c r="R15" s="2024">
        <f>ROUND(IF(项目基本情况!$B$8="出让",SUMPRODUCT(PRODUCT(1+K15:$K$21)),SUMPRODUCT(PRODUCT(1+K15:$K$20))),4)</f>
        <v>1.05</v>
      </c>
      <c r="S15" s="2024">
        <f>ROUND(IF(项目基本情况!$B$8="出让",SUMPRODUCT(PRODUCT(1+L15:$L$21)),SUMPRODUCT(PRODUCT(1+L15:$L$20))),4)</f>
        <v>1.0229999999999999</v>
      </c>
      <c r="T15" s="2024">
        <f>ROUND(IF(项目基本情况!$B$8="出让",SUMPRODUCT(PRODUCT(1+M15:$M$21)),SUMPRODUCT(PRODUCT(1+M15:$M$20))),4)</f>
        <v>1.0134000000000001</v>
      </c>
      <c r="U15" s="2024">
        <f>ROUND(IF(项目基本情况!$B$8="出让",SUMPRODUCT(PRODUCT(1+N15:$N$21)),SUMPRODUCT(PRODUCT(1+N15:$N$20))),4)</f>
        <v>1.0545</v>
      </c>
      <c r="V15" s="2024">
        <f>ROUND(IF(项目基本情况!$B$8="出让",SUMPRODUCT(PRODUCT(1+O15:$O$21)),SUMPRODUCT(PRODUCT(1+O15:$O$20))),4)</f>
        <v>1.0447</v>
      </c>
      <c r="W15" s="2024">
        <f t="shared" si="57"/>
        <v>1.0134000000000001</v>
      </c>
      <c r="X15" s="2904"/>
      <c r="Y15" s="2025">
        <f>IF(D15=0,0,ROUND(AVERAGE(D15:D21)/100,4))</f>
        <v>8.3999999999999995E-3</v>
      </c>
      <c r="Z15" s="2025">
        <f t="shared" ref="Z15:AC15" si="60">IF(E15=0,0,ROUND(AVERAGE(E15:E21)/100,4))</f>
        <v>3.5000000000000001E-3</v>
      </c>
      <c r="AA15" s="2025">
        <f t="shared" si="60"/>
        <v>1.5E-3</v>
      </c>
      <c r="AB15" s="2025">
        <f t="shared" si="60"/>
        <v>9.1999999999999998E-3</v>
      </c>
      <c r="AC15" s="2025">
        <f t="shared" si="60"/>
        <v>6.7999999999999996E-3</v>
      </c>
      <c r="AD15" s="2025">
        <f t="shared" si="40"/>
        <v>1.5E-3</v>
      </c>
    </row>
    <row r="16" spans="1:30" s="2042" customFormat="1" ht="13.2">
      <c r="A16" s="2903" t="s">
        <v>3354</v>
      </c>
      <c r="B16" s="2028">
        <v>2022</v>
      </c>
      <c r="C16" s="2039">
        <v>2</v>
      </c>
      <c r="D16" s="2004">
        <v>0.93</v>
      </c>
      <c r="E16" s="2004">
        <v>0.15</v>
      </c>
      <c r="F16" s="2004">
        <v>0.01</v>
      </c>
      <c r="G16" s="2004">
        <v>1.05</v>
      </c>
      <c r="H16" s="2915">
        <v>1.08</v>
      </c>
      <c r="I16" s="2005">
        <f t="shared" si="37"/>
        <v>0.01</v>
      </c>
      <c r="J16" s="2904"/>
      <c r="K16" s="2040">
        <f t="shared" si="38"/>
        <v>9.300000000000001E-3</v>
      </c>
      <c r="L16" s="2025">
        <f t="shared" si="38"/>
        <v>1.5E-3</v>
      </c>
      <c r="M16" s="2025">
        <f t="shared" si="38"/>
        <v>1E-4</v>
      </c>
      <c r="N16" s="2025">
        <f t="shared" si="38"/>
        <v>1.0500000000000001E-2</v>
      </c>
      <c r="O16" s="2025">
        <f t="shared" si="38"/>
        <v>1.0800000000000001E-2</v>
      </c>
      <c r="P16" s="2025">
        <f t="shared" si="58"/>
        <v>1E-4</v>
      </c>
      <c r="Q16" s="2904"/>
      <c r="R16" s="2024">
        <f>ROUND(IF(项目基本情况!$B$8="出让",SUMPRODUCT(PRODUCT(1+K16:$K$21)),SUMPRODUCT(PRODUCT(1+K16:$K$20))),4)</f>
        <v>1.0430999999999999</v>
      </c>
      <c r="S16" s="2024">
        <f>ROUND(IF(项目基本情况!$B$8="出让",SUMPRODUCT(PRODUCT(1+L16:$L$21)),SUMPRODUCT(PRODUCT(1+L16:$L$20))),4)</f>
        <v>1.0197000000000001</v>
      </c>
      <c r="T16" s="2024">
        <f>ROUND(IF(项目基本情况!$B$8="出让",SUMPRODUCT(PRODUCT(1+M16:$M$21)),SUMPRODUCT(PRODUCT(1+M16:$M$20))),4)</f>
        <v>1.0109999999999999</v>
      </c>
      <c r="U16" s="2024">
        <f>ROUND(IF(项目基本情况!$B$8="出让",SUMPRODUCT(PRODUCT(1+N16:$N$21)),SUMPRODUCT(PRODUCT(1+N16:$N$20))),4)</f>
        <v>1.0468999999999999</v>
      </c>
      <c r="V16" s="2024">
        <f>ROUND(IF(项目基本情况!$B$8="出让",SUMPRODUCT(PRODUCT(1+O16:$O$21)),SUMPRODUCT(PRODUCT(1+O16:$O$20))),4)</f>
        <v>1.0382</v>
      </c>
      <c r="W16" s="2024">
        <f t="shared" si="57"/>
        <v>1.0109999999999999</v>
      </c>
      <c r="X16" s="2904"/>
      <c r="Y16" s="2025">
        <f>IF(D16=0,0,ROUND(AVERAGE(D16:D21)/100,4))</f>
        <v>8.6999999999999994E-3</v>
      </c>
      <c r="Z16" s="2025">
        <f t="shared" ref="Z16:AC16" si="61">IF(E16=0,0,ROUND(AVERAGE(E16:E21)/100,4))</f>
        <v>3.5000000000000001E-3</v>
      </c>
      <c r="AA16" s="2025">
        <f t="shared" si="61"/>
        <v>1.4E-3</v>
      </c>
      <c r="AB16" s="2025">
        <f t="shared" si="61"/>
        <v>9.4999999999999998E-3</v>
      </c>
      <c r="AC16" s="2025">
        <f t="shared" si="61"/>
        <v>6.8999999999999999E-3</v>
      </c>
      <c r="AD16" s="2025">
        <f t="shared" si="40"/>
        <v>1.4E-3</v>
      </c>
    </row>
    <row r="17" spans="1:30" s="2042" customFormat="1" ht="13.2">
      <c r="A17" s="2903" t="s">
        <v>2819</v>
      </c>
      <c r="B17" s="2028">
        <v>2022</v>
      </c>
      <c r="C17" s="2039">
        <v>1</v>
      </c>
      <c r="D17" s="2004">
        <v>0.89</v>
      </c>
      <c r="E17" s="2004">
        <v>0.44</v>
      </c>
      <c r="F17" s="2004">
        <v>0.37</v>
      </c>
      <c r="G17" s="2004">
        <v>0.96</v>
      </c>
      <c r="H17" s="2915">
        <v>0.64</v>
      </c>
      <c r="I17" s="2005">
        <f t="shared" si="37"/>
        <v>0.37</v>
      </c>
      <c r="J17" s="2904"/>
      <c r="K17" s="2040">
        <f t="shared" si="38"/>
        <v>8.8999999999999999E-3</v>
      </c>
      <c r="L17" s="2025">
        <f t="shared" si="38"/>
        <v>4.4000000000000003E-3</v>
      </c>
      <c r="M17" s="2025">
        <f t="shared" si="38"/>
        <v>3.7000000000000002E-3</v>
      </c>
      <c r="N17" s="2025">
        <f t="shared" si="38"/>
        <v>9.5999999999999992E-3</v>
      </c>
      <c r="O17" s="2025">
        <f t="shared" si="38"/>
        <v>6.4000000000000003E-3</v>
      </c>
      <c r="P17" s="2025">
        <f t="shared" si="58"/>
        <v>3.7000000000000002E-3</v>
      </c>
      <c r="Q17" s="2904"/>
      <c r="R17" s="2024">
        <f>ROUND(IF(项目基本情况!$B$8="出让",SUMPRODUCT(PRODUCT(1+K17:$K$21)),SUMPRODUCT(PRODUCT(1+K17:$K$20))),4)</f>
        <v>1.0335000000000001</v>
      </c>
      <c r="S17" s="2024">
        <f>ROUND(IF(项目基本情况!$B$8="出让",SUMPRODUCT(PRODUCT(1+L17:$L$21)),SUMPRODUCT(PRODUCT(1+L17:$L$20))),4)</f>
        <v>1.0182</v>
      </c>
      <c r="T17" s="2024">
        <f>ROUND(IF(项目基本情况!$B$8="出让",SUMPRODUCT(PRODUCT(1+M17:$M$21)),SUMPRODUCT(PRODUCT(1+M17:$M$20))),4)</f>
        <v>1.0108999999999999</v>
      </c>
      <c r="U17" s="2024">
        <f>ROUND(IF(项目基本情况!$B$8="出让",SUMPRODUCT(PRODUCT(1+N17:$N$21)),SUMPRODUCT(PRODUCT(1+N17:$N$20))),4)</f>
        <v>1.0361</v>
      </c>
      <c r="V17" s="2024">
        <f>ROUND(IF(项目基本情况!$B$8="出让",SUMPRODUCT(PRODUCT(1+O17:$O$21)),SUMPRODUCT(PRODUCT(1+O17:$O$20))),4)</f>
        <v>1.0270999999999999</v>
      </c>
      <c r="W17" s="2024">
        <f t="shared" si="57"/>
        <v>1.0108999999999999</v>
      </c>
      <c r="X17" s="2904"/>
      <c r="Y17" s="2025">
        <f>IF(D17=0,0,ROUND(AVERAGE(D17:D21)/100,4))</f>
        <v>8.6E-3</v>
      </c>
      <c r="Z17" s="2025">
        <f t="shared" ref="Z17:AC17" si="62">IF(E17=0,0,ROUND(AVERAGE(E17:E21)/100,4))</f>
        <v>3.8999999999999998E-3</v>
      </c>
      <c r="AA17" s="2025">
        <f t="shared" si="62"/>
        <v>1.6999999999999999E-3</v>
      </c>
      <c r="AB17" s="2025">
        <f t="shared" si="62"/>
        <v>9.2999999999999992E-3</v>
      </c>
      <c r="AC17" s="2025">
        <f t="shared" si="62"/>
        <v>6.1000000000000004E-3</v>
      </c>
      <c r="AD17" s="2025">
        <f t="shared" si="40"/>
        <v>1.6999999999999999E-3</v>
      </c>
    </row>
    <row r="18" spans="1:30" s="2042" customFormat="1" ht="13.2">
      <c r="A18" s="2903" t="s">
        <v>2820</v>
      </c>
      <c r="B18" s="2028">
        <v>2021</v>
      </c>
      <c r="C18" s="2039">
        <v>4</v>
      </c>
      <c r="D18" s="2004">
        <v>1.03</v>
      </c>
      <c r="E18" s="2004">
        <v>0.24</v>
      </c>
      <c r="F18" s="2004">
        <v>7.0000000000000007E-2</v>
      </c>
      <c r="G18" s="2004">
        <v>1.17</v>
      </c>
      <c r="H18" s="2915">
        <v>0.55000000000000004</v>
      </c>
      <c r="I18" s="2005">
        <f t="shared" si="37"/>
        <v>7.0000000000000007E-2</v>
      </c>
      <c r="J18" s="2904"/>
      <c r="K18" s="2040">
        <f t="shared" si="38"/>
        <v>1.03E-2</v>
      </c>
      <c r="L18" s="2025">
        <f t="shared" si="38"/>
        <v>2.3999999999999998E-3</v>
      </c>
      <c r="M18" s="2025">
        <f t="shared" si="38"/>
        <v>7.000000000000001E-4</v>
      </c>
      <c r="N18" s="2025">
        <f t="shared" si="38"/>
        <v>1.1699999999999999E-2</v>
      </c>
      <c r="O18" s="2025">
        <f t="shared" si="38"/>
        <v>5.5000000000000005E-3</v>
      </c>
      <c r="P18" s="2025">
        <f t="shared" si="58"/>
        <v>7.000000000000001E-4</v>
      </c>
      <c r="Q18" s="2904"/>
      <c r="R18" s="2024">
        <f>ROUND(IF(项目基本情况!$B$8="出让",SUMPRODUCT(PRODUCT(1+K18:$K$21)),SUMPRODUCT(PRODUCT(1+K18:$K$20))),4)</f>
        <v>1.0244</v>
      </c>
      <c r="S18" s="2024">
        <f>ROUND(IF(项目基本情况!$B$8="出让",SUMPRODUCT(PRODUCT(1+L18:$L$21)),SUMPRODUCT(PRODUCT(1+L18:$L$20))),4)</f>
        <v>1.0138</v>
      </c>
      <c r="T18" s="2024">
        <f>ROUND(IF(项目基本情况!$B$8="出让",SUMPRODUCT(PRODUCT(1+M18:$M$21)),SUMPRODUCT(PRODUCT(1+M18:$M$20))),4)</f>
        <v>1.0072000000000001</v>
      </c>
      <c r="U18" s="2024">
        <f>ROUND(IF(项目基本情况!$B$8="出让",SUMPRODUCT(PRODUCT(1+N18:$N$21)),SUMPRODUCT(PRODUCT(1+N18:$N$20))),4)</f>
        <v>1.0262</v>
      </c>
      <c r="V18" s="2024">
        <f>ROUND(IF(项目基本情况!$B$8="出让",SUMPRODUCT(PRODUCT(1+O18:$O$21)),SUMPRODUCT(PRODUCT(1+O18:$O$20))),4)</f>
        <v>1.0205</v>
      </c>
      <c r="W18" s="2024">
        <f t="shared" si="57"/>
        <v>1.0072000000000001</v>
      </c>
      <c r="X18" s="2904"/>
      <c r="Y18" s="2025">
        <f>IF(D18=0,0,ROUND(AVERAGE(D18:D21)/100,4))</f>
        <v>8.5000000000000006E-3</v>
      </c>
      <c r="Z18" s="2025">
        <f t="shared" ref="Z18:AC18" si="63">IF(E18=0,0,ROUND(AVERAGE(E18:E21)/100,4))</f>
        <v>3.8E-3</v>
      </c>
      <c r="AA18" s="2025">
        <f t="shared" si="63"/>
        <v>1.1999999999999999E-3</v>
      </c>
      <c r="AB18" s="2025">
        <f t="shared" si="63"/>
        <v>9.2999999999999992E-3</v>
      </c>
      <c r="AC18" s="2025">
        <f t="shared" si="63"/>
        <v>6.0000000000000001E-3</v>
      </c>
      <c r="AD18" s="2025">
        <f t="shared" si="40"/>
        <v>1.1999999999999999E-3</v>
      </c>
    </row>
    <row r="19" spans="1:30" s="2042" customFormat="1" ht="13.2">
      <c r="A19" s="2903" t="s">
        <v>2821</v>
      </c>
      <c r="B19" s="2028">
        <v>2021</v>
      </c>
      <c r="C19" s="2039">
        <v>3</v>
      </c>
      <c r="D19" s="2004">
        <v>0.47</v>
      </c>
      <c r="E19" s="2004">
        <v>0.41</v>
      </c>
      <c r="F19" s="2004">
        <v>0.24</v>
      </c>
      <c r="G19" s="2004">
        <v>0.48</v>
      </c>
      <c r="H19" s="2915">
        <v>0.48</v>
      </c>
      <c r="I19" s="2005">
        <f t="shared" si="37"/>
        <v>0.24</v>
      </c>
      <c r="J19" s="2904"/>
      <c r="K19" s="2040">
        <f t="shared" si="38"/>
        <v>4.6999999999999993E-3</v>
      </c>
      <c r="L19" s="2025">
        <f t="shared" si="38"/>
        <v>4.0999999999999995E-3</v>
      </c>
      <c r="M19" s="2025">
        <f t="shared" si="38"/>
        <v>2.3999999999999998E-3</v>
      </c>
      <c r="N19" s="2025">
        <f t="shared" si="38"/>
        <v>4.7999999999999996E-3</v>
      </c>
      <c r="O19" s="2025">
        <f t="shared" si="38"/>
        <v>4.7999999999999996E-3</v>
      </c>
      <c r="P19" s="2025">
        <f t="shared" si="58"/>
        <v>2.3999999999999998E-3</v>
      </c>
      <c r="Q19" s="2904"/>
      <c r="R19" s="2024">
        <f>ROUND(IF(项目基本情况!$B$8="出让",SUMPRODUCT(PRODUCT(1+K19:$K$21)),SUMPRODUCT(PRODUCT(1+K19:$K$20))),4)</f>
        <v>1.0139</v>
      </c>
      <c r="S19" s="2024">
        <f>ROUND(IF(项目基本情况!$B$8="出让",SUMPRODUCT(PRODUCT(1+L19:$L$21)),SUMPRODUCT(PRODUCT(1+L19:$L$20))),4)</f>
        <v>1.0113000000000001</v>
      </c>
      <c r="T19" s="2024">
        <f>ROUND(IF(项目基本情况!$B$8="出让",SUMPRODUCT(PRODUCT(1+M19:$M$21)),SUMPRODUCT(PRODUCT(1+M19:$M$20))),4)</f>
        <v>1.0065</v>
      </c>
      <c r="U19" s="2024">
        <f>ROUND(IF(项目基本情况!$B$8="出让",SUMPRODUCT(PRODUCT(1+N19:$N$21)),SUMPRODUCT(PRODUCT(1+N19:$N$20))),4)</f>
        <v>1.0143</v>
      </c>
      <c r="V19" s="2024">
        <f>ROUND(IF(项目基本情况!$B$8="出让",SUMPRODUCT(PRODUCT(1+O19:$O$21)),SUMPRODUCT(PRODUCT(1+O19:$O$20))),4)</f>
        <v>1.0148999999999999</v>
      </c>
      <c r="W19" s="2024">
        <f t="shared" si="57"/>
        <v>1.0065</v>
      </c>
      <c r="X19" s="2904"/>
      <c r="Y19" s="2025">
        <f>IF(D19=0,0,ROUND(AVERAGE(D19:D21)/100,4))</f>
        <v>7.9000000000000008E-3</v>
      </c>
      <c r="Z19" s="2025">
        <f>IF(E19=0,0,ROUND(AVERAGE(E19:E21)/100,4))</f>
        <v>4.3E-3</v>
      </c>
      <c r="AA19" s="2025">
        <f>IF(F19=0,0,ROUND(AVERAGE(F19:F21)/100,4))</f>
        <v>1.2999999999999999E-3</v>
      </c>
      <c r="AB19" s="2025">
        <f>IF(G19=0,0,ROUND(AVERAGE(G19:G21)/100,4))</f>
        <v>8.5000000000000006E-3</v>
      </c>
      <c r="AC19" s="2025">
        <f>IF(H19=0,0,ROUND(AVERAGE(H19:H21)/100,4))</f>
        <v>6.1999999999999998E-3</v>
      </c>
      <c r="AD19" s="2025">
        <f t="shared" si="40"/>
        <v>1.2999999999999999E-3</v>
      </c>
    </row>
    <row r="20" spans="1:30" s="2042" customFormat="1" ht="13.2">
      <c r="A20" s="2903" t="s">
        <v>2822</v>
      </c>
      <c r="B20" s="2028">
        <v>2021</v>
      </c>
      <c r="C20" s="2039">
        <v>2</v>
      </c>
      <c r="D20" s="2004">
        <v>0.92</v>
      </c>
      <c r="E20" s="2004">
        <v>0.72</v>
      </c>
      <c r="F20" s="2004">
        <v>0.41</v>
      </c>
      <c r="G20" s="2004">
        <v>0.95</v>
      </c>
      <c r="H20" s="2915">
        <v>1.01</v>
      </c>
      <c r="I20" s="2005">
        <f t="shared" si="37"/>
        <v>0.41</v>
      </c>
      <c r="J20" s="2904"/>
      <c r="K20" s="2040">
        <f t="shared" si="38"/>
        <v>9.1999999999999998E-3</v>
      </c>
      <c r="L20" s="2025">
        <f t="shared" si="38"/>
        <v>7.1999999999999998E-3</v>
      </c>
      <c r="M20" s="2025">
        <f t="shared" si="38"/>
        <v>4.0999999999999995E-3</v>
      </c>
      <c r="N20" s="2025">
        <f t="shared" si="38"/>
        <v>9.4999999999999998E-3</v>
      </c>
      <c r="O20" s="2025">
        <f t="shared" si="38"/>
        <v>1.01E-2</v>
      </c>
      <c r="P20" s="2025">
        <f t="shared" si="58"/>
        <v>4.0999999999999995E-3</v>
      </c>
      <c r="Q20" s="2904"/>
      <c r="R20" s="2024">
        <f>ROUND(IF(项目基本情况!$B$8="出让",SUMPRODUCT(PRODUCT(1+K20:$K$21)),SUMPRODUCT(PRODUCT(1+K20:$K$20))),4)</f>
        <v>1.0092000000000001</v>
      </c>
      <c r="S20" s="2024">
        <f>ROUND(IF(项目基本情况!$B$8="出让",SUMPRODUCT(PRODUCT(1+L20:$L$21)),SUMPRODUCT(PRODUCT(1+L20:$L$20))),4)</f>
        <v>1.0072000000000001</v>
      </c>
      <c r="T20" s="2024">
        <f>ROUND(IF(项目基本情况!$B$8="出让",SUMPRODUCT(PRODUCT(1+M20:$M$21)),SUMPRODUCT(PRODUCT(1+M20:$M$20))),4)</f>
        <v>1.0041</v>
      </c>
      <c r="U20" s="2024">
        <f>ROUND(IF(项目基本情况!$B$8="出让",SUMPRODUCT(PRODUCT(1+N20:$N$21)),SUMPRODUCT(PRODUCT(1+N20:$N$20))),4)</f>
        <v>1.0095000000000001</v>
      </c>
      <c r="V20" s="2024">
        <f>ROUND(IF(项目基本情况!$B$8="出让",SUMPRODUCT(PRODUCT(1+O20:$O$21)),SUMPRODUCT(PRODUCT(1+O20:$O$20))),4)</f>
        <v>1.0101</v>
      </c>
      <c r="W20" s="2024">
        <f t="shared" si="57"/>
        <v>1.0041</v>
      </c>
      <c r="X20" s="2904"/>
      <c r="Y20" s="2025">
        <f>IF(D20=0,0,ROUND(AVERAGE(D20:D21)/100,4))</f>
        <v>9.4999999999999998E-3</v>
      </c>
      <c r="Z20" s="2025">
        <f>IF(E20=0,0,ROUND(AVERAGE(E20:E21)/100,4))</f>
        <v>4.4000000000000003E-3</v>
      </c>
      <c r="AA20" s="2025">
        <f>IF(F20=0,0,ROUND(AVERAGE(F20:F21)/100,4))</f>
        <v>8.0000000000000004E-4</v>
      </c>
      <c r="AB20" s="2025">
        <f>IF(G20=0,0,ROUND(AVERAGE(G20:G21)/100,4))</f>
        <v>1.03E-2</v>
      </c>
      <c r="AC20" s="2025">
        <f>IF(H20=0,0,ROUND(AVERAGE(H20:H21)/100,4))</f>
        <v>6.8999999999999999E-3</v>
      </c>
      <c r="AD20" s="2025">
        <f t="shared" si="40"/>
        <v>8.0000000000000004E-4</v>
      </c>
    </row>
    <row r="21" spans="1:30" s="2926" customFormat="1" ht="13.8" thickBot="1">
      <c r="A21" s="2916" t="s">
        <v>2823</v>
      </c>
      <c r="B21" s="2917">
        <v>2021</v>
      </c>
      <c r="C21" s="2918">
        <v>1</v>
      </c>
      <c r="D21" s="2919">
        <v>0.97</v>
      </c>
      <c r="E21" s="2919">
        <v>0.16</v>
      </c>
      <c r="F21" s="2919">
        <v>-0.25</v>
      </c>
      <c r="G21" s="2919">
        <v>1.1100000000000001</v>
      </c>
      <c r="H21" s="2920">
        <v>0.36</v>
      </c>
      <c r="I21" s="2921">
        <f t="shared" si="37"/>
        <v>-0.25</v>
      </c>
      <c r="J21" s="2922"/>
      <c r="K21" s="2923">
        <f t="shared" si="38"/>
        <v>9.7000000000000003E-3</v>
      </c>
      <c r="L21" s="2924">
        <f t="shared" si="38"/>
        <v>1.6000000000000001E-3</v>
      </c>
      <c r="M21" s="2924">
        <f>F21/100</f>
        <v>-2.5000000000000001E-3</v>
      </c>
      <c r="N21" s="2924">
        <f t="shared" si="38"/>
        <v>1.11E-2</v>
      </c>
      <c r="O21" s="2924">
        <f t="shared" si="38"/>
        <v>3.5999999999999999E-3</v>
      </c>
      <c r="P21" s="2924">
        <f t="shared" si="58"/>
        <v>-2.5000000000000001E-3</v>
      </c>
      <c r="Q21" s="2922"/>
      <c r="R21" s="2925">
        <v>1</v>
      </c>
      <c r="S21" s="2925">
        <v>1</v>
      </c>
      <c r="T21" s="2925">
        <v>1</v>
      </c>
      <c r="U21" s="2925">
        <v>1</v>
      </c>
      <c r="V21" s="2925">
        <v>1</v>
      </c>
      <c r="W21" s="2925">
        <f t="shared" ref="W21" si="64">T21</f>
        <v>1</v>
      </c>
      <c r="X21" s="2922"/>
      <c r="Y21" s="2924">
        <f>IF(D21=0,0,ROUND(AVERAGE(D21:D21)/100,4))</f>
        <v>9.7000000000000003E-3</v>
      </c>
      <c r="Z21" s="2924">
        <f>IF(E21=0,0,ROUND(AVERAGE(E21:E21)/100,4))</f>
        <v>1.6000000000000001E-3</v>
      </c>
      <c r="AA21" s="2924">
        <f>IF(F21=0,0,ROUND(AVERAGE(F21:F21)/100,4))</f>
        <v>-2.5000000000000001E-3</v>
      </c>
      <c r="AB21" s="2924">
        <f>IF(G21=0,0,ROUND(AVERAGE(G21:G21)/100,4))</f>
        <v>1.11E-2</v>
      </c>
      <c r="AC21" s="2924">
        <f>IF(H21=0,0,ROUND(AVERAGE(H21:H21)/100,4))</f>
        <v>3.5999999999999999E-3</v>
      </c>
      <c r="AD21" s="2924">
        <f>AA21</f>
        <v>-2.5000000000000001E-3</v>
      </c>
    </row>
    <row r="22" spans="1:30" ht="15" thickTop="1"/>
    <row r="23" spans="1:30">
      <c r="A23" s="3141" t="s">
        <v>3382</v>
      </c>
    </row>
    <row r="24" spans="1:30">
      <c r="I24" s="1405" t="s">
        <v>2824</v>
      </c>
    </row>
    <row r="26" spans="1:30" s="2006" customFormat="1" ht="13.2">
      <c r="B26" s="2927" t="s">
        <v>3380</v>
      </c>
      <c r="C26" s="2928"/>
      <c r="D26" s="2928"/>
      <c r="E26" s="2928"/>
      <c r="F26" s="2928"/>
      <c r="G26" s="2928"/>
      <c r="H26" s="2928"/>
      <c r="I26" s="2928"/>
      <c r="J26" s="2894"/>
      <c r="K26" s="2928" t="s">
        <v>2825</v>
      </c>
      <c r="L26" s="2928"/>
      <c r="M26" s="2928"/>
      <c r="N26" s="2928"/>
      <c r="O26" s="2928"/>
      <c r="P26" s="2928"/>
      <c r="Q26" s="2894"/>
      <c r="R26" s="3512" t="s">
        <v>2826</v>
      </c>
      <c r="S26" s="3513"/>
      <c r="T26" s="3513"/>
      <c r="U26" s="3513"/>
      <c r="V26" s="3513"/>
      <c r="W26" s="3513"/>
      <c r="X26" s="2894"/>
      <c r="Y26" s="3512" t="s">
        <v>2827</v>
      </c>
      <c r="Z26" s="3513"/>
      <c r="AA26" s="3513"/>
      <c r="AB26" s="3513"/>
      <c r="AC26" s="3513"/>
      <c r="AD26" s="3513"/>
    </row>
    <row r="27" spans="1:30" s="2007" customFormat="1" ht="15" thickBot="1">
      <c r="B27" s="2879"/>
      <c r="C27" s="2880"/>
      <c r="D27" s="2008" t="s">
        <v>2828</v>
      </c>
      <c r="E27" s="2009" t="s">
        <v>2829</v>
      </c>
      <c r="F27" s="2009" t="s">
        <v>2830</v>
      </c>
      <c r="G27" s="2009" t="s">
        <v>2831</v>
      </c>
      <c r="H27" s="2009"/>
      <c r="I27" s="2009" t="s">
        <v>2832</v>
      </c>
      <c r="J27" s="2881"/>
      <c r="K27" s="2008" t="s">
        <v>2828</v>
      </c>
      <c r="L27" s="2009" t="s">
        <v>2829</v>
      </c>
      <c r="M27" s="2009" t="s">
        <v>2830</v>
      </c>
      <c r="N27" s="2009" t="s">
        <v>2831</v>
      </c>
      <c r="O27" s="2009"/>
      <c r="P27" s="2009" t="s">
        <v>2832</v>
      </c>
      <c r="Q27" s="2881"/>
      <c r="R27" s="2008" t="s">
        <v>2828</v>
      </c>
      <c r="S27" s="2009" t="s">
        <v>2829</v>
      </c>
      <c r="T27" s="2009" t="s">
        <v>2830</v>
      </c>
      <c r="U27" s="2009" t="s">
        <v>2831</v>
      </c>
      <c r="V27" s="2009"/>
      <c r="W27" s="2009" t="s">
        <v>2832</v>
      </c>
      <c r="X27" s="2881"/>
      <c r="Y27" s="2008" t="s">
        <v>2828</v>
      </c>
      <c r="Z27" s="2009" t="s">
        <v>2829</v>
      </c>
      <c r="AA27" s="2009" t="s">
        <v>2830</v>
      </c>
      <c r="AB27" s="2009" t="s">
        <v>2831</v>
      </c>
      <c r="AC27" s="2009"/>
      <c r="AD27" s="2009" t="s">
        <v>2832</v>
      </c>
    </row>
    <row r="28" spans="1:30" s="2884" customFormat="1" ht="13.2">
      <c r="A28" s="2882" t="s">
        <v>2833</v>
      </c>
      <c r="B28" s="2883"/>
      <c r="E28" s="2884">
        <f t="shared" ref="E28:G28" si="65">ROUND(AVERAGEIF(E29:E46,"&lt;&gt;0"),2)</f>
        <v>0.21</v>
      </c>
      <c r="F28" s="2884">
        <f t="shared" si="65"/>
        <v>0.14000000000000001</v>
      </c>
      <c r="G28" s="2884">
        <f t="shared" si="65"/>
        <v>0.3</v>
      </c>
      <c r="I28" s="2884">
        <f>F28</f>
        <v>0.14000000000000001</v>
      </c>
      <c r="J28" s="2885"/>
      <c r="K28" s="2886"/>
      <c r="L28" s="2887">
        <f t="shared" ref="L28:N28" si="66">ROUND(AVERAGEIF(L29:L46,"&lt;&gt;0"),4)</f>
        <v>2.0999999999999999E-3</v>
      </c>
      <c r="M28" s="2887">
        <f t="shared" si="66"/>
        <v>1.4E-3</v>
      </c>
      <c r="N28" s="2887">
        <f t="shared" si="66"/>
        <v>3.0000000000000001E-3</v>
      </c>
      <c r="O28" s="2887"/>
      <c r="P28" s="2887">
        <f>M28</f>
        <v>1.4E-3</v>
      </c>
      <c r="Q28" s="2885"/>
      <c r="R28" s="2888"/>
      <c r="S28" s="2889">
        <f>ROUND(SUMPRODUCT(PRODUCT(1+L29:L46)),4)</f>
        <v>1.0337000000000001</v>
      </c>
      <c r="T28" s="2889">
        <f t="shared" ref="T28:U28" si="67">ROUND(SUMPRODUCT(PRODUCT(1+M29:M46)),4)</f>
        <v>1.022</v>
      </c>
      <c r="U28" s="2889">
        <f t="shared" si="67"/>
        <v>1.0489999999999999</v>
      </c>
      <c r="V28" s="2889"/>
      <c r="W28" s="2888">
        <f>T28</f>
        <v>1.022</v>
      </c>
      <c r="X28" s="2885"/>
      <c r="Y28" s="2890"/>
      <c r="Z28" s="2891">
        <f t="shared" ref="Z28:AB28" si="68">ROUND(AVERAGEIF(Z29:Z46,"&lt;&gt;0"),4)</f>
        <v>3.8E-3</v>
      </c>
      <c r="AA28" s="2892">
        <f t="shared" si="68"/>
        <v>3.0000000000000001E-3</v>
      </c>
      <c r="AB28" s="2890">
        <f t="shared" si="68"/>
        <v>7.4999999999999997E-3</v>
      </c>
      <c r="AC28" s="2893"/>
      <c r="AD28" s="2890">
        <f>AA28</f>
        <v>3.0000000000000001E-3</v>
      </c>
    </row>
    <row r="29" spans="1:30" s="2006" customFormat="1" ht="13.2">
      <c r="B29" s="2022"/>
      <c r="J29" s="2894"/>
      <c r="K29" s="2895"/>
      <c r="L29" s="2896"/>
      <c r="M29" s="2896"/>
      <c r="N29" s="2896"/>
      <c r="O29" s="2896"/>
      <c r="P29" s="2896"/>
      <c r="Q29" s="2894"/>
      <c r="R29" s="2024"/>
      <c r="S29" s="2897"/>
      <c r="T29" s="2898"/>
      <c r="U29" s="2024"/>
      <c r="V29" s="2899"/>
      <c r="W29" s="2024"/>
      <c r="X29" s="2894"/>
      <c r="Y29" s="2025"/>
      <c r="Z29" s="2900"/>
      <c r="AA29" s="2901"/>
      <c r="AB29" s="2025"/>
      <c r="AC29" s="2902"/>
      <c r="AD29" s="2025"/>
    </row>
    <row r="30" spans="1:30" s="2042" customFormat="1" ht="13.2">
      <c r="A30" s="2037" t="s">
        <v>3375</v>
      </c>
      <c r="B30" s="2028">
        <v>2025</v>
      </c>
      <c r="C30" s="2039">
        <v>1</v>
      </c>
      <c r="D30" s="2004"/>
      <c r="E30" s="2004">
        <v>0</v>
      </c>
      <c r="F30" s="2004">
        <v>0</v>
      </c>
      <c r="G30" s="2004">
        <v>0</v>
      </c>
      <c r="H30" s="2004"/>
      <c r="I30" s="2005">
        <f t="shared" ref="I30" si="69">F30</f>
        <v>0</v>
      </c>
      <c r="J30" s="2904"/>
      <c r="K30" s="2040"/>
      <c r="L30" s="2025">
        <f t="shared" ref="L30" si="70">E30/100</f>
        <v>0</v>
      </c>
      <c r="M30" s="2025">
        <f t="shared" ref="M30" si="71">F30/100</f>
        <v>0</v>
      </c>
      <c r="N30" s="2025">
        <f t="shared" ref="N30" si="72">G30/100</f>
        <v>0</v>
      </c>
      <c r="O30" s="2025"/>
      <c r="P30" s="2025">
        <f>M30</f>
        <v>0</v>
      </c>
      <c r="Q30" s="2904"/>
      <c r="R30" s="2024"/>
      <c r="S30" s="2024">
        <f>ROUND(IF(项目基本情况!$B$8="出让",SUMPRODUCT(PRODUCT(1+L30:L$46)),SUMPRODUCT(PRODUCT(1+L30:L$45))),4)</f>
        <v>1.0301</v>
      </c>
      <c r="T30" s="2024">
        <f>ROUND(IF(项目基本情况!$B$8="出让",SUMPRODUCT(PRODUCT(1+M30:M$46)),SUMPRODUCT(PRODUCT(1+M30:M$45))),4)</f>
        <v>1.0170999999999999</v>
      </c>
      <c r="U30" s="2024">
        <f>ROUND(IF(项目基本情况!$B$8="出让",SUMPRODUCT(PRODUCT(1+N30:N$46)),SUMPRODUCT(PRODUCT(1+N30:N$45))),4)</f>
        <v>1.0387999999999999</v>
      </c>
      <c r="V30" s="2024"/>
      <c r="W30" s="2024">
        <f>T30</f>
        <v>1.0170999999999999</v>
      </c>
      <c r="X30" s="2904"/>
      <c r="Y30" s="2025"/>
      <c r="Z30" s="2900">
        <f t="shared" ref="Z30" si="73">IF(E30=0,0,ROUND(AVERAGE(E30:E43)/100,4))</f>
        <v>0</v>
      </c>
      <c r="AA30" s="2900">
        <f t="shared" ref="AA30" si="74">IF(F30=0,0,ROUND(AVERAGE(F30:F43)/100,4))</f>
        <v>0</v>
      </c>
      <c r="AB30" s="2900">
        <f t="shared" ref="AB30" si="75">IF(G30=0,0,ROUND(AVERAGE(G30:G43)/100,4))</f>
        <v>0</v>
      </c>
      <c r="AC30" s="2902"/>
      <c r="AD30" s="2025">
        <f>IF(I30=0,0,ROUND(AVERAGE(I30:I43)/100,4))</f>
        <v>0</v>
      </c>
    </row>
    <row r="31" spans="1:30" s="2914" customFormat="1" ht="13.2">
      <c r="A31" s="2905" t="s">
        <v>3377</v>
      </c>
      <c r="B31" s="2906">
        <v>2024</v>
      </c>
      <c r="C31" s="2907">
        <v>4</v>
      </c>
      <c r="D31" s="2908"/>
      <c r="E31" s="2908">
        <v>-0.61</v>
      </c>
      <c r="F31" s="2908">
        <v>-0.71</v>
      </c>
      <c r="G31" s="2908">
        <v>-0.88</v>
      </c>
      <c r="H31" s="2909"/>
      <c r="I31" s="2910">
        <f t="shared" ref="I31" si="76">F31</f>
        <v>-0.71</v>
      </c>
      <c r="J31" s="2911"/>
      <c r="K31" s="2912"/>
      <c r="L31" s="2913">
        <f t="shared" ref="L31" si="77">E31/100</f>
        <v>-6.0999999999999995E-3</v>
      </c>
      <c r="M31" s="2913">
        <f t="shared" ref="M31" si="78">F31/100</f>
        <v>-7.0999999999999995E-3</v>
      </c>
      <c r="N31" s="2913">
        <f t="shared" ref="N31" si="79">G31/100</f>
        <v>-8.8000000000000005E-3</v>
      </c>
      <c r="O31" s="2913"/>
      <c r="P31" s="2913">
        <f>M31</f>
        <v>-7.0999999999999995E-3</v>
      </c>
      <c r="Q31" s="2911"/>
      <c r="R31" s="2911"/>
      <c r="S31" s="2911">
        <f>ROUND(IF(项目基本情况!$B$8="出让",SUMPRODUCT(PRODUCT(1+L31:L$46)),SUMPRODUCT(PRODUCT(1+L31:L$45))),4)</f>
        <v>1.0301</v>
      </c>
      <c r="T31" s="2911">
        <f>ROUND(IF(项目基本情况!$B$8="出让",SUMPRODUCT(PRODUCT(1+M31:M$46)),SUMPRODUCT(PRODUCT(1+M31:M$45))),4)</f>
        <v>1.0170999999999999</v>
      </c>
      <c r="U31" s="2911">
        <f>ROUND(IF(项目基本情况!$B$8="出让",SUMPRODUCT(PRODUCT(1+N31:N$46)),SUMPRODUCT(PRODUCT(1+N31:N$45))),4)</f>
        <v>1.0387999999999999</v>
      </c>
      <c r="V31" s="2911"/>
      <c r="W31" s="2911">
        <f>T31</f>
        <v>1.0170999999999999</v>
      </c>
      <c r="X31" s="2911"/>
      <c r="Y31" s="2913"/>
      <c r="Z31" s="2929">
        <f t="shared" ref="Z31" si="80">IF(E31=0,0,ROUND(AVERAGE(E31:E44)/100,4))</f>
        <v>1.6999999999999999E-3</v>
      </c>
      <c r="AA31" s="2930">
        <f t="shared" ref="AA31" si="81">IF(F31=0,0,ROUND(AVERAGE(F31:F44)/100,4))</f>
        <v>8.9999999999999998E-4</v>
      </c>
      <c r="AB31" s="2913">
        <f t="shared" ref="AB31" si="82">IF(G31=0,0,ROUND(AVERAGE(G31:G44)/100,4))</f>
        <v>2E-3</v>
      </c>
      <c r="AC31" s="2931"/>
      <c r="AD31" s="2913">
        <f>IF(I31=0,0,ROUND(AVERAGE(I31:I44)/100,4))</f>
        <v>8.9999999999999998E-4</v>
      </c>
    </row>
    <row r="32" spans="1:30" s="2042" customFormat="1" ht="13.2">
      <c r="A32" s="2037" t="s">
        <v>3372</v>
      </c>
      <c r="B32" s="2028">
        <v>2024</v>
      </c>
      <c r="C32" s="2039">
        <v>3</v>
      </c>
      <c r="D32" s="2004"/>
      <c r="E32" s="2004">
        <v>-0.66</v>
      </c>
      <c r="F32" s="2004">
        <v>-0.52</v>
      </c>
      <c r="G32" s="2004">
        <v>-2.87</v>
      </c>
      <c r="H32" s="2004"/>
      <c r="I32" s="2005">
        <f t="shared" ref="I32" si="83">F32</f>
        <v>-0.52</v>
      </c>
      <c r="J32" s="2904"/>
      <c r="K32" s="2040"/>
      <c r="L32" s="2025">
        <f t="shared" ref="L32" si="84">E32/100</f>
        <v>-6.6E-3</v>
      </c>
      <c r="M32" s="2025">
        <f t="shared" ref="M32" si="85">F32/100</f>
        <v>-5.1999999999999998E-3</v>
      </c>
      <c r="N32" s="2025">
        <f t="shared" ref="N32" si="86">G32/100</f>
        <v>-2.87E-2</v>
      </c>
      <c r="O32" s="2025"/>
      <c r="P32" s="2025">
        <f>M32</f>
        <v>-5.1999999999999998E-3</v>
      </c>
      <c r="Q32" s="2904"/>
      <c r="R32" s="2024"/>
      <c r="S32" s="2024">
        <f>ROUND(IF(项目基本情况!$B$8="出让",SUMPRODUCT(PRODUCT(1+L32:L$46)),SUMPRODUCT(PRODUCT(1+L32:L$45))),4)</f>
        <v>1.0364</v>
      </c>
      <c r="T32" s="2024">
        <f>ROUND(IF(项目基本情况!$B$8="出让",SUMPRODUCT(PRODUCT(1+M32:M$46)),SUMPRODUCT(PRODUCT(1+M32:M$45))),4)</f>
        <v>1.0244</v>
      </c>
      <c r="U32" s="2024">
        <f>ROUND(IF(项目基本情况!$B$8="出让",SUMPRODUCT(PRODUCT(1+N32:N$46)),SUMPRODUCT(PRODUCT(1+N32:N$45))),4)</f>
        <v>1.048</v>
      </c>
      <c r="V32" s="2024"/>
      <c r="W32" s="2024">
        <f>T32</f>
        <v>1.0244</v>
      </c>
      <c r="X32" s="2904"/>
      <c r="Y32" s="2025"/>
      <c r="Z32" s="2900">
        <f t="shared" ref="Z32:AB33" si="87">IF(E32=0,0,ROUND(AVERAGE(E32:E45)/100,4))</f>
        <v>2.5999999999999999E-3</v>
      </c>
      <c r="AA32" s="2900">
        <f t="shared" si="87"/>
        <v>1.6999999999999999E-3</v>
      </c>
      <c r="AB32" s="2900">
        <f t="shared" si="87"/>
        <v>3.3999999999999998E-3</v>
      </c>
      <c r="AC32" s="2902"/>
      <c r="AD32" s="2025">
        <f>IF(I32=0,0,ROUND(AVERAGE(I32:I45)/100,4))</f>
        <v>1.6999999999999999E-3</v>
      </c>
    </row>
    <row r="33" spans="1:30" s="2042" customFormat="1" ht="13.2">
      <c r="A33" s="2903" t="s">
        <v>3378</v>
      </c>
      <c r="B33" s="2028">
        <v>2024</v>
      </c>
      <c r="C33" s="2039">
        <v>2</v>
      </c>
      <c r="D33" s="2004"/>
      <c r="E33" s="2004">
        <v>-0.31</v>
      </c>
      <c r="F33" s="2004">
        <v>-0.39</v>
      </c>
      <c r="G33" s="2004">
        <v>1.23</v>
      </c>
      <c r="H33" s="2915"/>
      <c r="I33" s="2005">
        <f t="shared" ref="I33:I46" si="88">F33</f>
        <v>-0.39</v>
      </c>
      <c r="J33" s="2904"/>
      <c r="K33" s="2040"/>
      <c r="L33" s="2025">
        <f t="shared" ref="L33:N46" si="89">E33/100</f>
        <v>-3.0999999999999999E-3</v>
      </c>
      <c r="M33" s="2025">
        <f t="shared" si="89"/>
        <v>-3.9000000000000003E-3</v>
      </c>
      <c r="N33" s="2025">
        <f t="shared" si="89"/>
        <v>1.23E-2</v>
      </c>
      <c r="O33" s="2025"/>
      <c r="P33" s="2025">
        <f>M33</f>
        <v>-3.9000000000000003E-3</v>
      </c>
      <c r="Q33" s="2904"/>
      <c r="R33" s="2024"/>
      <c r="S33" s="2024">
        <f>ROUND(IF(项目基本情况!$B$8="出让",SUMPRODUCT(PRODUCT(1+L33:L$46)),SUMPRODUCT(PRODUCT(1+L33:L$45))),4)</f>
        <v>1.0432999999999999</v>
      </c>
      <c r="T33" s="2024">
        <f>ROUND(IF(项目基本情况!$B$8="出让",SUMPRODUCT(PRODUCT(1+M33:M$46)),SUMPRODUCT(PRODUCT(1+M33:M$45))),4)</f>
        <v>1.0298</v>
      </c>
      <c r="U33" s="2024">
        <f>ROUND(IF(项目基本情况!$B$8="出让",SUMPRODUCT(PRODUCT(1+N33:N$46)),SUMPRODUCT(PRODUCT(1+N33:N$45))),4)</f>
        <v>1.079</v>
      </c>
      <c r="V33" s="2024"/>
      <c r="W33" s="2024">
        <f>T33</f>
        <v>1.0298</v>
      </c>
      <c r="X33" s="2904"/>
      <c r="Y33" s="2025"/>
      <c r="Z33" s="2900">
        <f t="shared" si="87"/>
        <v>3.3E-3</v>
      </c>
      <c r="AA33" s="2901">
        <f t="shared" si="87"/>
        <v>2.3999999999999998E-3</v>
      </c>
      <c r="AB33" s="2025">
        <f t="shared" si="87"/>
        <v>6.1999999999999998E-3</v>
      </c>
      <c r="AC33" s="2902"/>
      <c r="AD33" s="2025">
        <f>IF(I33=0,0,ROUND(AVERAGE(I33:I46)/100,4))</f>
        <v>2.3999999999999998E-3</v>
      </c>
    </row>
    <row r="34" spans="1:30" s="2042" customFormat="1" ht="13.2">
      <c r="A34" s="2903" t="s">
        <v>3373</v>
      </c>
      <c r="B34" s="2028">
        <v>2024</v>
      </c>
      <c r="C34" s="2039">
        <v>1</v>
      </c>
      <c r="D34" s="2004"/>
      <c r="E34" s="2004">
        <v>0.25</v>
      </c>
      <c r="F34" s="2004">
        <v>0.4</v>
      </c>
      <c r="G34" s="2004">
        <v>-0.63</v>
      </c>
      <c r="H34" s="2915"/>
      <c r="I34" s="2005">
        <f t="shared" ref="I34:I35" si="90">F34</f>
        <v>0.4</v>
      </c>
      <c r="J34" s="2904"/>
      <c r="K34" s="2040"/>
      <c r="L34" s="2025">
        <f t="shared" ref="L34" si="91">E34/100</f>
        <v>2.5000000000000001E-3</v>
      </c>
      <c r="M34" s="2025">
        <f t="shared" ref="M34" si="92">F34/100</f>
        <v>4.0000000000000001E-3</v>
      </c>
      <c r="N34" s="2025">
        <f t="shared" ref="N34" si="93">G34/100</f>
        <v>-6.3E-3</v>
      </c>
      <c r="O34" s="2025"/>
      <c r="P34" s="2025">
        <f t="shared" ref="P34" si="94">M34</f>
        <v>4.0000000000000001E-3</v>
      </c>
      <c r="Q34" s="2904"/>
      <c r="R34" s="2024"/>
      <c r="S34" s="2024">
        <f>ROUND(IF(项目基本情况!$B$8="出让",SUMPRODUCT(PRODUCT(1+L34:L$46)),SUMPRODUCT(PRODUCT(1+L34:L$45))),4)</f>
        <v>1.0465</v>
      </c>
      <c r="T34" s="2024">
        <f>ROUND(IF(项目基本情况!$B$8="出让",SUMPRODUCT(PRODUCT(1+M34:M$46)),SUMPRODUCT(PRODUCT(1+M34:M$45))),4)</f>
        <v>1.0338000000000001</v>
      </c>
      <c r="U34" s="2024">
        <f>ROUND(IF(项目基本情况!$B$8="出让",SUMPRODUCT(PRODUCT(1+N34:N$46)),SUMPRODUCT(PRODUCT(1+N34:N$45))),4)</f>
        <v>1.0659000000000001</v>
      </c>
      <c r="V34" s="2024"/>
      <c r="W34" s="2024">
        <f t="shared" ref="W34" si="95">T34</f>
        <v>1.0338000000000001</v>
      </c>
      <c r="X34" s="2904"/>
      <c r="Y34" s="2025"/>
      <c r="Z34" s="2900"/>
      <c r="AA34" s="2901"/>
      <c r="AB34" s="2025"/>
      <c r="AC34" s="2902"/>
      <c r="AD34" s="2025"/>
    </row>
    <row r="35" spans="1:30" s="2042" customFormat="1" ht="13.2">
      <c r="A35" s="2903" t="s">
        <v>3371</v>
      </c>
      <c r="B35" s="2028">
        <v>2023</v>
      </c>
      <c r="C35" s="2039">
        <v>4</v>
      </c>
      <c r="D35" s="2004"/>
      <c r="E35" s="2004">
        <v>7.0000000000000007E-2</v>
      </c>
      <c r="F35" s="2004">
        <v>0.09</v>
      </c>
      <c r="G35" s="2004">
        <v>0.03</v>
      </c>
      <c r="H35" s="2915"/>
      <c r="I35" s="2005">
        <f t="shared" si="90"/>
        <v>0.09</v>
      </c>
      <c r="J35" s="2904"/>
      <c r="K35" s="2040"/>
      <c r="L35" s="2025">
        <f t="shared" si="89"/>
        <v>7.000000000000001E-4</v>
      </c>
      <c r="M35" s="2025">
        <f t="shared" si="89"/>
        <v>8.9999999999999998E-4</v>
      </c>
      <c r="N35" s="2025">
        <f t="shared" si="89"/>
        <v>2.9999999999999997E-4</v>
      </c>
      <c r="O35" s="2025"/>
      <c r="P35" s="2025">
        <f t="shared" ref="P35" si="96">M35</f>
        <v>8.9999999999999998E-4</v>
      </c>
      <c r="Q35" s="2904"/>
      <c r="R35" s="2024"/>
      <c r="S35" s="2024">
        <f>ROUND(IF(项目基本情况!$B$8="出让",SUMPRODUCT(PRODUCT(1+L35:L$46)),SUMPRODUCT(PRODUCT(1+L35:L$45))),4)</f>
        <v>1.0439000000000001</v>
      </c>
      <c r="T35" s="2024">
        <f>ROUND(IF(项目基本情况!$B$8="出让",SUMPRODUCT(PRODUCT(1+M35:M$46)),SUMPRODUCT(PRODUCT(1+M35:M$45))),4)</f>
        <v>1.0297000000000001</v>
      </c>
      <c r="U35" s="2024">
        <f>ROUND(IF(项目基本情况!$B$8="出让",SUMPRODUCT(PRODUCT(1+N35:N$46)),SUMPRODUCT(PRODUCT(1+N35:N$45))),4)</f>
        <v>1.0727</v>
      </c>
      <c r="V35" s="2024"/>
      <c r="W35" s="2024">
        <f t="shared" ref="W35" si="97">T35</f>
        <v>1.0297000000000001</v>
      </c>
      <c r="X35" s="2904"/>
      <c r="Y35" s="2025"/>
      <c r="Z35" s="2900"/>
      <c r="AA35" s="2901"/>
      <c r="AB35" s="2025"/>
      <c r="AC35" s="2902"/>
      <c r="AD35" s="2025"/>
    </row>
    <row r="36" spans="1:30" s="2042" customFormat="1" ht="13.2">
      <c r="A36" s="2903" t="s">
        <v>3369</v>
      </c>
      <c r="B36" s="2028">
        <v>2023</v>
      </c>
      <c r="C36" s="2039">
        <v>3</v>
      </c>
      <c r="D36" s="2004"/>
      <c r="E36" s="2004">
        <v>0.35</v>
      </c>
      <c r="F36" s="2004">
        <v>0.17</v>
      </c>
      <c r="G36" s="2004">
        <v>0.52</v>
      </c>
      <c r="H36" s="2915"/>
      <c r="I36" s="2005">
        <f t="shared" si="88"/>
        <v>0.17</v>
      </c>
      <c r="J36" s="2904"/>
      <c r="K36" s="2040"/>
      <c r="L36" s="2025">
        <f t="shared" ref="L36:L38" si="98">E36/100</f>
        <v>3.4999999999999996E-3</v>
      </c>
      <c r="M36" s="2025">
        <f t="shared" ref="M36:M38" si="99">F36/100</f>
        <v>1.7000000000000001E-3</v>
      </c>
      <c r="N36" s="2025">
        <f t="shared" ref="N36:N38" si="100">G36/100</f>
        <v>5.1999999999999998E-3</v>
      </c>
      <c r="O36" s="2025"/>
      <c r="P36" s="2025">
        <f t="shared" ref="P36:P38" si="101">M36</f>
        <v>1.7000000000000001E-3</v>
      </c>
      <c r="Q36" s="2904"/>
      <c r="R36" s="2024"/>
      <c r="S36" s="2024">
        <f>ROUND(IF(项目基本情况!$B$8="出让",SUMPRODUCT(PRODUCT(1+L36:L$46)),SUMPRODUCT(PRODUCT(1+L36:L$45))),4)</f>
        <v>1.0431999999999999</v>
      </c>
      <c r="T36" s="2024">
        <f>ROUND(IF(项目基本情况!$B$8="出让",SUMPRODUCT(PRODUCT(1+M36:M$46)),SUMPRODUCT(PRODUCT(1+M36:M$45))),4)</f>
        <v>1.0286999999999999</v>
      </c>
      <c r="U36" s="2024">
        <f>ROUND(IF(项目基本情况!$B$8="出让",SUMPRODUCT(PRODUCT(1+N36:N$46)),SUMPRODUCT(PRODUCT(1+N36:N$45))),4)</f>
        <v>1.0723</v>
      </c>
      <c r="V36" s="2024"/>
      <c r="W36" s="2024">
        <f t="shared" ref="W36:W38" si="102">T36</f>
        <v>1.0286999999999999</v>
      </c>
      <c r="X36" s="2904"/>
      <c r="Y36" s="2025"/>
      <c r="Z36" s="2900"/>
      <c r="AA36" s="2901"/>
      <c r="AB36" s="2025"/>
      <c r="AC36" s="2902"/>
      <c r="AD36" s="2025"/>
    </row>
    <row r="37" spans="1:30" s="2042" customFormat="1" ht="13.2">
      <c r="A37" s="2903" t="s">
        <v>3368</v>
      </c>
      <c r="B37" s="2028">
        <v>2023</v>
      </c>
      <c r="C37" s="2039">
        <v>2</v>
      </c>
      <c r="D37" s="2004"/>
      <c r="E37" s="2004">
        <v>0.5</v>
      </c>
      <c r="F37" s="2004">
        <v>0.45</v>
      </c>
      <c r="G37" s="2004">
        <v>0.89</v>
      </c>
      <c r="H37" s="2915"/>
      <c r="I37" s="2005">
        <f t="shared" si="88"/>
        <v>0.45</v>
      </c>
      <c r="J37" s="2904"/>
      <c r="K37" s="2040"/>
      <c r="L37" s="2025">
        <f t="shared" si="98"/>
        <v>5.0000000000000001E-3</v>
      </c>
      <c r="M37" s="2025">
        <f t="shared" si="99"/>
        <v>4.5000000000000005E-3</v>
      </c>
      <c r="N37" s="2025">
        <f t="shared" si="100"/>
        <v>8.8999999999999999E-3</v>
      </c>
      <c r="O37" s="2025"/>
      <c r="P37" s="2025">
        <f t="shared" si="101"/>
        <v>4.5000000000000005E-3</v>
      </c>
      <c r="Q37" s="2904"/>
      <c r="R37" s="2024"/>
      <c r="S37" s="2024">
        <f>ROUND(IF(项目基本情况!$B$8="出让",SUMPRODUCT(PRODUCT(1+L37:L$46)),SUMPRODUCT(PRODUCT(1+L37:L$45))),4)</f>
        <v>1.0396000000000001</v>
      </c>
      <c r="T37" s="2024">
        <f>ROUND(IF(项目基本情况!$B$8="出让",SUMPRODUCT(PRODUCT(1+M37:M$46)),SUMPRODUCT(PRODUCT(1+M37:M$45))),4)</f>
        <v>1.0269999999999999</v>
      </c>
      <c r="U37" s="2024">
        <f>ROUND(IF(项目基本情况!$B$8="出让",SUMPRODUCT(PRODUCT(1+N37:N$46)),SUMPRODUCT(PRODUCT(1+N37:N$45))),4)</f>
        <v>1.0668</v>
      </c>
      <c r="V37" s="2024"/>
      <c r="W37" s="2024">
        <f t="shared" si="102"/>
        <v>1.0269999999999999</v>
      </c>
      <c r="X37" s="2904"/>
      <c r="Y37" s="2025"/>
      <c r="Z37" s="2900"/>
      <c r="AA37" s="2901"/>
      <c r="AB37" s="2025"/>
      <c r="AC37" s="2902"/>
      <c r="AD37" s="2025"/>
    </row>
    <row r="38" spans="1:30" s="2042" customFormat="1" ht="13.2">
      <c r="A38" s="2903" t="s">
        <v>3366</v>
      </c>
      <c r="B38" s="2028">
        <v>2023</v>
      </c>
      <c r="C38" s="2039">
        <v>1</v>
      </c>
      <c r="D38" s="2004"/>
      <c r="E38" s="2004">
        <v>0.55000000000000004</v>
      </c>
      <c r="F38" s="2004">
        <v>0.59</v>
      </c>
      <c r="G38" s="2004">
        <v>0.64</v>
      </c>
      <c r="H38" s="2915"/>
      <c r="I38" s="2005">
        <f t="shared" si="88"/>
        <v>0.59</v>
      </c>
      <c r="J38" s="2904"/>
      <c r="K38" s="2040"/>
      <c r="L38" s="2025">
        <f t="shared" si="98"/>
        <v>5.5000000000000005E-3</v>
      </c>
      <c r="M38" s="2025">
        <f t="shared" si="99"/>
        <v>5.8999999999999999E-3</v>
      </c>
      <c r="N38" s="2025">
        <f t="shared" si="100"/>
        <v>6.4000000000000003E-3</v>
      </c>
      <c r="O38" s="2025"/>
      <c r="P38" s="2025">
        <f t="shared" si="101"/>
        <v>5.8999999999999999E-3</v>
      </c>
      <c r="Q38" s="2904"/>
      <c r="R38" s="2024"/>
      <c r="S38" s="2024">
        <f>ROUND(IF(项目基本情况!$B$8="出让",SUMPRODUCT(PRODUCT(1+L38:L$46)),SUMPRODUCT(PRODUCT(1+L38:L$45))),4)</f>
        <v>1.0344</v>
      </c>
      <c r="T38" s="2024">
        <f>ROUND(IF(项目基本情况!$B$8="出让",SUMPRODUCT(PRODUCT(1+M38:M$46)),SUMPRODUCT(PRODUCT(1+M38:M$45))),4)</f>
        <v>1.0224</v>
      </c>
      <c r="U38" s="2024">
        <f>ROUND(IF(项目基本情况!$B$8="出让",SUMPRODUCT(PRODUCT(1+N38:N$46)),SUMPRODUCT(PRODUCT(1+N38:N$45))),4)</f>
        <v>1.0573999999999999</v>
      </c>
      <c r="V38" s="2024"/>
      <c r="W38" s="2024">
        <f t="shared" si="102"/>
        <v>1.0224</v>
      </c>
      <c r="X38" s="2904"/>
      <c r="Y38" s="2025"/>
      <c r="Z38" s="2900"/>
      <c r="AA38" s="2901"/>
      <c r="AB38" s="2025"/>
      <c r="AC38" s="2902"/>
      <c r="AD38" s="2025"/>
    </row>
    <row r="39" spans="1:30" s="2042" customFormat="1" ht="13.2">
      <c r="A39" s="2903" t="s">
        <v>3365</v>
      </c>
      <c r="B39" s="2028">
        <v>2022</v>
      </c>
      <c r="C39" s="2039">
        <v>4</v>
      </c>
      <c r="D39" s="2004"/>
      <c r="E39" s="2004">
        <v>0.45</v>
      </c>
      <c r="F39" s="2004">
        <v>0.2</v>
      </c>
      <c r="G39" s="2004">
        <v>0.38</v>
      </c>
      <c r="H39" s="2915"/>
      <c r="I39" s="2005">
        <f t="shared" si="88"/>
        <v>0.2</v>
      </c>
      <c r="J39" s="2904"/>
      <c r="K39" s="2040"/>
      <c r="L39" s="2025">
        <f t="shared" si="89"/>
        <v>4.5000000000000005E-3</v>
      </c>
      <c r="M39" s="2025">
        <f t="shared" si="89"/>
        <v>2E-3</v>
      </c>
      <c r="N39" s="2025">
        <f t="shared" si="89"/>
        <v>3.8E-3</v>
      </c>
      <c r="O39" s="2025"/>
      <c r="P39" s="2025">
        <f t="shared" ref="P39:P46" si="103">M39</f>
        <v>2E-3</v>
      </c>
      <c r="Q39" s="2904"/>
      <c r="R39" s="2024"/>
      <c r="S39" s="2024">
        <f>ROUND(IF(项目基本情况!$B$8="出让",SUMPRODUCT(PRODUCT(1+L39:L$46)),SUMPRODUCT(PRODUCT(1+L39:L$45))),4)</f>
        <v>1.0286999999999999</v>
      </c>
      <c r="T39" s="2024">
        <f>ROUND(IF(项目基本情况!$B$8="出让",SUMPRODUCT(PRODUCT(1+M39:M$46)),SUMPRODUCT(PRODUCT(1+M39:M$45))),4)</f>
        <v>1.0164</v>
      </c>
      <c r="U39" s="2024">
        <f>ROUND(IF(项目基本情况!$B$8="出让",SUMPRODUCT(PRODUCT(1+N39:N$46)),SUMPRODUCT(PRODUCT(1+N39:N$45))),4)</f>
        <v>1.0506</v>
      </c>
      <c r="V39" s="2024"/>
      <c r="W39" s="2024">
        <f t="shared" ref="W39:W46" si="104">T39</f>
        <v>1.0164</v>
      </c>
      <c r="X39" s="2904"/>
      <c r="Y39" s="2025"/>
      <c r="Z39" s="2900">
        <f t="shared" ref="Z39:AD46" si="105">IF(E39=0,0,ROUND(AVERAGE(E39:E47)/100,4))</f>
        <v>4.0000000000000001E-3</v>
      </c>
      <c r="AA39" s="2901">
        <f t="shared" si="105"/>
        <v>2.5999999999999999E-3</v>
      </c>
      <c r="AB39" s="2025">
        <f t="shared" si="105"/>
        <v>7.4000000000000003E-3</v>
      </c>
      <c r="AC39" s="2902"/>
      <c r="AD39" s="2025">
        <f t="shared" si="105"/>
        <v>2.5999999999999999E-3</v>
      </c>
    </row>
    <row r="40" spans="1:30" s="2042" customFormat="1" ht="13.2">
      <c r="A40" s="2903" t="s">
        <v>3364</v>
      </c>
      <c r="B40" s="2028">
        <v>2022</v>
      </c>
      <c r="C40" s="2039">
        <v>3</v>
      </c>
      <c r="D40" s="2004"/>
      <c r="E40" s="2004">
        <v>0.3</v>
      </c>
      <c r="F40" s="2004">
        <v>0.28999999999999998</v>
      </c>
      <c r="G40" s="2004">
        <v>0.83</v>
      </c>
      <c r="H40" s="2915"/>
      <c r="I40" s="2005">
        <f t="shared" si="88"/>
        <v>0.28999999999999998</v>
      </c>
      <c r="J40" s="2904"/>
      <c r="K40" s="2040"/>
      <c r="L40" s="2025">
        <f t="shared" si="89"/>
        <v>3.0000000000000001E-3</v>
      </c>
      <c r="M40" s="2025">
        <f t="shared" si="89"/>
        <v>2.8999999999999998E-3</v>
      </c>
      <c r="N40" s="2025">
        <f t="shared" si="89"/>
        <v>8.3000000000000001E-3</v>
      </c>
      <c r="O40" s="2025"/>
      <c r="P40" s="2025">
        <f t="shared" si="103"/>
        <v>2.8999999999999998E-3</v>
      </c>
      <c r="Q40" s="2904"/>
      <c r="R40" s="2024"/>
      <c r="S40" s="2024">
        <f>ROUND(IF(项目基本情况!$B$8="出让",SUMPRODUCT(PRODUCT(1+L40:L$46)),SUMPRODUCT(PRODUCT(1+L40:L$45))),4)</f>
        <v>1.0241</v>
      </c>
      <c r="T40" s="2024">
        <f>ROUND(IF(项目基本情况!$B$8="出让",SUMPRODUCT(PRODUCT(1+M40:M$46)),SUMPRODUCT(PRODUCT(1+M40:M$45))),4)</f>
        <v>1.0144</v>
      </c>
      <c r="U40" s="2024">
        <f>ROUND(IF(项目基本情况!$B$8="出让",SUMPRODUCT(PRODUCT(1+N40:N$46)),SUMPRODUCT(PRODUCT(1+N40:N$45))),4)</f>
        <v>1.0467</v>
      </c>
      <c r="V40" s="2024"/>
      <c r="W40" s="2024">
        <f t="shared" si="104"/>
        <v>1.0144</v>
      </c>
      <c r="X40" s="2904"/>
      <c r="Y40" s="2025"/>
      <c r="Z40" s="2900">
        <f t="shared" si="105"/>
        <v>3.8999999999999998E-3</v>
      </c>
      <c r="AA40" s="2901">
        <f t="shared" si="105"/>
        <v>2.7000000000000001E-3</v>
      </c>
      <c r="AB40" s="2025">
        <f t="shared" si="105"/>
        <v>7.9000000000000008E-3</v>
      </c>
      <c r="AC40" s="2902"/>
      <c r="AD40" s="2025">
        <f t="shared" si="105"/>
        <v>2.7000000000000001E-3</v>
      </c>
    </row>
    <row r="41" spans="1:30" s="2042" customFormat="1" ht="13.2">
      <c r="A41" s="2903" t="s">
        <v>3354</v>
      </c>
      <c r="B41" s="2028">
        <v>2022</v>
      </c>
      <c r="C41" s="2039">
        <v>2</v>
      </c>
      <c r="D41" s="2004"/>
      <c r="E41" s="2004">
        <v>-0.11</v>
      </c>
      <c r="F41" s="2004">
        <v>-0.13</v>
      </c>
      <c r="G41" s="2004">
        <v>0.53</v>
      </c>
      <c r="H41" s="2915"/>
      <c r="I41" s="2005">
        <f t="shared" si="88"/>
        <v>-0.13</v>
      </c>
      <c r="J41" s="2904"/>
      <c r="K41" s="2040"/>
      <c r="L41" s="2025">
        <f t="shared" si="89"/>
        <v>-1.1000000000000001E-3</v>
      </c>
      <c r="M41" s="2025">
        <f t="shared" si="89"/>
        <v>-1.2999999999999999E-3</v>
      </c>
      <c r="N41" s="2025">
        <f t="shared" si="89"/>
        <v>5.3E-3</v>
      </c>
      <c r="O41" s="2025"/>
      <c r="P41" s="2025">
        <f t="shared" si="103"/>
        <v>-1.2999999999999999E-3</v>
      </c>
      <c r="Q41" s="2904"/>
      <c r="R41" s="2024"/>
      <c r="S41" s="2024">
        <f>ROUND(IF(项目基本情况!$B$8="出让",SUMPRODUCT(PRODUCT(1+L41:L$46)),SUMPRODUCT(PRODUCT(1+L41:L$45))),4)</f>
        <v>1.0210999999999999</v>
      </c>
      <c r="T41" s="2024">
        <f>ROUND(IF(项目基本情况!$B$8="出让",SUMPRODUCT(PRODUCT(1+M41:M$46)),SUMPRODUCT(PRODUCT(1+M41:M$45))),4)</f>
        <v>1.0114000000000001</v>
      </c>
      <c r="U41" s="2024">
        <f>ROUND(IF(项目基本情况!$B$8="出让",SUMPRODUCT(PRODUCT(1+N41:N$46)),SUMPRODUCT(PRODUCT(1+N41:N$45))),4)</f>
        <v>1.0381</v>
      </c>
      <c r="V41" s="2024"/>
      <c r="W41" s="2024">
        <f t="shared" si="104"/>
        <v>1.0114000000000001</v>
      </c>
      <c r="X41" s="2904"/>
      <c r="Y41" s="2025"/>
      <c r="Z41" s="2900">
        <f t="shared" si="105"/>
        <v>4.1000000000000003E-3</v>
      </c>
      <c r="AA41" s="2901">
        <f t="shared" si="105"/>
        <v>2.7000000000000001E-3</v>
      </c>
      <c r="AB41" s="2025">
        <f t="shared" si="105"/>
        <v>7.9000000000000008E-3</v>
      </c>
      <c r="AC41" s="2902"/>
      <c r="AD41" s="2025">
        <f t="shared" si="105"/>
        <v>2.7000000000000001E-3</v>
      </c>
    </row>
    <row r="42" spans="1:30" s="2042" customFormat="1" ht="13.2">
      <c r="A42" s="2903" t="s">
        <v>2834</v>
      </c>
      <c r="B42" s="2028">
        <v>2022</v>
      </c>
      <c r="C42" s="2039">
        <v>1</v>
      </c>
      <c r="D42" s="2004"/>
      <c r="E42" s="2004">
        <v>0.6</v>
      </c>
      <c r="F42" s="2004">
        <v>0.45</v>
      </c>
      <c r="G42" s="2004">
        <v>0.53</v>
      </c>
      <c r="H42" s="2915"/>
      <c r="I42" s="2005">
        <f t="shared" si="88"/>
        <v>0.45</v>
      </c>
      <c r="J42" s="2904"/>
      <c r="K42" s="2040"/>
      <c r="L42" s="2025">
        <f t="shared" si="89"/>
        <v>6.0000000000000001E-3</v>
      </c>
      <c r="M42" s="2025">
        <f t="shared" si="89"/>
        <v>4.5000000000000005E-3</v>
      </c>
      <c r="N42" s="2025">
        <f t="shared" si="89"/>
        <v>5.3E-3</v>
      </c>
      <c r="O42" s="2025"/>
      <c r="P42" s="2025">
        <f t="shared" si="103"/>
        <v>4.5000000000000005E-3</v>
      </c>
      <c r="Q42" s="2904"/>
      <c r="R42" s="2024"/>
      <c r="S42" s="2024">
        <f>ROUND(IF(项目基本情况!$B$8="出让",SUMPRODUCT(PRODUCT(1+L42:L$46)),SUMPRODUCT(PRODUCT(1+L42:L$45))),4)</f>
        <v>1.0222</v>
      </c>
      <c r="T42" s="2024">
        <f>ROUND(IF(项目基本情况!$B$8="出让",SUMPRODUCT(PRODUCT(1+M42:M$46)),SUMPRODUCT(PRODUCT(1+M42:M$45))),4)</f>
        <v>1.0127999999999999</v>
      </c>
      <c r="U42" s="2024">
        <f>ROUND(IF(项目基本情况!$B$8="出让",SUMPRODUCT(PRODUCT(1+N42:N$46)),SUMPRODUCT(PRODUCT(1+N42:N$45))),4)</f>
        <v>1.0326</v>
      </c>
      <c r="V42" s="2024"/>
      <c r="W42" s="2024">
        <f t="shared" si="104"/>
        <v>1.0127999999999999</v>
      </c>
      <c r="X42" s="2904"/>
      <c r="Y42" s="2025"/>
      <c r="Z42" s="2900">
        <f t="shared" si="105"/>
        <v>5.1000000000000004E-3</v>
      </c>
      <c r="AA42" s="2901">
        <f t="shared" si="105"/>
        <v>3.5000000000000001E-3</v>
      </c>
      <c r="AB42" s="2025">
        <f t="shared" si="105"/>
        <v>8.3999999999999995E-3</v>
      </c>
      <c r="AC42" s="2902"/>
      <c r="AD42" s="2025">
        <f t="shared" si="105"/>
        <v>3.5000000000000001E-3</v>
      </c>
    </row>
    <row r="43" spans="1:30" s="2042" customFormat="1" ht="13.2">
      <c r="A43" s="2903" t="s">
        <v>2835</v>
      </c>
      <c r="B43" s="2028">
        <v>2021</v>
      </c>
      <c r="C43" s="2039">
        <v>4</v>
      </c>
      <c r="D43" s="2004"/>
      <c r="E43" s="2004">
        <v>0.57999999999999996</v>
      </c>
      <c r="F43" s="2004">
        <v>0.08</v>
      </c>
      <c r="G43" s="2004">
        <v>0.68</v>
      </c>
      <c r="H43" s="2915"/>
      <c r="I43" s="2005">
        <f t="shared" si="88"/>
        <v>0.08</v>
      </c>
      <c r="J43" s="2904"/>
      <c r="K43" s="2040"/>
      <c r="L43" s="2025">
        <f t="shared" si="89"/>
        <v>5.7999999999999996E-3</v>
      </c>
      <c r="M43" s="2025">
        <f t="shared" si="89"/>
        <v>8.0000000000000004E-4</v>
      </c>
      <c r="N43" s="2025">
        <f t="shared" si="89"/>
        <v>6.8000000000000005E-3</v>
      </c>
      <c r="O43" s="2025"/>
      <c r="P43" s="2025">
        <f t="shared" si="103"/>
        <v>8.0000000000000004E-4</v>
      </c>
      <c r="Q43" s="2904"/>
      <c r="R43" s="2024"/>
      <c r="S43" s="2024">
        <f>ROUND(IF(项目基本情况!$B$8="出让",SUMPRODUCT(PRODUCT(1+L43:L$46)),SUMPRODUCT(PRODUCT(1+L43:L$45))),4)</f>
        <v>1.0161</v>
      </c>
      <c r="T43" s="2024">
        <f>ROUND(IF(项目基本情况!$B$8="出让",SUMPRODUCT(PRODUCT(1+M43:M$46)),SUMPRODUCT(PRODUCT(1+M43:M$45))),4)</f>
        <v>1.0082</v>
      </c>
      <c r="U43" s="2024">
        <f>ROUND(IF(项目基本情况!$B$8="出让",SUMPRODUCT(PRODUCT(1+N43:N$46)),SUMPRODUCT(PRODUCT(1+N43:N$45))),4)</f>
        <v>1.0270999999999999</v>
      </c>
      <c r="V43" s="2024"/>
      <c r="W43" s="2024">
        <f t="shared" si="104"/>
        <v>1.0082</v>
      </c>
      <c r="X43" s="2904"/>
      <c r="Y43" s="2025"/>
      <c r="Z43" s="2900">
        <f t="shared" si="105"/>
        <v>4.8999999999999998E-3</v>
      </c>
      <c r="AA43" s="2901">
        <f t="shared" si="105"/>
        <v>3.3E-3</v>
      </c>
      <c r="AB43" s="2025">
        <f t="shared" si="105"/>
        <v>9.1999999999999998E-3</v>
      </c>
      <c r="AC43" s="2902"/>
      <c r="AD43" s="2025">
        <f t="shared" si="105"/>
        <v>3.3E-3</v>
      </c>
    </row>
    <row r="44" spans="1:30" s="2042" customFormat="1" ht="13.2">
      <c r="A44" s="2903" t="s">
        <v>2836</v>
      </c>
      <c r="B44" s="2028">
        <v>2021</v>
      </c>
      <c r="C44" s="2039">
        <v>3</v>
      </c>
      <c r="D44" s="2004"/>
      <c r="E44" s="2004">
        <v>0.47</v>
      </c>
      <c r="F44" s="2004">
        <v>0.28000000000000003</v>
      </c>
      <c r="G44" s="2004">
        <v>0.91</v>
      </c>
      <c r="H44" s="2915"/>
      <c r="I44" s="2005">
        <f t="shared" si="88"/>
        <v>0.28000000000000003</v>
      </c>
      <c r="J44" s="2904"/>
      <c r="K44" s="2040"/>
      <c r="L44" s="2025">
        <f t="shared" si="89"/>
        <v>4.6999999999999993E-3</v>
      </c>
      <c r="M44" s="2025">
        <f t="shared" si="89"/>
        <v>2.8000000000000004E-3</v>
      </c>
      <c r="N44" s="2025">
        <f t="shared" si="89"/>
        <v>9.1000000000000004E-3</v>
      </c>
      <c r="O44" s="2025"/>
      <c r="P44" s="2025">
        <f t="shared" si="103"/>
        <v>2.8000000000000004E-3</v>
      </c>
      <c r="Q44" s="2904"/>
      <c r="R44" s="2024"/>
      <c r="S44" s="2024">
        <f>ROUND(IF(项目基本情况!$B$8="出让",SUMPRODUCT(PRODUCT(1+L44:L$46)),SUMPRODUCT(PRODUCT(1+L44:L$45))),4)</f>
        <v>1.0102</v>
      </c>
      <c r="T44" s="2024">
        <f>ROUND(IF(项目基本情况!$B$8="出让",SUMPRODUCT(PRODUCT(1+M44:M$46)),SUMPRODUCT(PRODUCT(1+M44:M$45))),4)</f>
        <v>1.0074000000000001</v>
      </c>
      <c r="U44" s="2024">
        <f>ROUND(IF(项目基本情况!$B$8="出让",SUMPRODUCT(PRODUCT(1+N44:N$46)),SUMPRODUCT(PRODUCT(1+N44:N$45))),4)</f>
        <v>1.0202</v>
      </c>
      <c r="V44" s="2024"/>
      <c r="W44" s="2024">
        <f t="shared" si="104"/>
        <v>1.0074000000000001</v>
      </c>
      <c r="X44" s="2904"/>
      <c r="Y44" s="2025"/>
      <c r="Z44" s="2900">
        <f t="shared" si="105"/>
        <v>4.5999999999999999E-3</v>
      </c>
      <c r="AA44" s="2901">
        <f t="shared" si="105"/>
        <v>4.1000000000000003E-3</v>
      </c>
      <c r="AB44" s="2025">
        <f t="shared" si="105"/>
        <v>0.01</v>
      </c>
      <c r="AC44" s="2902"/>
      <c r="AD44" s="2025">
        <f t="shared" si="105"/>
        <v>4.1000000000000003E-3</v>
      </c>
    </row>
    <row r="45" spans="1:30" s="2042" customFormat="1" ht="13.2">
      <c r="A45" s="2903" t="s">
        <v>2837</v>
      </c>
      <c r="B45" s="2028">
        <v>2021</v>
      </c>
      <c r="C45" s="2039">
        <v>2</v>
      </c>
      <c r="D45" s="2004"/>
      <c r="E45" s="2004">
        <v>0.55000000000000004</v>
      </c>
      <c r="F45" s="2004">
        <v>0.46</v>
      </c>
      <c r="G45" s="2004">
        <v>1.1000000000000001</v>
      </c>
      <c r="H45" s="2915"/>
      <c r="I45" s="2005">
        <f t="shared" si="88"/>
        <v>0.46</v>
      </c>
      <c r="J45" s="2904"/>
      <c r="K45" s="2040"/>
      <c r="L45" s="2025">
        <f t="shared" si="89"/>
        <v>5.5000000000000005E-3</v>
      </c>
      <c r="M45" s="2025">
        <f t="shared" si="89"/>
        <v>4.5999999999999999E-3</v>
      </c>
      <c r="N45" s="2025">
        <f t="shared" si="89"/>
        <v>1.1000000000000001E-2</v>
      </c>
      <c r="O45" s="2025"/>
      <c r="P45" s="2025">
        <f t="shared" si="103"/>
        <v>4.5999999999999999E-3</v>
      </c>
      <c r="Q45" s="2904"/>
      <c r="R45" s="2024"/>
      <c r="S45" s="2024">
        <f>ROUND(IF(项目基本情况!$B$8="出让",SUMPRODUCT(PRODUCT(1+L45:L$46)),SUMPRODUCT(PRODUCT(1+L45:L$45))),4)</f>
        <v>1.0055000000000001</v>
      </c>
      <c r="T45" s="2024">
        <f>ROUND(IF(项目基本情况!$B$8="出让",SUMPRODUCT(PRODUCT(1+M45:M$46)),SUMPRODUCT(PRODUCT(1+M45:M$45))),4)</f>
        <v>1.0045999999999999</v>
      </c>
      <c r="U45" s="2024">
        <f>ROUND(IF(项目基本情况!$B$8="出让",SUMPRODUCT(PRODUCT(1+N45:N$46)),SUMPRODUCT(PRODUCT(1+N45:N$45))),4)</f>
        <v>1.0109999999999999</v>
      </c>
      <c r="V45" s="2024"/>
      <c r="W45" s="2024">
        <f t="shared" si="104"/>
        <v>1.0045999999999999</v>
      </c>
      <c r="X45" s="2904"/>
      <c r="Y45" s="2025"/>
      <c r="Z45" s="2900">
        <f t="shared" si="105"/>
        <v>4.4999999999999997E-3</v>
      </c>
      <c r="AA45" s="2901">
        <f t="shared" si="105"/>
        <v>4.7000000000000002E-3</v>
      </c>
      <c r="AB45" s="2025">
        <f t="shared" si="105"/>
        <v>1.04E-2</v>
      </c>
      <c r="AC45" s="2902"/>
      <c r="AD45" s="2025">
        <f t="shared" si="105"/>
        <v>4.7000000000000002E-3</v>
      </c>
    </row>
    <row r="46" spans="1:30" s="2926" customFormat="1" ht="13.8" thickBot="1">
      <c r="A46" s="2916" t="s">
        <v>2823</v>
      </c>
      <c r="B46" s="2917">
        <v>2021</v>
      </c>
      <c r="C46" s="2918">
        <v>1</v>
      </c>
      <c r="D46" s="2919"/>
      <c r="E46" s="2919">
        <v>0.35</v>
      </c>
      <c r="F46" s="2919">
        <v>0.48</v>
      </c>
      <c r="G46" s="2919">
        <v>0.98</v>
      </c>
      <c r="H46" s="2920"/>
      <c r="I46" s="2921">
        <f t="shared" si="88"/>
        <v>0.48</v>
      </c>
      <c r="J46" s="2922"/>
      <c r="K46" s="2923"/>
      <c r="L46" s="2924">
        <f t="shared" si="89"/>
        <v>3.4999999999999996E-3</v>
      </c>
      <c r="M46" s="2924">
        <f>F46/100</f>
        <v>4.7999999999999996E-3</v>
      </c>
      <c r="N46" s="2924">
        <f t="shared" si="89"/>
        <v>9.7999999999999997E-3</v>
      </c>
      <c r="O46" s="2924"/>
      <c r="P46" s="2924">
        <f t="shared" si="103"/>
        <v>4.7999999999999996E-3</v>
      </c>
      <c r="Q46" s="2922"/>
      <c r="R46" s="2925"/>
      <c r="S46" s="2925">
        <v>1</v>
      </c>
      <c r="T46" s="2925">
        <v>1</v>
      </c>
      <c r="U46" s="2925">
        <v>1</v>
      </c>
      <c r="V46" s="2925"/>
      <c r="W46" s="2925">
        <f t="shared" si="104"/>
        <v>1</v>
      </c>
      <c r="X46" s="2922"/>
      <c r="Y46" s="2924"/>
      <c r="Z46" s="2932">
        <f t="shared" si="105"/>
        <v>3.5000000000000001E-3</v>
      </c>
      <c r="AA46" s="2933">
        <f t="shared" si="105"/>
        <v>4.7999999999999996E-3</v>
      </c>
      <c r="AB46" s="2924">
        <f t="shared" si="105"/>
        <v>9.7999999999999997E-3</v>
      </c>
      <c r="AC46" s="2934"/>
      <c r="AD46" s="2924">
        <f t="shared" si="105"/>
        <v>4.7999999999999996E-3</v>
      </c>
    </row>
    <row r="47" spans="1:30" ht="15" thickTop="1"/>
    <row r="48" spans="1:30">
      <c r="A48" s="3141" t="s">
        <v>3381</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F54" sqref="F54"/>
    </sheetView>
  </sheetViews>
  <sheetFormatPr defaultColWidth="9" defaultRowHeight="13.2"/>
  <cols>
    <col min="1" max="1" width="9" style="2024"/>
    <col min="2" max="6" width="9" style="2024" customWidth="1"/>
    <col min="7" max="7" width="9" style="2058"/>
    <col min="8" max="8" width="9" style="2024"/>
    <col min="9" max="12" width="9" style="2024" customWidth="1"/>
    <col min="13" max="13" width="2.21875" style="2024" customWidth="1"/>
    <col min="14" max="14" width="9" style="2058" customWidth="1"/>
    <col min="15" max="17" width="9" style="2024" customWidth="1"/>
    <col min="18" max="18" width="2.33203125" style="2024" customWidth="1"/>
    <col min="19" max="19" width="7.109375" style="2058" customWidth="1"/>
    <col min="20" max="22" width="7.109375" style="2024" customWidth="1"/>
    <col min="23" max="23" width="24.21875" style="2024" customWidth="1"/>
    <col min="24" max="25" width="9" style="2024"/>
    <col min="26" max="27" width="11.6640625" style="2024" customWidth="1"/>
    <col min="28" max="28" width="9" style="2024"/>
    <col min="29" max="29" width="2" style="2024" customWidth="1"/>
    <col min="30" max="16384" width="9" style="2024"/>
  </cols>
  <sheetData>
    <row r="1" spans="1:34" s="2006" customFormat="1">
      <c r="B1" s="3517" t="s">
        <v>452</v>
      </c>
      <c r="C1" s="3517"/>
      <c r="D1" s="3517"/>
      <c r="E1" s="3517"/>
      <c r="F1" s="3517"/>
      <c r="G1" s="3513" t="s">
        <v>453</v>
      </c>
      <c r="H1" s="3513"/>
      <c r="I1" s="3513"/>
      <c r="J1" s="3513"/>
      <c r="K1" s="3513"/>
      <c r="L1" s="3513"/>
      <c r="N1" s="3513" t="s">
        <v>454</v>
      </c>
      <c r="O1" s="3513"/>
      <c r="P1" s="3513"/>
      <c r="Q1" s="3513"/>
      <c r="S1" s="3513" t="s">
        <v>455</v>
      </c>
      <c r="T1" s="3513"/>
      <c r="U1" s="3513"/>
      <c r="V1" s="3513"/>
      <c r="X1" s="3512" t="s">
        <v>456</v>
      </c>
      <c r="Y1" s="3513"/>
      <c r="Z1" s="3513"/>
      <c r="AA1" s="3513"/>
      <c r="AB1" s="3513"/>
      <c r="AD1" s="3512" t="s">
        <v>457</v>
      </c>
      <c r="AE1" s="3513"/>
      <c r="AF1" s="3513"/>
      <c r="AG1" s="3513"/>
      <c r="AH1" s="3513"/>
    </row>
    <row r="2" spans="1:34" s="2007" customFormat="1" ht="15" thickBot="1">
      <c r="B2" s="2008" t="s">
        <v>458</v>
      </c>
      <c r="C2" s="2008" t="s">
        <v>459</v>
      </c>
      <c r="D2" s="2009" t="s">
        <v>460</v>
      </c>
      <c r="E2" s="2009" t="s">
        <v>461</v>
      </c>
      <c r="F2" s="2008" t="s">
        <v>462</v>
      </c>
      <c r="G2" s="2010"/>
      <c r="I2" s="2008" t="s">
        <v>458</v>
      </c>
      <c r="J2" s="2009" t="s">
        <v>676</v>
      </c>
      <c r="K2" s="2009" t="s">
        <v>308</v>
      </c>
      <c r="L2" s="2008" t="s">
        <v>462</v>
      </c>
      <c r="N2" s="2008" t="s">
        <v>458</v>
      </c>
      <c r="O2" s="2009" t="s">
        <v>676</v>
      </c>
      <c r="P2" s="2009" t="s">
        <v>308</v>
      </c>
      <c r="Q2" s="2008" t="s">
        <v>462</v>
      </c>
      <c r="S2" s="2008" t="s">
        <v>458</v>
      </c>
      <c r="T2" s="2009" t="s">
        <v>676</v>
      </c>
      <c r="U2" s="2009" t="s">
        <v>308</v>
      </c>
      <c r="V2" s="2008" t="s">
        <v>462</v>
      </c>
      <c r="X2" s="2008" t="s">
        <v>458</v>
      </c>
      <c r="Y2" s="2008" t="s">
        <v>459</v>
      </c>
      <c r="Z2" s="2009" t="s">
        <v>460</v>
      </c>
      <c r="AA2" s="2009" t="s">
        <v>461</v>
      </c>
      <c r="AB2" s="2008" t="s">
        <v>462</v>
      </c>
      <c r="AD2" s="2008" t="s">
        <v>458</v>
      </c>
      <c r="AE2" s="2008" t="s">
        <v>459</v>
      </c>
      <c r="AF2" s="2009" t="s">
        <v>460</v>
      </c>
      <c r="AG2" s="2009" t="s">
        <v>461</v>
      </c>
      <c r="AH2" s="2008" t="s">
        <v>462</v>
      </c>
    </row>
    <row r="3" spans="1:34" s="2015" customFormat="1" ht="14.4">
      <c r="A3" s="2011" t="s">
        <v>2114</v>
      </c>
      <c r="B3" s="2012"/>
      <c r="C3" s="2012"/>
      <c r="D3" s="2013"/>
      <c r="E3" s="2013"/>
      <c r="F3" s="2012"/>
      <c r="G3" s="2014"/>
      <c r="I3" s="2016">
        <f>ROUND(AVERAGE($I4:$I40),2)</f>
        <v>1.55</v>
      </c>
      <c r="J3" s="2016">
        <f>ROUND(AVERAGE($J4:$J40),2)</f>
        <v>0.97</v>
      </c>
      <c r="K3" s="2016">
        <f>ROUND(AVERAGE($K4:$K40),2)</f>
        <v>1.66</v>
      </c>
      <c r="L3" s="2016">
        <f>ROUND(AVERAGE($L4:$L40),2)</f>
        <v>1.1000000000000001</v>
      </c>
      <c r="N3" s="2014"/>
      <c r="S3" s="2014"/>
      <c r="W3" s="2017"/>
      <c r="X3" s="2018">
        <f>ROUND(SUMPRODUCT(PRODUCT(1+N3:N$39)),4)</f>
        <v>1.6585000000000001</v>
      </c>
      <c r="Y3" s="2018">
        <f>ROUND(SUMPRODUCT(PRODUCT(1+O3:O$39)),4)</f>
        <v>1.3676999999999999</v>
      </c>
      <c r="Z3" s="2018">
        <f t="shared" ref="Z3:Z37" si="0">Y3</f>
        <v>1.3676999999999999</v>
      </c>
      <c r="AA3" s="2018">
        <f>ROUND(SUMPRODUCT(PRODUCT(1+P3:P$39)),4)</f>
        <v>1.7434000000000001</v>
      </c>
      <c r="AB3" s="2018">
        <f>ROUND(SUMPRODUCT(PRODUCT(1+Q3:Q$39)),4)</f>
        <v>1.4609000000000001</v>
      </c>
      <c r="AD3" s="2019">
        <f>ROUND(AVERAGE(I3:I$40)/100,4)</f>
        <v>1.55E-2</v>
      </c>
      <c r="AE3" s="2019">
        <f>ROUND(AVERAGE(J3:J$40)/100,4)</f>
        <v>9.7000000000000003E-3</v>
      </c>
      <c r="AF3" s="2019">
        <f t="shared" ref="AF3:AF38" si="1">AE3</f>
        <v>9.7000000000000003E-3</v>
      </c>
      <c r="AG3" s="2019">
        <f>ROUND(AVERAGE(K3:K$40)/100,4)</f>
        <v>1.66E-2</v>
      </c>
      <c r="AH3" s="2019">
        <f>ROUND(AVERAGE(L3:L$40)/100,4)</f>
        <v>1.0999999999999999E-2</v>
      </c>
    </row>
    <row r="4" spans="1:34" s="2006" customFormat="1" ht="14.4">
      <c r="B4" s="2020"/>
      <c r="C4" s="2020"/>
      <c r="D4" s="2021"/>
      <c r="E4" s="2021"/>
      <c r="F4" s="2020"/>
      <c r="G4" s="2022"/>
      <c r="I4" s="2023"/>
      <c r="J4" s="2023"/>
      <c r="K4" s="2023"/>
      <c r="L4" s="2023"/>
      <c r="N4" s="2022"/>
      <c r="S4" s="2022"/>
      <c r="X4" s="2024"/>
      <c r="Y4" s="2024"/>
      <c r="Z4" s="2024"/>
      <c r="AA4" s="2024"/>
      <c r="AB4" s="2024"/>
      <c r="AD4" s="2025"/>
      <c r="AE4" s="2025"/>
      <c r="AF4" s="2025"/>
      <c r="AG4" s="2025"/>
      <c r="AH4" s="2025"/>
    </row>
    <row r="5" spans="1:34" s="2042" customFormat="1">
      <c r="A5" s="2037" t="s">
        <v>3362</v>
      </c>
      <c r="B5" s="2038">
        <f t="shared" ref="B5" si="2">B6*(1+N5)</f>
        <v>510.07089659554606</v>
      </c>
      <c r="C5" s="2038">
        <f t="shared" ref="C5" si="3">C6*(1+O5)</f>
        <v>352.55593185737411</v>
      </c>
      <c r="D5" s="2038">
        <f t="shared" ref="D5" si="4">C5</f>
        <v>352.55593185737411</v>
      </c>
      <c r="E5" s="2038">
        <f t="shared" ref="E5" si="5">E6*(1+P5)</f>
        <v>737.27992463403655</v>
      </c>
      <c r="F5" s="2038">
        <f t="shared" ref="F5" si="6">F6*(1+Q5)</f>
        <v>335.88319198297864</v>
      </c>
      <c r="G5" s="2028">
        <v>2022</v>
      </c>
      <c r="H5" s="2039">
        <v>1</v>
      </c>
      <c r="I5" s="2004">
        <v>0</v>
      </c>
      <c r="J5" s="2004">
        <v>0</v>
      </c>
      <c r="K5" s="2004">
        <v>0</v>
      </c>
      <c r="L5" s="2005">
        <v>0</v>
      </c>
      <c r="M5" s="2024"/>
      <c r="N5" s="2040">
        <f t="shared" ref="N5" si="7">I5/100</f>
        <v>0</v>
      </c>
      <c r="O5" s="2025">
        <f t="shared" ref="O5" si="8">J5/100</f>
        <v>0</v>
      </c>
      <c r="P5" s="2025">
        <f t="shared" ref="P5" si="9">K5/100</f>
        <v>0</v>
      </c>
      <c r="Q5" s="2025">
        <f t="shared" ref="Q5" si="10">L5/100</f>
        <v>0</v>
      </c>
      <c r="R5" s="2041"/>
      <c r="S5" s="2040"/>
      <c r="T5" s="2025"/>
      <c r="U5" s="2025"/>
      <c r="V5" s="2025"/>
      <c r="W5" s="2024"/>
      <c r="X5" s="2024" t="e">
        <f>ROUND(IF(项目基本情况!#REF!="出让",SUMPRODUCT(PRODUCT(1+N5:N$40)),SUMPRODUCT(PRODUCT(1+N5:N$39))),4)</f>
        <v>#REF!</v>
      </c>
      <c r="Y5" s="2024" t="e">
        <f>ROUND(IF(项目基本情况!#REF!="出让",SUMPRODUCT(PRODUCT(1+O5:O$40)),SUMPRODUCT(PRODUCT(1+O5:O$39))),4)</f>
        <v>#REF!</v>
      </c>
      <c r="Z5" s="2024" t="e">
        <f t="shared" ref="Z5" si="11">Y5</f>
        <v>#REF!</v>
      </c>
      <c r="AA5" s="2024" t="e">
        <f>ROUND(IF(项目基本情况!#REF!="出让",SUMPRODUCT(PRODUCT(1+P5:P$40)),SUMPRODUCT(PRODUCT(1+P5:P$39))),4)</f>
        <v>#REF!</v>
      </c>
      <c r="AB5" s="2024" t="e">
        <f>ROUND(IF(项目基本情况!#REF!="出让",SUMPRODUCT(PRODUCT(1+Q5:Q$40)),SUMPRODUCT(PRODUCT(1+Q5:Q$39))),4)</f>
        <v>#REF!</v>
      </c>
      <c r="AC5" s="2024"/>
      <c r="AD5" s="2025">
        <f>ROUND(AVERAGE(I5:I$40)/100,4)</f>
        <v>1.55E-2</v>
      </c>
      <c r="AE5" s="2025">
        <f>ROUND(AVERAGE(J5:J$40)/100,4)</f>
        <v>9.7000000000000003E-3</v>
      </c>
      <c r="AF5" s="2025">
        <f t="shared" ref="AF5" si="12">AE5</f>
        <v>9.7000000000000003E-3</v>
      </c>
      <c r="AG5" s="2025">
        <f>ROUND(AVERAGE(K5:K$40)/100,4)</f>
        <v>1.66E-2</v>
      </c>
      <c r="AH5" s="2025">
        <f>ROUND(AVERAGE(L5:L$40)/100,4)</f>
        <v>1.0999999999999999E-2</v>
      </c>
    </row>
    <row r="6" spans="1:34" s="2031" customFormat="1">
      <c r="A6" s="2026" t="s">
        <v>3359</v>
      </c>
      <c r="B6" s="2027">
        <f t="shared" ref="B6" si="13">B7*(1+N6)</f>
        <v>510.07089659554606</v>
      </c>
      <c r="C6" s="2027">
        <f t="shared" ref="C6" si="14">C7*(1+O6)</f>
        <v>352.55593185737411</v>
      </c>
      <c r="D6" s="2027">
        <f t="shared" ref="D6" si="15">C6</f>
        <v>352.55593185737411</v>
      </c>
      <c r="E6" s="2027">
        <f t="shared" ref="E6" si="16">E7*(1+P6)</f>
        <v>737.27992463403655</v>
      </c>
      <c r="F6" s="2027">
        <f t="shared" ref="F6" si="17">F7*(1+Q6)</f>
        <v>335.88319198297864</v>
      </c>
      <c r="G6" s="2028">
        <v>2022</v>
      </c>
      <c r="H6" s="2029">
        <v>1</v>
      </c>
      <c r="I6" s="2030">
        <v>0</v>
      </c>
      <c r="J6" s="2030">
        <v>0</v>
      </c>
      <c r="K6" s="2030">
        <v>0</v>
      </c>
      <c r="L6" s="2030">
        <v>0</v>
      </c>
      <c r="N6" s="2032">
        <f t="shared" ref="N6" si="18">I6/100</f>
        <v>0</v>
      </c>
      <c r="O6" s="2032">
        <f t="shared" ref="O6" si="19">J6/100</f>
        <v>0</v>
      </c>
      <c r="P6" s="2032">
        <f t="shared" ref="P6" si="20">K6/100</f>
        <v>0</v>
      </c>
      <c r="Q6" s="2032">
        <f t="shared" ref="Q6" si="21">L6/100</f>
        <v>0</v>
      </c>
      <c r="S6" s="2033"/>
      <c r="W6" s="2034" t="s">
        <v>2115</v>
      </c>
      <c r="X6" s="2035" t="e">
        <f>ROUND(IF(项目基本情况!#REF!="出让",SUMPRODUCT(PRODUCT(1+N6:N$40)),SUMPRODUCT(PRODUCT(1+N6:N$39))),4)</f>
        <v>#REF!</v>
      </c>
      <c r="Y6" s="2035" t="e">
        <f>ROUND(IF(项目基本情况!#REF!="出让",SUMPRODUCT(PRODUCT(1+O6:O$40)),SUMPRODUCT(PRODUCT(1+O6:O$39))),4)</f>
        <v>#REF!</v>
      </c>
      <c r="Z6" s="2035" t="e">
        <f t="shared" ref="Z6" si="22">Y6</f>
        <v>#REF!</v>
      </c>
      <c r="AA6" s="2035" t="e">
        <f>ROUND(IF(项目基本情况!#REF!="出让",SUMPRODUCT(PRODUCT(1+P6:P$40)),SUMPRODUCT(PRODUCT(1+P6:P$39))),4)</f>
        <v>#REF!</v>
      </c>
      <c r="AB6" s="2035" t="e">
        <f>ROUND(IF(项目基本情况!#REF!="出让",SUMPRODUCT(PRODUCT(1+Q6:Q$40)),SUMPRODUCT(PRODUCT(1+Q6:Q$39))),4)</f>
        <v>#REF!</v>
      </c>
      <c r="AD6" s="2036">
        <f>ROUND(AVERAGE(I6:I$40)/100,4)</f>
        <v>1.6E-2</v>
      </c>
      <c r="AE6" s="2036">
        <f>ROUND(AVERAGE(J6:J$40)/100,4)</f>
        <v>0.01</v>
      </c>
      <c r="AF6" s="2036">
        <f t="shared" ref="AF6" si="23">AE6</f>
        <v>0.01</v>
      </c>
      <c r="AG6" s="2036">
        <f>ROUND(AVERAGE(K6:K$40)/100,4)</f>
        <v>1.7100000000000001E-2</v>
      </c>
      <c r="AH6" s="2036">
        <f>ROUND(AVERAGE(L6:L$40)/100,4)</f>
        <v>1.1299999999999999E-2</v>
      </c>
    </row>
    <row r="7" spans="1:34" s="2042" customFormat="1">
      <c r="A7" s="2037" t="s">
        <v>3360</v>
      </c>
      <c r="B7" s="2038">
        <f t="shared" ref="B7" si="24">B8*(1+N7)</f>
        <v>510.07089659554606</v>
      </c>
      <c r="C7" s="2038">
        <f t="shared" ref="C7" si="25">C8*(1+O7)</f>
        <v>352.55593185737411</v>
      </c>
      <c r="D7" s="2038">
        <f t="shared" ref="D7" si="26">C7</f>
        <v>352.55593185737411</v>
      </c>
      <c r="E7" s="2038">
        <f t="shared" ref="E7" si="27">E8*(1+P7)</f>
        <v>737.27992463403655</v>
      </c>
      <c r="F7" s="2038">
        <f t="shared" ref="F7" si="28">F8*(1+Q7)</f>
        <v>335.88319198297864</v>
      </c>
      <c r="G7" s="2028">
        <v>2022</v>
      </c>
      <c r="H7" s="2039">
        <v>1</v>
      </c>
      <c r="I7" s="2004">
        <v>0</v>
      </c>
      <c r="J7" s="2004">
        <v>0</v>
      </c>
      <c r="K7" s="2004">
        <v>0</v>
      </c>
      <c r="L7" s="2005">
        <v>0</v>
      </c>
      <c r="M7" s="2024"/>
      <c r="N7" s="2040">
        <f t="shared" ref="N7" si="29">I7/100</f>
        <v>0</v>
      </c>
      <c r="O7" s="2025">
        <f t="shared" ref="O7" si="30">J7/100</f>
        <v>0</v>
      </c>
      <c r="P7" s="2025">
        <f t="shared" ref="P7" si="31">K7/100</f>
        <v>0</v>
      </c>
      <c r="Q7" s="2025">
        <f t="shared" ref="Q7" si="32">L7/100</f>
        <v>0</v>
      </c>
      <c r="R7" s="2041"/>
      <c r="S7" s="2040"/>
      <c r="T7" s="2025"/>
      <c r="U7" s="2025"/>
      <c r="V7" s="2025"/>
      <c r="W7" s="2024"/>
      <c r="X7" s="2024" t="e">
        <f>ROUND(IF(项目基本情况!#REF!="出让",SUMPRODUCT(PRODUCT(1+N7:N$40)),SUMPRODUCT(PRODUCT(1+N7:N$39))),4)</f>
        <v>#REF!</v>
      </c>
      <c r="Y7" s="2024" t="e">
        <f>ROUND(IF(项目基本情况!#REF!="出让",SUMPRODUCT(PRODUCT(1+O7:O$40)),SUMPRODUCT(PRODUCT(1+O7:O$39))),4)</f>
        <v>#REF!</v>
      </c>
      <c r="Z7" s="2024" t="e">
        <f t="shared" ref="Z7" si="33">Y7</f>
        <v>#REF!</v>
      </c>
      <c r="AA7" s="2024" t="e">
        <f>ROUND(IF(项目基本情况!#REF!="出让",SUMPRODUCT(PRODUCT(1+P7:P$40)),SUMPRODUCT(PRODUCT(1+P7:P$39))),4)</f>
        <v>#REF!</v>
      </c>
      <c r="AB7" s="2024" t="e">
        <f>ROUND(IF(项目基本情况!#REF!="出让",SUMPRODUCT(PRODUCT(1+Q7:Q$40)),SUMPRODUCT(PRODUCT(1+Q7:Q$39))),4)</f>
        <v>#REF!</v>
      </c>
      <c r="AC7" s="2024"/>
      <c r="AD7" s="2025">
        <f>ROUND(AVERAGE(I7:I$40)/100,4)</f>
        <v>1.6400000000000001E-2</v>
      </c>
      <c r="AE7" s="2025">
        <f>ROUND(AVERAGE(J7:J$40)/100,4)</f>
        <v>1.03E-2</v>
      </c>
      <c r="AF7" s="2025">
        <f t="shared" ref="AF7" si="34">AE7</f>
        <v>1.03E-2</v>
      </c>
      <c r="AG7" s="2025">
        <f>ROUND(AVERAGE(K7:K$40)/100,4)</f>
        <v>1.7600000000000001E-2</v>
      </c>
      <c r="AH7" s="2025">
        <f>ROUND(AVERAGE(L7:L$40)/100,4)</f>
        <v>1.1599999999999999E-2</v>
      </c>
    </row>
    <row r="8" spans="1:34" s="2042" customFormat="1">
      <c r="A8" s="2037" t="s">
        <v>3361</v>
      </c>
      <c r="B8" s="2038">
        <f t="shared" ref="B8" si="35">B9*(1+N8)</f>
        <v>510.07089659554606</v>
      </c>
      <c r="C8" s="2038">
        <f t="shared" ref="C8" si="36">C9*(1+O8)</f>
        <v>352.55593185737411</v>
      </c>
      <c r="D8" s="2038">
        <f t="shared" ref="D8" si="37">C8</f>
        <v>352.55593185737411</v>
      </c>
      <c r="E8" s="2038">
        <f t="shared" ref="E8" si="38">E9*(1+P8)</f>
        <v>737.27992463403655</v>
      </c>
      <c r="F8" s="2038">
        <f t="shared" ref="F8" si="39">F9*(1+Q8)</f>
        <v>335.88319198297864</v>
      </c>
      <c r="G8" s="2028">
        <v>2022</v>
      </c>
      <c r="H8" s="2039">
        <v>1</v>
      </c>
      <c r="I8" s="2004"/>
      <c r="J8" s="2004"/>
      <c r="K8" s="2004">
        <v>0</v>
      </c>
      <c r="L8" s="2005">
        <v>0</v>
      </c>
      <c r="M8" s="2024"/>
      <c r="N8" s="2040">
        <f t="shared" ref="N8" si="40">I8/100</f>
        <v>0</v>
      </c>
      <c r="O8" s="2025">
        <f t="shared" ref="O8" si="41">J8/100</f>
        <v>0</v>
      </c>
      <c r="P8" s="2025">
        <f t="shared" ref="P8" si="42">K8/100</f>
        <v>0</v>
      </c>
      <c r="Q8" s="2025">
        <f t="shared" ref="Q8" si="43">L8/100</f>
        <v>0</v>
      </c>
      <c r="R8" s="2041"/>
      <c r="S8" s="2040"/>
      <c r="T8" s="2025"/>
      <c r="U8" s="2025"/>
      <c r="V8" s="2025"/>
      <c r="W8" s="2024"/>
      <c r="X8" s="2024">
        <f>ROUND(IF(项目基本情况!B1="出让",SUMPRODUCT(PRODUCT(1+N8:N$40)),SUMPRODUCT(PRODUCT(1+N8:N$39))),4)</f>
        <v>1.6585000000000001</v>
      </c>
      <c r="Y8" s="2024">
        <f>ROUND(IF(项目基本情况!B1="出让",SUMPRODUCT(PRODUCT(1+O8:O$40)),SUMPRODUCT(PRODUCT(1+O8:O$39))),4)</f>
        <v>1.3676999999999999</v>
      </c>
      <c r="Z8" s="2024">
        <f t="shared" ref="Z8" si="44">Y8</f>
        <v>1.3676999999999999</v>
      </c>
      <c r="AA8" s="2024">
        <f>ROUND(IF(项目基本情况!B1="出让",SUMPRODUCT(PRODUCT(1+P8:P$40)),SUMPRODUCT(PRODUCT(1+P8:P$39))),4)</f>
        <v>1.7434000000000001</v>
      </c>
      <c r="AB8" s="2024">
        <f>ROUND(IF(项目基本情况!B1="出让",SUMPRODUCT(PRODUCT(1+Q8:Q$40)),SUMPRODUCT(PRODUCT(1+Q8:Q$39))),4)</f>
        <v>1.4609000000000001</v>
      </c>
      <c r="AC8" s="2024"/>
      <c r="AD8" s="2025">
        <f>ROUND(AVERAGE(I8:I$40)/100,4)</f>
        <v>1.6899999999999998E-2</v>
      </c>
      <c r="AE8" s="2025">
        <f>ROUND(AVERAGE(J8:J$40)/100,4)</f>
        <v>1.06E-2</v>
      </c>
      <c r="AF8" s="2025">
        <f t="shared" ref="AF8" si="45">AE8</f>
        <v>1.06E-2</v>
      </c>
      <c r="AG8" s="2025">
        <f>ROUND(AVERAGE(K8:K$40)/100,4)</f>
        <v>1.8100000000000002E-2</v>
      </c>
      <c r="AH8" s="2025">
        <f>ROUND(AVERAGE(L8:L$40)/100,4)</f>
        <v>1.2E-2</v>
      </c>
    </row>
    <row r="9" spans="1:34" s="2042" customFormat="1">
      <c r="A9" s="2037" t="s">
        <v>2435</v>
      </c>
      <c r="B9" s="2038">
        <f t="shared" ref="B9" si="46">B10*(1+N9)</f>
        <v>510.07089659554606</v>
      </c>
      <c r="C9" s="2038">
        <f t="shared" ref="C9" si="47">C10*(1+O9)</f>
        <v>352.55593185737411</v>
      </c>
      <c r="D9" s="2038">
        <f t="shared" ref="D9" si="48">C9</f>
        <v>352.55593185737411</v>
      </c>
      <c r="E9" s="2038">
        <f t="shared" ref="E9" si="49">E10*(1+P9)</f>
        <v>737.27992463403655</v>
      </c>
      <c r="F9" s="2038">
        <f t="shared" ref="F9" si="50">F10*(1+Q9)</f>
        <v>335.88319198297864</v>
      </c>
      <c r="G9" s="2028">
        <v>2021</v>
      </c>
      <c r="H9" s="2039">
        <v>4</v>
      </c>
      <c r="I9" s="2004">
        <v>1.03</v>
      </c>
      <c r="J9" s="2004">
        <v>0.24</v>
      </c>
      <c r="K9" s="2004">
        <v>1.17</v>
      </c>
      <c r="L9" s="2005">
        <v>0.55000000000000004</v>
      </c>
      <c r="M9" s="2024"/>
      <c r="N9" s="2040">
        <f t="shared" ref="N9" si="51">I9/100</f>
        <v>1.03E-2</v>
      </c>
      <c r="O9" s="2025">
        <f t="shared" ref="O9" si="52">J9/100</f>
        <v>2.3999999999999998E-3</v>
      </c>
      <c r="P9" s="2025">
        <f t="shared" ref="P9" si="53">K9/100</f>
        <v>1.1699999999999999E-2</v>
      </c>
      <c r="Q9" s="2025">
        <f t="shared" ref="Q9" si="54">L9/100</f>
        <v>5.5000000000000005E-3</v>
      </c>
      <c r="R9" s="2041"/>
      <c r="S9" s="2040"/>
      <c r="T9" s="2025"/>
      <c r="U9" s="2025"/>
      <c r="V9" s="2025"/>
      <c r="W9" s="2024"/>
      <c r="X9" s="2024">
        <f>ROUND(IF(项目基本情况!B2="出让",SUMPRODUCT(PRODUCT(1+N9:N$40)),SUMPRODUCT(PRODUCT(1+N9:N$39))),4)</f>
        <v>1.6585000000000001</v>
      </c>
      <c r="Y9" s="2024">
        <f>ROUND(IF(项目基本情况!B2="出让",SUMPRODUCT(PRODUCT(1+O9:O$40)),SUMPRODUCT(PRODUCT(1+O9:O$39))),4)</f>
        <v>1.3676999999999999</v>
      </c>
      <c r="Z9" s="2024">
        <f t="shared" ref="Z9" si="55">Y9</f>
        <v>1.3676999999999999</v>
      </c>
      <c r="AA9" s="2024">
        <f>ROUND(IF(项目基本情况!B2="出让",SUMPRODUCT(PRODUCT(1+P9:P$40)),SUMPRODUCT(PRODUCT(1+P9:P$39))),4)</f>
        <v>1.7434000000000001</v>
      </c>
      <c r="AB9" s="2024">
        <f>ROUND(IF(项目基本情况!B2="出让",SUMPRODUCT(PRODUCT(1+Q9:Q$40)),SUMPRODUCT(PRODUCT(1+Q9:Q$39))),4)</f>
        <v>1.4609000000000001</v>
      </c>
      <c r="AC9" s="2024"/>
      <c r="AD9" s="2025">
        <f>ROUND(AVERAGE(I9:I$40)/100,4)</f>
        <v>1.6899999999999998E-2</v>
      </c>
      <c r="AE9" s="2025">
        <f>ROUND(AVERAGE(J9:J$40)/100,4)</f>
        <v>1.06E-2</v>
      </c>
      <c r="AF9" s="2025">
        <f t="shared" ref="AF9" si="56">AE9</f>
        <v>1.06E-2</v>
      </c>
      <c r="AG9" s="2025">
        <f>ROUND(AVERAGE(K9:K$40)/100,4)</f>
        <v>1.8700000000000001E-2</v>
      </c>
      <c r="AH9" s="2025">
        <f>ROUND(AVERAGE(L9:L$40)/100,4)</f>
        <v>1.24E-2</v>
      </c>
    </row>
    <row r="10" spans="1:34" s="2042" customFormat="1">
      <c r="A10" s="2037" t="s">
        <v>2312</v>
      </c>
      <c r="B10" s="2038">
        <f t="shared" ref="B10" si="57">B11*(1+N10)</f>
        <v>504.87072809615569</v>
      </c>
      <c r="C10" s="2038">
        <f t="shared" ref="C10" si="58">C11*(1+O10)</f>
        <v>351.71182348101968</v>
      </c>
      <c r="D10" s="2038">
        <f t="shared" ref="D10" si="59">C10</f>
        <v>351.71182348101968</v>
      </c>
      <c r="E10" s="2038">
        <f t="shared" ref="E10" si="60">E11*(1+P10)</f>
        <v>728.75350858360832</v>
      </c>
      <c r="F10" s="2038">
        <f t="shared" ref="F10" si="61">F11*(1+Q10)</f>
        <v>334.04593931673656</v>
      </c>
      <c r="G10" s="2028">
        <v>2021</v>
      </c>
      <c r="H10" s="2039">
        <v>3</v>
      </c>
      <c r="I10" s="2004">
        <v>0.47</v>
      </c>
      <c r="J10" s="2004">
        <v>0.41</v>
      </c>
      <c r="K10" s="2004">
        <v>0.48</v>
      </c>
      <c r="L10" s="2005">
        <v>0.48</v>
      </c>
      <c r="M10" s="2024"/>
      <c r="N10" s="2040">
        <f t="shared" ref="N10" si="62">I10/100</f>
        <v>4.6999999999999993E-3</v>
      </c>
      <c r="O10" s="2025">
        <f t="shared" ref="O10" si="63">J10/100</f>
        <v>4.0999999999999995E-3</v>
      </c>
      <c r="P10" s="2025">
        <f t="shared" ref="P10" si="64">K10/100</f>
        <v>4.7999999999999996E-3</v>
      </c>
      <c r="Q10" s="2025">
        <f t="shared" ref="Q10" si="65">L10/100</f>
        <v>4.7999999999999996E-3</v>
      </c>
      <c r="R10" s="2041"/>
      <c r="S10" s="2040"/>
      <c r="T10" s="2025"/>
      <c r="U10" s="2025"/>
      <c r="V10" s="2025"/>
      <c r="W10" s="2024"/>
      <c r="X10" s="2024">
        <f>ROUND(IF(项目基本情况!B3="出让",SUMPRODUCT(PRODUCT(1+N10:N$40)),SUMPRODUCT(PRODUCT(1+N10:N$39))),4)</f>
        <v>1.6415999999999999</v>
      </c>
      <c r="Y10" s="2024">
        <f>ROUND(IF(项目基本情况!B3="出让",SUMPRODUCT(PRODUCT(1+O10:O$40)),SUMPRODUCT(PRODUCT(1+O10:O$39))),4)</f>
        <v>1.3644000000000001</v>
      </c>
      <c r="Z10" s="2024">
        <f t="shared" ref="Z10" si="66">Y10</f>
        <v>1.3644000000000001</v>
      </c>
      <c r="AA10" s="2024">
        <f>ROUND(IF(项目基本情况!B3="出让",SUMPRODUCT(PRODUCT(1+P10:P$40)),SUMPRODUCT(PRODUCT(1+P10:P$39))),4)</f>
        <v>1.7232000000000001</v>
      </c>
      <c r="AB10" s="2024">
        <f>ROUND(IF(项目基本情况!B3="出让",SUMPRODUCT(PRODUCT(1+Q10:Q$40)),SUMPRODUCT(PRODUCT(1+Q10:Q$39))),4)</f>
        <v>1.4529000000000001</v>
      </c>
      <c r="AC10" s="2024"/>
      <c r="AD10" s="2025">
        <f>ROUND(AVERAGE(I10:I$40)/100,4)</f>
        <v>1.72E-2</v>
      </c>
      <c r="AE10" s="2025">
        <f>ROUND(AVERAGE(J10:J$40)/100,4)</f>
        <v>1.09E-2</v>
      </c>
      <c r="AF10" s="2025">
        <f t="shared" ref="AF10" si="67">AE10</f>
        <v>1.09E-2</v>
      </c>
      <c r="AG10" s="2025">
        <f>ROUND(AVERAGE(K10:K$40)/100,4)</f>
        <v>1.89E-2</v>
      </c>
      <c r="AH10" s="2025">
        <f>ROUND(AVERAGE(L10:L$40)/100,4)</f>
        <v>1.26E-2</v>
      </c>
    </row>
    <row r="11" spans="1:34" s="2042" customFormat="1">
      <c r="A11" s="2037" t="s">
        <v>2311</v>
      </c>
      <c r="B11" s="2038">
        <f t="shared" ref="B11" si="68">B12*(1+N11)</f>
        <v>502.50893609650217</v>
      </c>
      <c r="C11" s="2038">
        <f t="shared" ref="C11" si="69">C12*(1+O11)</f>
        <v>350.27569313914915</v>
      </c>
      <c r="D11" s="2038">
        <f t="shared" ref="D11" si="70">C11</f>
        <v>350.27569313914915</v>
      </c>
      <c r="E11" s="2038">
        <f t="shared" ref="E11" si="71">E12*(1+P11)</f>
        <v>725.27220201394141</v>
      </c>
      <c r="F11" s="2038">
        <f t="shared" ref="F11" si="72">F12*(1+Q11)</f>
        <v>332.45017846012797</v>
      </c>
      <c r="G11" s="2028">
        <v>2021</v>
      </c>
      <c r="H11" s="2039">
        <v>2</v>
      </c>
      <c r="I11" s="2004">
        <v>0.92</v>
      </c>
      <c r="J11" s="2004">
        <v>0.72</v>
      </c>
      <c r="K11" s="2004">
        <v>0.95</v>
      </c>
      <c r="L11" s="2005">
        <v>1.01</v>
      </c>
      <c r="M11" s="2024"/>
      <c r="N11" s="2040">
        <f t="shared" ref="N11" si="73">I11/100</f>
        <v>9.1999999999999998E-3</v>
      </c>
      <c r="O11" s="2025">
        <f t="shared" ref="O11" si="74">J11/100</f>
        <v>7.1999999999999998E-3</v>
      </c>
      <c r="P11" s="2025">
        <f t="shared" ref="P11" si="75">K11/100</f>
        <v>9.4999999999999998E-3</v>
      </c>
      <c r="Q11" s="2025">
        <f t="shared" ref="Q11" si="76">L11/100</f>
        <v>1.01E-2</v>
      </c>
      <c r="R11" s="2041"/>
      <c r="S11" s="2040"/>
      <c r="T11" s="2025"/>
      <c r="U11" s="2025"/>
      <c r="V11" s="2025"/>
      <c r="W11" s="2024"/>
      <c r="X11" s="2024">
        <f>ROUND(IF(项目基本情况!B4="出让",SUMPRODUCT(PRODUCT(1+N11:N$40)),SUMPRODUCT(PRODUCT(1+N11:N$39))),4)</f>
        <v>1.6338999999999999</v>
      </c>
      <c r="Y11" s="2024">
        <f>ROUND(IF(项目基本情况!B4="出让",SUMPRODUCT(PRODUCT(1+O11:O$40)),SUMPRODUCT(PRODUCT(1+O11:O$39))),4)</f>
        <v>1.3588</v>
      </c>
      <c r="Z11" s="2024">
        <f t="shared" ref="Z11" si="77">Y11</f>
        <v>1.3588</v>
      </c>
      <c r="AA11" s="2024">
        <f>ROUND(IF(项目基本情况!B4="出让",SUMPRODUCT(PRODUCT(1+P11:P$40)),SUMPRODUCT(PRODUCT(1+P11:P$39))),4)</f>
        <v>1.7150000000000001</v>
      </c>
      <c r="AB11" s="2024">
        <f>ROUND(IF(项目基本情况!B4="出让",SUMPRODUCT(PRODUCT(1+Q11:Q$40)),SUMPRODUCT(PRODUCT(1+Q11:Q$39))),4)</f>
        <v>1.446</v>
      </c>
      <c r="AC11" s="2024"/>
      <c r="AD11" s="2025">
        <f>ROUND(AVERAGE(I11:I$40)/100,4)</f>
        <v>1.7600000000000001E-2</v>
      </c>
      <c r="AE11" s="2025">
        <f>ROUND(AVERAGE(J11:J$40)/100,4)</f>
        <v>1.11E-2</v>
      </c>
      <c r="AF11" s="2025">
        <f t="shared" ref="AF11" si="78">AE11</f>
        <v>1.11E-2</v>
      </c>
      <c r="AG11" s="2025">
        <f>ROUND(AVERAGE(K11:K$40)/100,4)</f>
        <v>1.9400000000000001E-2</v>
      </c>
      <c r="AH11" s="2025">
        <f>ROUND(AVERAGE(L11:L$40)/100,4)</f>
        <v>1.2800000000000001E-2</v>
      </c>
    </row>
    <row r="12" spans="1:34" s="2042" customFormat="1">
      <c r="A12" s="2037" t="s">
        <v>2310</v>
      </c>
      <c r="B12" s="2038">
        <f t="shared" ref="B12" si="79">B13*(1+N12)</f>
        <v>497.92799851020823</v>
      </c>
      <c r="C12" s="2038">
        <f t="shared" ref="C12" si="80">C13*(1+O12)</f>
        <v>347.77173663537445</v>
      </c>
      <c r="D12" s="2038">
        <f t="shared" ref="D12" si="81">C12</f>
        <v>347.77173663537445</v>
      </c>
      <c r="E12" s="2038">
        <f t="shared" ref="E12" si="82">E13*(1+P12)</f>
        <v>718.44695593258189</v>
      </c>
      <c r="F12" s="2038">
        <f t="shared" ref="F12" si="83">F13*(1+Q12)</f>
        <v>329.12600580153247</v>
      </c>
      <c r="G12" s="2028">
        <v>2021</v>
      </c>
      <c r="H12" s="2039">
        <v>1</v>
      </c>
      <c r="I12" s="2004">
        <v>0.97</v>
      </c>
      <c r="J12" s="2004">
        <v>0.16</v>
      </c>
      <c r="K12" s="2004">
        <v>1.1100000000000001</v>
      </c>
      <c r="L12" s="2005">
        <v>0.36</v>
      </c>
      <c r="M12" s="2024"/>
      <c r="N12" s="2040">
        <f t="shared" ref="N12" si="84">I12/100</f>
        <v>9.7000000000000003E-3</v>
      </c>
      <c r="O12" s="2025">
        <f t="shared" ref="O12" si="85">J12/100</f>
        <v>1.6000000000000001E-3</v>
      </c>
      <c r="P12" s="2025">
        <f t="shared" ref="P12" si="86">K12/100</f>
        <v>1.11E-2</v>
      </c>
      <c r="Q12" s="2025">
        <f t="shared" ref="Q12" si="87">L12/100</f>
        <v>3.5999999999999999E-3</v>
      </c>
      <c r="R12" s="2041"/>
      <c r="S12" s="2040">
        <f>B12/B13-1</f>
        <v>9.7000000000000419E-3</v>
      </c>
      <c r="T12" s="2025">
        <f t="shared" ref="T12" si="88">C12/C13-1</f>
        <v>1.6000000000000458E-3</v>
      </c>
      <c r="U12" s="2025">
        <f t="shared" ref="U12" si="89">D12/D13-1</f>
        <v>1.6000000000000458E-3</v>
      </c>
      <c r="V12" s="2025">
        <f t="shared" ref="V12" si="90">E12/E13-1</f>
        <v>1.110000000000011E-2</v>
      </c>
      <c r="W12" s="2024"/>
      <c r="X12" s="2024">
        <f>ROUND(IF(项目基本情况!B5="出让",SUMPRODUCT(PRODUCT(1+N12:N$40)),SUMPRODUCT(PRODUCT(1+N12:N$39))),4)</f>
        <v>1.619</v>
      </c>
      <c r="Y12" s="2024">
        <f>ROUND(IF(项目基本情况!B5="出让",SUMPRODUCT(PRODUCT(1+O12:O$40)),SUMPRODUCT(PRODUCT(1+O12:O$39))),4)</f>
        <v>1.3491</v>
      </c>
      <c r="Z12" s="2024">
        <f t="shared" ref="Z12" si="91">Y12</f>
        <v>1.3491</v>
      </c>
      <c r="AA12" s="2024">
        <f>ROUND(IF(项目基本情况!B5="出让",SUMPRODUCT(PRODUCT(1+P12:P$40)),SUMPRODUCT(PRODUCT(1+P12:P$39))),4)</f>
        <v>1.6988000000000001</v>
      </c>
      <c r="AB12" s="2024">
        <f>ROUND(IF(项目基本情况!B5="出让",SUMPRODUCT(PRODUCT(1+Q12:Q$40)),SUMPRODUCT(PRODUCT(1+Q12:Q$39))),4)</f>
        <v>1.4315</v>
      </c>
      <c r="AC12" s="2024"/>
      <c r="AD12" s="2025">
        <f>ROUND(AVERAGE(I12:I$40)/100,4)</f>
        <v>1.7899999999999999E-2</v>
      </c>
      <c r="AE12" s="2025">
        <f>ROUND(AVERAGE(J12:J$40)/100,4)</f>
        <v>1.12E-2</v>
      </c>
      <c r="AF12" s="2025">
        <f t="shared" ref="AF12" si="92">AE12</f>
        <v>1.12E-2</v>
      </c>
      <c r="AG12" s="2025">
        <f>ROUND(AVERAGE(K12:K$40)/100,4)</f>
        <v>1.9699999999999999E-2</v>
      </c>
      <c r="AH12" s="2025">
        <f>ROUND(AVERAGE(L12:L$40)/100,4)</f>
        <v>1.29E-2</v>
      </c>
    </row>
    <row r="13" spans="1:34" s="2042" customFormat="1">
      <c r="A13" s="2037" t="s">
        <v>2308</v>
      </c>
      <c r="B13" s="2038">
        <f t="shared" ref="B13" si="93">B14*(1+N13)</f>
        <v>493.14449689037161</v>
      </c>
      <c r="C13" s="2038">
        <f t="shared" ref="C13" si="94">C14*(1+O13)</f>
        <v>347.21619073020611</v>
      </c>
      <c r="D13" s="2038">
        <f t="shared" ref="D13" si="95">C13</f>
        <v>347.21619073020611</v>
      </c>
      <c r="E13" s="2038">
        <f t="shared" ref="E13" si="96">E14*(1+P13)</f>
        <v>710.55974278763904</v>
      </c>
      <c r="F13" s="2038">
        <f t="shared" ref="F13" si="97">F14*(1+Q13)</f>
        <v>327.94540235306141</v>
      </c>
      <c r="G13" s="2028">
        <v>2020</v>
      </c>
      <c r="H13" s="2039">
        <v>4</v>
      </c>
      <c r="I13" s="2004">
        <v>2.0699999999999998</v>
      </c>
      <c r="J13" s="2004">
        <v>0.37</v>
      </c>
      <c r="K13" s="2004">
        <v>2.35</v>
      </c>
      <c r="L13" s="2005">
        <v>2.69</v>
      </c>
      <c r="M13" s="2024"/>
      <c r="N13" s="2040">
        <f t="shared" ref="N13" si="98">I13/100</f>
        <v>2.07E-2</v>
      </c>
      <c r="O13" s="2025">
        <f t="shared" ref="O13" si="99">J13/100</f>
        <v>3.7000000000000002E-3</v>
      </c>
      <c r="P13" s="2025">
        <f t="shared" ref="P13" si="100">K13/100</f>
        <v>2.35E-2</v>
      </c>
      <c r="Q13" s="2025">
        <f t="shared" ref="Q13" si="101">L13/100</f>
        <v>2.69E-2</v>
      </c>
      <c r="R13" s="2041"/>
      <c r="S13" s="2040"/>
      <c r="T13" s="2025"/>
      <c r="U13" s="2025"/>
      <c r="V13" s="2025"/>
      <c r="W13" s="2024"/>
      <c r="X13" s="2024">
        <f>ROUND(IF(项目基本情况!B6="出让",SUMPRODUCT(PRODUCT(1+N13:N$40)),SUMPRODUCT(PRODUCT(1+N13:N$39))),4)</f>
        <v>1.6034999999999999</v>
      </c>
      <c r="Y13" s="2024">
        <f>ROUND(IF(项目基本情况!B6="出让",SUMPRODUCT(PRODUCT(1+O13:O$40)),SUMPRODUCT(PRODUCT(1+O13:O$39))),4)</f>
        <v>1.3469</v>
      </c>
      <c r="Z13" s="2024">
        <f t="shared" ref="Z13" si="102">Y13</f>
        <v>1.3469</v>
      </c>
      <c r="AA13" s="2024">
        <f>ROUND(IF(项目基本情况!B6="出让",SUMPRODUCT(PRODUCT(1+P13:P$40)),SUMPRODUCT(PRODUCT(1+P13:P$39))),4)</f>
        <v>1.6801999999999999</v>
      </c>
      <c r="AB13" s="2024">
        <f>ROUND(IF(项目基本情况!B6="出让",SUMPRODUCT(PRODUCT(1+Q13:Q$40)),SUMPRODUCT(PRODUCT(1+Q13:Q$39))),4)</f>
        <v>1.4263999999999999</v>
      </c>
      <c r="AC13" s="2024"/>
      <c r="AD13" s="2025">
        <f>ROUND(AVERAGE(I13:I$40)/100,4)</f>
        <v>1.8200000000000001E-2</v>
      </c>
      <c r="AE13" s="2025">
        <f>ROUND(AVERAGE(J13:J$40)/100,4)</f>
        <v>1.1599999999999999E-2</v>
      </c>
      <c r="AF13" s="2025">
        <f t="shared" ref="AF13" si="103">AE13</f>
        <v>1.1599999999999999E-2</v>
      </c>
      <c r="AG13" s="2025">
        <f>ROUND(AVERAGE(K13:K$40)/100,4)</f>
        <v>0.02</v>
      </c>
      <c r="AH13" s="2025">
        <f>ROUND(AVERAGE(L13:L$40)/100,4)</f>
        <v>1.3299999999999999E-2</v>
      </c>
    </row>
    <row r="14" spans="1:34" s="2042" customFormat="1">
      <c r="A14" s="2037" t="s">
        <v>2307</v>
      </c>
      <c r="B14" s="2038">
        <f t="shared" ref="B14" si="104">B15*(1+N14)</f>
        <v>483.1434279321756</v>
      </c>
      <c r="C14" s="2038">
        <f t="shared" ref="C14" si="105">C15*(1+O14)</f>
        <v>345.93622669144776</v>
      </c>
      <c r="D14" s="2038">
        <f t="shared" ref="D14" si="106">C14</f>
        <v>345.93622669144776</v>
      </c>
      <c r="E14" s="2038">
        <f t="shared" ref="E14" si="107">E15*(1+P14)</f>
        <v>694.24498562544113</v>
      </c>
      <c r="F14" s="2038">
        <f t="shared" ref="F14" si="108">F15*(1+Q14)</f>
        <v>319.35475932716082</v>
      </c>
      <c r="G14" s="2028">
        <v>2020</v>
      </c>
      <c r="H14" s="2039">
        <v>3</v>
      </c>
      <c r="I14" s="2004">
        <v>0.36</v>
      </c>
      <c r="J14" s="2004">
        <v>-0.39</v>
      </c>
      <c r="K14" s="2004">
        <v>0.49</v>
      </c>
      <c r="L14" s="2005">
        <v>7.0000000000000007E-2</v>
      </c>
      <c r="M14" s="2024"/>
      <c r="N14" s="2040">
        <f t="shared" ref="N14" si="109">I14/100</f>
        <v>3.5999999999999999E-3</v>
      </c>
      <c r="O14" s="2025">
        <f t="shared" ref="O14" si="110">J14/100</f>
        <v>-3.9000000000000003E-3</v>
      </c>
      <c r="P14" s="2025">
        <f t="shared" ref="P14" si="111">K14/100</f>
        <v>4.8999999999999998E-3</v>
      </c>
      <c r="Q14" s="2025">
        <f t="shared" ref="Q14" si="112">L14/100</f>
        <v>7.000000000000001E-4</v>
      </c>
      <c r="R14" s="2041"/>
      <c r="S14" s="2040"/>
      <c r="T14" s="2025"/>
      <c r="U14" s="2025"/>
      <c r="V14" s="2025"/>
      <c r="W14" s="2024"/>
      <c r="X14" s="2024">
        <f>ROUND(IF(项目基本情况!B7="出让",SUMPRODUCT(PRODUCT(1+N14:N$40)),SUMPRODUCT(PRODUCT(1+N14:N$39))),4)</f>
        <v>1.571</v>
      </c>
      <c r="Y14" s="2024">
        <f>ROUND(IF(项目基本情况!B7="出让",SUMPRODUCT(PRODUCT(1+O14:O$40)),SUMPRODUCT(PRODUCT(1+O14:O$39))),4)</f>
        <v>1.3420000000000001</v>
      </c>
      <c r="Z14" s="2024">
        <f t="shared" ref="Z14" si="113">Y14</f>
        <v>1.3420000000000001</v>
      </c>
      <c r="AA14" s="2024">
        <f>ROUND(IF(项目基本情况!B7="出让",SUMPRODUCT(PRODUCT(1+P14:P$40)),SUMPRODUCT(PRODUCT(1+P14:P$39))),4)</f>
        <v>1.6415999999999999</v>
      </c>
      <c r="AB14" s="2024">
        <f>ROUND(IF(项目基本情况!B7="出让",SUMPRODUCT(PRODUCT(1+Q14:Q$40)),SUMPRODUCT(PRODUCT(1+Q14:Q$39))),4)</f>
        <v>1.389</v>
      </c>
      <c r="AC14" s="2024"/>
      <c r="AD14" s="2025">
        <f>ROUND(AVERAGE(I14:I$40)/100,4)</f>
        <v>1.8100000000000002E-2</v>
      </c>
      <c r="AE14" s="2025">
        <f>ROUND(AVERAGE(J14:J$40)/100,4)</f>
        <v>1.1900000000000001E-2</v>
      </c>
      <c r="AF14" s="2025">
        <f t="shared" ref="AF14" si="114">AE14</f>
        <v>1.1900000000000001E-2</v>
      </c>
      <c r="AG14" s="2025">
        <f>ROUND(AVERAGE(K14:K$40)/100,4)</f>
        <v>1.9900000000000001E-2</v>
      </c>
      <c r="AH14" s="2025">
        <f>ROUND(AVERAGE(L14:L$40)/100,4)</f>
        <v>1.2800000000000001E-2</v>
      </c>
    </row>
    <row r="15" spans="1:34" s="2042" customFormat="1">
      <c r="A15" s="2037" t="s">
        <v>2130</v>
      </c>
      <c r="B15" s="2038">
        <f t="shared" ref="B15" si="115">B16*(1+N15)</f>
        <v>481.4103506697644</v>
      </c>
      <c r="C15" s="2038">
        <f t="shared" ref="C15" si="116">C16*(1+O15)</f>
        <v>347.29066026648707</v>
      </c>
      <c r="D15" s="2038">
        <f t="shared" ref="D15" si="117">C15</f>
        <v>347.29066026648707</v>
      </c>
      <c r="E15" s="2038">
        <f t="shared" ref="E15" si="118">E16*(1+P15)</f>
        <v>690.85977273901995</v>
      </c>
      <c r="F15" s="2038">
        <f t="shared" ref="F15" si="119">F16*(1+Q15)</f>
        <v>319.13136737000184</v>
      </c>
      <c r="G15" s="2028">
        <v>2020</v>
      </c>
      <c r="H15" s="2039">
        <v>2</v>
      </c>
      <c r="I15" s="2004">
        <v>0.31</v>
      </c>
      <c r="J15" s="2004">
        <v>-0.78</v>
      </c>
      <c r="K15" s="2004">
        <v>0.5</v>
      </c>
      <c r="L15" s="2005">
        <v>0.47</v>
      </c>
      <c r="M15" s="2024"/>
      <c r="N15" s="2040">
        <f t="shared" ref="N15" si="120">I15/100</f>
        <v>3.0999999999999999E-3</v>
      </c>
      <c r="O15" s="2025">
        <f t="shared" ref="O15" si="121">J15/100</f>
        <v>-7.8000000000000005E-3</v>
      </c>
      <c r="P15" s="2025">
        <f t="shared" ref="P15" si="122">K15/100</f>
        <v>5.0000000000000001E-3</v>
      </c>
      <c r="Q15" s="2025">
        <f t="shared" ref="Q15" si="123">L15/100</f>
        <v>4.6999999999999993E-3</v>
      </c>
      <c r="R15" s="2041"/>
      <c r="S15" s="2040"/>
      <c r="T15" s="2025"/>
      <c r="U15" s="2025"/>
      <c r="V15" s="2025"/>
      <c r="W15" s="2024"/>
      <c r="X15" s="2024">
        <f>ROUND(IF(项目基本情况!B8="出让",SUMPRODUCT(PRODUCT(1+N15:N$40)),SUMPRODUCT(PRODUCT(1+N15:N$39))),4)</f>
        <v>1.5652999999999999</v>
      </c>
      <c r="Y15" s="2024">
        <f>ROUND(IF(项目基本情况!B8="出让",SUMPRODUCT(PRODUCT(1+O15:O$40)),SUMPRODUCT(PRODUCT(1+O15:O$39))),4)</f>
        <v>1.3472</v>
      </c>
      <c r="Z15" s="2024">
        <f t="shared" ref="Z15" si="124">Y15</f>
        <v>1.3472</v>
      </c>
      <c r="AA15" s="2024">
        <f>ROUND(IF(项目基本情况!B8="出让",SUMPRODUCT(PRODUCT(1+P15:P$40)),SUMPRODUCT(PRODUCT(1+P15:P$39))),4)</f>
        <v>1.6335999999999999</v>
      </c>
      <c r="AB15" s="2024">
        <f>ROUND(IF(项目基本情况!B8="出让",SUMPRODUCT(PRODUCT(1+Q15:Q$40)),SUMPRODUCT(PRODUCT(1+Q15:Q$39))),4)</f>
        <v>1.3880999999999999</v>
      </c>
      <c r="AC15" s="2024"/>
      <c r="AD15" s="2025">
        <f>ROUND(AVERAGE(I15:I$40)/100,4)</f>
        <v>1.8599999999999998E-2</v>
      </c>
      <c r="AE15" s="2025">
        <f>ROUND(AVERAGE(J15:J$40)/100,4)</f>
        <v>1.2500000000000001E-2</v>
      </c>
      <c r="AF15" s="2025">
        <f t="shared" ref="AF15" si="125">AE15</f>
        <v>1.2500000000000001E-2</v>
      </c>
      <c r="AG15" s="2025">
        <f>ROUND(AVERAGE(K15:K$40)/100,4)</f>
        <v>2.0400000000000001E-2</v>
      </c>
      <c r="AH15" s="2025">
        <f>ROUND(AVERAGE(L15:L$40)/100,4)</f>
        <v>1.32E-2</v>
      </c>
    </row>
    <row r="16" spans="1:34" s="2042" customFormat="1">
      <c r="A16" s="2037" t="s">
        <v>2128</v>
      </c>
      <c r="B16" s="2038">
        <f t="shared" ref="B16" si="126">B17*(1+N16)</f>
        <v>479.92259063878413</v>
      </c>
      <c r="C16" s="2038">
        <f t="shared" ref="C16" si="127">C17*(1+O16)</f>
        <v>350.02082268341775</v>
      </c>
      <c r="D16" s="2038">
        <f t="shared" ref="D16" si="128">C16</f>
        <v>350.02082268341775</v>
      </c>
      <c r="E16" s="2038">
        <f t="shared" ref="E16" si="129">E17*(1+P16)</f>
        <v>687.42265944181099</v>
      </c>
      <c r="F16" s="2038">
        <f t="shared" ref="F16" si="130">F17*(1+Q16)</f>
        <v>317.63846657708956</v>
      </c>
      <c r="G16" s="2028">
        <v>2020</v>
      </c>
      <c r="H16" s="2039">
        <v>1</v>
      </c>
      <c r="I16" s="2004">
        <v>0.12</v>
      </c>
      <c r="J16" s="2004">
        <v>-0.4</v>
      </c>
      <c r="K16" s="2004">
        <v>0.21</v>
      </c>
      <c r="L16" s="2005">
        <v>0.27</v>
      </c>
      <c r="M16" s="2024"/>
      <c r="N16" s="2040">
        <f t="shared" ref="N16" si="131">I16/100</f>
        <v>1.1999999999999999E-3</v>
      </c>
      <c r="O16" s="2025">
        <f t="shared" ref="O16" si="132">J16/100</f>
        <v>-4.0000000000000001E-3</v>
      </c>
      <c r="P16" s="2025">
        <f t="shared" ref="P16" si="133">K16/100</f>
        <v>2.0999999999999999E-3</v>
      </c>
      <c r="Q16" s="2025">
        <f t="shared" ref="Q16" si="134">L16/100</f>
        <v>2.7000000000000001E-3</v>
      </c>
      <c r="R16" s="2041"/>
      <c r="S16" s="2040">
        <f>B16/B17-1</f>
        <v>1.2000000000000899E-3</v>
      </c>
      <c r="T16" s="2025">
        <f t="shared" ref="T16" si="135">C16/C17-1</f>
        <v>-4.0000000000000036E-3</v>
      </c>
      <c r="U16" s="2025">
        <f t="shared" ref="U16" si="136">D16/D17-1</f>
        <v>-4.0000000000000036E-3</v>
      </c>
      <c r="V16" s="2025">
        <f t="shared" ref="V16" si="137">E16/E17-1</f>
        <v>2.0999999999999908E-3</v>
      </c>
      <c r="W16" s="2024"/>
      <c r="X16" s="2024">
        <f>ROUND(IF(项目基本情况!B8="出让",SUMPRODUCT(PRODUCT(1+N16:N$40)),SUMPRODUCT(PRODUCT(1+N16:N$39))),4)</f>
        <v>1.5605</v>
      </c>
      <c r="Y16" s="2024">
        <f>ROUND(IF(项目基本情况!B8="出让",SUMPRODUCT(PRODUCT(1+O16:O$40)),SUMPRODUCT(PRODUCT(1+O16:O$39))),4)</f>
        <v>1.3577999999999999</v>
      </c>
      <c r="Z16" s="2024">
        <f t="shared" ref="Z16" si="138">Y16</f>
        <v>1.3577999999999999</v>
      </c>
      <c r="AA16" s="2024">
        <f>ROUND(IF(项目基本情况!B8="出让",SUMPRODUCT(PRODUCT(1+P16:P$40)),SUMPRODUCT(PRODUCT(1+P16:P$39))),4)</f>
        <v>1.6254999999999999</v>
      </c>
      <c r="AB16" s="2024">
        <f>ROUND(IF(项目基本情况!B8="出让",SUMPRODUCT(PRODUCT(1+Q16:Q$40)),SUMPRODUCT(PRODUCT(1+Q16:Q$39))),4)</f>
        <v>1.3815999999999999</v>
      </c>
      <c r="AC16" s="2024"/>
      <c r="AD16" s="2025">
        <f>ROUND(AVERAGE(I16:I$40)/100,4)</f>
        <v>1.9199999999999998E-2</v>
      </c>
      <c r="AE16" s="2025">
        <f>ROUND(AVERAGE(J16:J$40)/100,4)</f>
        <v>1.3299999999999999E-2</v>
      </c>
      <c r="AF16" s="2025">
        <f t="shared" ref="AF16" si="139">AE16</f>
        <v>1.3299999999999999E-2</v>
      </c>
      <c r="AG16" s="2025">
        <f>ROUND(AVERAGE(K16:K$40)/100,4)</f>
        <v>2.1100000000000001E-2</v>
      </c>
      <c r="AH16" s="2025">
        <f>ROUND(AVERAGE(L16:L$40)/100,4)</f>
        <v>1.3599999999999999E-2</v>
      </c>
    </row>
    <row r="17" spans="1:34" s="2042" customFormat="1">
      <c r="A17" s="2037" t="s">
        <v>2127</v>
      </c>
      <c r="B17" s="2038">
        <f t="shared" ref="B17" si="140">B18*(1+N17)</f>
        <v>479.34737379023579</v>
      </c>
      <c r="C17" s="2038">
        <f t="shared" ref="C17" si="141">C18*(1+O17)</f>
        <v>351.4265287986122</v>
      </c>
      <c r="D17" s="2038">
        <f t="shared" ref="D17" si="142">C17</f>
        <v>351.4265287986122</v>
      </c>
      <c r="E17" s="2038">
        <f t="shared" ref="E17" si="143">E18*(1+P17)</f>
        <v>685.98209703803116</v>
      </c>
      <c r="F17" s="2038">
        <f t="shared" ref="F17" si="144">F18*(1+Q17)</f>
        <v>316.78315206651001</v>
      </c>
      <c r="G17" s="2028">
        <v>2019</v>
      </c>
      <c r="H17" s="2039">
        <v>4</v>
      </c>
      <c r="I17" s="2039">
        <v>0.45</v>
      </c>
      <c r="J17" s="2039">
        <v>-0.12</v>
      </c>
      <c r="K17" s="2039">
        <v>0.54</v>
      </c>
      <c r="L17" s="2043">
        <v>0.48</v>
      </c>
      <c r="M17" s="2024"/>
      <c r="N17" s="2040">
        <f t="shared" ref="N17:N22" si="145">I17/100</f>
        <v>4.5000000000000005E-3</v>
      </c>
      <c r="O17" s="2025">
        <f t="shared" ref="O17" si="146">J17/100</f>
        <v>-1.1999999999999999E-3</v>
      </c>
      <c r="P17" s="2025">
        <f t="shared" ref="P17" si="147">K17/100</f>
        <v>5.4000000000000003E-3</v>
      </c>
      <c r="Q17" s="2025">
        <f t="shared" ref="Q17" si="148">L17/100</f>
        <v>4.7999999999999996E-3</v>
      </c>
      <c r="R17" s="2041"/>
      <c r="S17" s="2040"/>
      <c r="T17" s="2025"/>
      <c r="U17" s="2025"/>
      <c r="V17" s="2025"/>
      <c r="W17" s="2024"/>
      <c r="X17" s="2024">
        <f>ROUND(IF(项目基本情况!B8="出让",SUMPRODUCT(PRODUCT(1+N17:N$40)),SUMPRODUCT(PRODUCT(1+N17:N$39))),4)</f>
        <v>1.5586</v>
      </c>
      <c r="Y17" s="2024">
        <f>ROUND(IF(项目基本情况!B8="出让",SUMPRODUCT(PRODUCT(1+O17:O$40)),SUMPRODUCT(PRODUCT(1+O17:O$39))),4)</f>
        <v>1.3633</v>
      </c>
      <c r="Z17" s="2024">
        <f t="shared" ref="Z17" si="149">Y17</f>
        <v>1.3633</v>
      </c>
      <c r="AA17" s="2024">
        <f>ROUND(IF(项目基本情况!B8="出让",SUMPRODUCT(PRODUCT(1+P17:P$40)),SUMPRODUCT(PRODUCT(1+P17:P$39))),4)</f>
        <v>1.6221000000000001</v>
      </c>
      <c r="AB17" s="2024">
        <f>ROUND(IF(项目基本情况!B8="出让",SUMPRODUCT(PRODUCT(1+Q17:Q$40)),SUMPRODUCT(PRODUCT(1+Q17:Q$39))),4)</f>
        <v>1.3777999999999999</v>
      </c>
      <c r="AC17" s="2024"/>
      <c r="AD17" s="2025">
        <f>ROUND(AVERAGE(I17:I$40)/100,4)</f>
        <v>0.02</v>
      </c>
      <c r="AE17" s="2025">
        <f>ROUND(AVERAGE(J17:J$40)/100,4)</f>
        <v>1.4E-2</v>
      </c>
      <c r="AF17" s="2025">
        <f t="shared" ref="AF17" si="150">AE17</f>
        <v>1.4E-2</v>
      </c>
      <c r="AG17" s="2025">
        <f>ROUND(AVERAGE(K17:K$40)/100,4)</f>
        <v>2.1899999999999999E-2</v>
      </c>
      <c r="AH17" s="2025">
        <f>ROUND(AVERAGE(L17:L$40)/100,4)</f>
        <v>1.4E-2</v>
      </c>
    </row>
    <row r="18" spans="1:34" s="2042" customFormat="1" ht="13.8" thickBot="1">
      <c r="A18" s="2037" t="s">
        <v>2126</v>
      </c>
      <c r="B18" s="2038">
        <f t="shared" ref="B18" si="151">B19*(1+N18)</f>
        <v>477.19997390765138</v>
      </c>
      <c r="C18" s="2038">
        <f t="shared" ref="C18" si="152">C19*(1+O18)</f>
        <v>351.84874729536665</v>
      </c>
      <c r="D18" s="2038">
        <f t="shared" ref="D18" si="153">C18</f>
        <v>351.84874729536665</v>
      </c>
      <c r="E18" s="2038">
        <f t="shared" ref="E18" si="154">E19*(1+P18)</f>
        <v>682.29768951465201</v>
      </c>
      <c r="F18" s="2038">
        <f t="shared" ref="F18" si="155">F19*(1+Q18)</f>
        <v>315.26985675409043</v>
      </c>
      <c r="G18" s="2028">
        <v>2019</v>
      </c>
      <c r="H18" s="2039">
        <v>3</v>
      </c>
      <c r="I18" s="2039">
        <v>0.61</v>
      </c>
      <c r="J18" s="2039">
        <v>0.67</v>
      </c>
      <c r="K18" s="2039">
        <v>0.6</v>
      </c>
      <c r="L18" s="2043">
        <v>1.03</v>
      </c>
      <c r="M18" s="2024"/>
      <c r="N18" s="2040">
        <f t="shared" si="145"/>
        <v>6.0999999999999995E-3</v>
      </c>
      <c r="O18" s="2025">
        <f t="shared" ref="O18" si="156">J18/100</f>
        <v>6.7000000000000002E-3</v>
      </c>
      <c r="P18" s="2025">
        <f t="shared" ref="P18" si="157">K18/100</f>
        <v>6.0000000000000001E-3</v>
      </c>
      <c r="Q18" s="2025">
        <f t="shared" ref="Q18" si="158">L18/100</f>
        <v>1.03E-2</v>
      </c>
      <c r="R18" s="2041"/>
      <c r="S18" s="2040"/>
      <c r="T18" s="2025"/>
      <c r="U18" s="2025"/>
      <c r="V18" s="2025"/>
      <c r="W18" s="2024"/>
      <c r="X18" s="2024">
        <f>ROUND(IF(项目基本情况!B8="出让",SUMPRODUCT(PRODUCT(1+N18:N$40)),SUMPRODUCT(PRODUCT(1+N18:N$39))),4)</f>
        <v>1.5516000000000001</v>
      </c>
      <c r="Y18" s="2024">
        <f>ROUND(IF(项目基本情况!B8="出让",SUMPRODUCT(PRODUCT(1+O18:O$40)),SUMPRODUCT(PRODUCT(1+O18:O$39))),4)</f>
        <v>1.3649</v>
      </c>
      <c r="Z18" s="2024">
        <f t="shared" ref="Z18" si="159">Y18</f>
        <v>1.3649</v>
      </c>
      <c r="AA18" s="2024">
        <f>ROUND(IF(项目基本情况!B8="出让",SUMPRODUCT(PRODUCT(1+P18:P$40)),SUMPRODUCT(PRODUCT(1+P18:P$39))),4)</f>
        <v>1.6133999999999999</v>
      </c>
      <c r="AB18" s="2024">
        <f>ROUND(IF(项目基本情况!B8="出让",SUMPRODUCT(PRODUCT(1+Q18:Q$40)),SUMPRODUCT(PRODUCT(1+Q18:Q$39))),4)</f>
        <v>1.3713</v>
      </c>
      <c r="AC18" s="2024"/>
      <c r="AD18" s="2025">
        <f>ROUND(AVERAGE(I18:I$40)/100,4)</f>
        <v>2.07E-2</v>
      </c>
      <c r="AE18" s="2025">
        <f>ROUND(AVERAGE(J18:J$40)/100,4)</f>
        <v>1.47E-2</v>
      </c>
      <c r="AF18" s="2025">
        <f t="shared" ref="AF18" si="160">AE18</f>
        <v>1.47E-2</v>
      </c>
      <c r="AG18" s="2025">
        <f>ROUND(AVERAGE(K18:K$40)/100,4)</f>
        <v>2.2599999999999999E-2</v>
      </c>
      <c r="AH18" s="2025">
        <f>ROUND(AVERAGE(L18:L$40)/100,4)</f>
        <v>1.44E-2</v>
      </c>
    </row>
    <row r="19" spans="1:34" s="2042" customFormat="1">
      <c r="A19" s="2037" t="s">
        <v>2124</v>
      </c>
      <c r="B19" s="2038">
        <f t="shared" ref="B19" si="161">B20*(1+N19)</f>
        <v>474.30670301923408</v>
      </c>
      <c r="C19" s="2038">
        <f t="shared" ref="C19" si="162">C20*(1+O19)</f>
        <v>349.50705005996491</v>
      </c>
      <c r="D19" s="2038">
        <f t="shared" ref="D19" si="163">C19</f>
        <v>349.50705005996491</v>
      </c>
      <c r="E19" s="2038">
        <f t="shared" ref="E19" si="164">E20*(1+P19)</f>
        <v>678.22831959706957</v>
      </c>
      <c r="F19" s="2038">
        <f t="shared" ref="F19" si="165">F20*(1+Q19)</f>
        <v>312.0556832169558</v>
      </c>
      <c r="G19" s="2028">
        <v>2019</v>
      </c>
      <c r="H19" s="2044">
        <v>2</v>
      </c>
      <c r="I19" s="2044">
        <v>1.53</v>
      </c>
      <c r="J19" s="2044">
        <v>1.01</v>
      </c>
      <c r="K19" s="2044">
        <v>1.62</v>
      </c>
      <c r="L19" s="2045">
        <v>1.25</v>
      </c>
      <c r="M19" s="2024"/>
      <c r="N19" s="2040">
        <f t="shared" si="145"/>
        <v>1.5300000000000001E-2</v>
      </c>
      <c r="O19" s="2025">
        <f t="shared" ref="O19" si="166">J19/100</f>
        <v>1.01E-2</v>
      </c>
      <c r="P19" s="2025">
        <f t="shared" ref="P19" si="167">K19/100</f>
        <v>1.6200000000000003E-2</v>
      </c>
      <c r="Q19" s="2025">
        <f t="shared" ref="Q19" si="168">L19/100</f>
        <v>1.2500000000000001E-2</v>
      </c>
      <c r="R19" s="2041"/>
      <c r="S19" s="2040"/>
      <c r="T19" s="2025"/>
      <c r="U19" s="2025"/>
      <c r="V19" s="2025"/>
      <c r="W19" s="2024"/>
      <c r="X19" s="2024">
        <f>ROUND(IF(项目基本情况!B8="出让",SUMPRODUCT(PRODUCT(1+N19:N$40)),SUMPRODUCT(PRODUCT(1+N19:N$39))),4)</f>
        <v>1.5422</v>
      </c>
      <c r="Y19" s="2024">
        <f>ROUND(IF(项目基本情况!B8="出让",SUMPRODUCT(PRODUCT(1+O19:O$40)),SUMPRODUCT(PRODUCT(1+O19:O$39))),4)</f>
        <v>1.3557999999999999</v>
      </c>
      <c r="Z19" s="2024">
        <f t="shared" ref="Z19" si="169">Y19</f>
        <v>1.3557999999999999</v>
      </c>
      <c r="AA19" s="2024">
        <f>ROUND(IF(项目基本情况!B8="出让",SUMPRODUCT(PRODUCT(1+P19:P$40)),SUMPRODUCT(PRODUCT(1+P19:P$39))),4)</f>
        <v>1.6036999999999999</v>
      </c>
      <c r="AB19" s="2024">
        <f>ROUND(IF(项目基本情况!B8="出让",SUMPRODUCT(PRODUCT(1+Q19:Q$40)),SUMPRODUCT(PRODUCT(1+Q19:Q$39))),4)</f>
        <v>1.3573</v>
      </c>
      <c r="AC19" s="2024"/>
      <c r="AD19" s="2025">
        <f>ROUND(AVERAGE(I19:I$40)/100,4)</f>
        <v>2.1299999999999999E-2</v>
      </c>
      <c r="AE19" s="2025">
        <f>ROUND(AVERAGE(J19:J$40)/100,4)</f>
        <v>1.4999999999999999E-2</v>
      </c>
      <c r="AF19" s="2025">
        <f t="shared" ref="AF19" si="170">AE19</f>
        <v>1.4999999999999999E-2</v>
      </c>
      <c r="AG19" s="2025">
        <f>ROUND(AVERAGE(K19:K$40)/100,4)</f>
        <v>2.3300000000000001E-2</v>
      </c>
      <c r="AH19" s="2025">
        <f>ROUND(AVERAGE(L19:L$40)/100,4)</f>
        <v>1.46E-2</v>
      </c>
    </row>
    <row r="20" spans="1:34" s="2042" customFormat="1" ht="13.8" thickBot="1">
      <c r="A20" s="2037" t="s">
        <v>2123</v>
      </c>
      <c r="B20" s="2038">
        <f t="shared" ref="B20" si="171">B21*(1+N20)</f>
        <v>467.15916775261894</v>
      </c>
      <c r="C20" s="2038">
        <f t="shared" ref="C20" si="172">C21*(1+O20)</f>
        <v>346.01232557169084</v>
      </c>
      <c r="D20" s="2038">
        <f t="shared" ref="D20" si="173">C20</f>
        <v>346.01232557169084</v>
      </c>
      <c r="E20" s="2038">
        <f t="shared" ref="E20" si="174">E21*(1+P20)</f>
        <v>667.41617752122568</v>
      </c>
      <c r="F20" s="2038">
        <f t="shared" ref="F20" si="175">F21*(1+Q20)</f>
        <v>308.20314391798104</v>
      </c>
      <c r="G20" s="2028">
        <v>2019</v>
      </c>
      <c r="H20" s="2039">
        <v>1</v>
      </c>
      <c r="I20" s="2039">
        <v>0.6</v>
      </c>
      <c r="J20" s="2039">
        <v>0.37</v>
      </c>
      <c r="K20" s="2039">
        <v>0.63</v>
      </c>
      <c r="L20" s="2043">
        <v>1.1299999999999999</v>
      </c>
      <c r="M20" s="2024"/>
      <c r="N20" s="2040">
        <f t="shared" si="145"/>
        <v>6.0000000000000001E-3</v>
      </c>
      <c r="O20" s="2025">
        <f t="shared" ref="O20" si="176">J20/100</f>
        <v>3.7000000000000002E-3</v>
      </c>
      <c r="P20" s="2025">
        <f t="shared" ref="P20" si="177">K20/100</f>
        <v>6.3E-3</v>
      </c>
      <c r="Q20" s="2025">
        <f t="shared" ref="Q20" si="178">L20/100</f>
        <v>1.1299999999999999E-2</v>
      </c>
      <c r="R20" s="2041"/>
      <c r="S20" s="2040">
        <f>B20/B21-1</f>
        <v>6.0000000000000053E-3</v>
      </c>
      <c r="T20" s="2025">
        <f t="shared" ref="T20" si="179">C20/C21-1</f>
        <v>3.7000000000000366E-3</v>
      </c>
      <c r="U20" s="2025">
        <f t="shared" ref="U20" si="180">D20/D21-1</f>
        <v>3.7000000000000366E-3</v>
      </c>
      <c r="V20" s="2025">
        <f t="shared" ref="V20" si="181">E20/E21-1</f>
        <v>6.2999999999999723E-3</v>
      </c>
      <c r="W20" s="2024"/>
      <c r="X20" s="2024">
        <f>ROUND(IF(项目基本情况!B8="出让",SUMPRODUCT(PRODUCT(1+N20:N$40)),SUMPRODUCT(PRODUCT(1+N20:N$39))),4)</f>
        <v>1.5189999999999999</v>
      </c>
      <c r="Y20" s="2024">
        <f>ROUND(IF(项目基本情况!B8="出让",SUMPRODUCT(PRODUCT(1+O20:O$40)),SUMPRODUCT(PRODUCT(1+O20:O$39))),4)</f>
        <v>1.3423</v>
      </c>
      <c r="Z20" s="2024">
        <f t="shared" ref="Z20" si="182">Y20</f>
        <v>1.3423</v>
      </c>
      <c r="AA20" s="2024">
        <f>ROUND(IF(项目基本情况!B8="出让",SUMPRODUCT(PRODUCT(1+P20:P$40)),SUMPRODUCT(PRODUCT(1+P20:P$39))),4)</f>
        <v>1.5782</v>
      </c>
      <c r="AB20" s="2024">
        <f>ROUND(IF(项目基本情况!B8="出让",SUMPRODUCT(PRODUCT(1+Q20:Q$40)),SUMPRODUCT(PRODUCT(1+Q20:Q$39))),4)</f>
        <v>1.3405</v>
      </c>
      <c r="AC20" s="2024"/>
      <c r="AD20" s="2025">
        <f>ROUND(AVERAGE(I20:I$40)/100,4)</f>
        <v>2.1600000000000001E-2</v>
      </c>
      <c r="AE20" s="2025">
        <f>ROUND(AVERAGE(J20:J$40)/100,4)</f>
        <v>1.5299999999999999E-2</v>
      </c>
      <c r="AF20" s="2025">
        <f t="shared" ref="AF20" si="183">AE20</f>
        <v>1.5299999999999999E-2</v>
      </c>
      <c r="AG20" s="2025">
        <f>ROUND(AVERAGE(K20:K$40)/100,4)</f>
        <v>2.3699999999999999E-2</v>
      </c>
      <c r="AH20" s="2025">
        <f>ROUND(AVERAGE(L20:L$40)/100,4)</f>
        <v>1.47E-2</v>
      </c>
    </row>
    <row r="21" spans="1:34" s="2042" customFormat="1">
      <c r="A21" s="2037" t="s">
        <v>2125</v>
      </c>
      <c r="B21" s="2046">
        <f t="shared" ref="B21" si="184">B22*(1+N21)</f>
        <v>464.37293017158942</v>
      </c>
      <c r="C21" s="2046">
        <f t="shared" ref="C21" si="185">C22*(1+O21)</f>
        <v>344.73679941385956</v>
      </c>
      <c r="D21" s="2046">
        <f t="shared" ref="D21" si="186">C21</f>
        <v>344.73679941385956</v>
      </c>
      <c r="E21" s="2046">
        <f t="shared" ref="E21" si="187">E22*(1+P21)</f>
        <v>663.2377795103107</v>
      </c>
      <c r="F21" s="2047">
        <f t="shared" ref="F21" si="188">F22*(1+Q21)</f>
        <v>304.75936311478398</v>
      </c>
      <c r="G21" s="3515">
        <v>2018</v>
      </c>
      <c r="H21" s="2044">
        <v>4</v>
      </c>
      <c r="I21" s="2044">
        <v>0.96</v>
      </c>
      <c r="J21" s="2044">
        <v>1.03</v>
      </c>
      <c r="K21" s="2044">
        <v>0.92</v>
      </c>
      <c r="L21" s="2045">
        <v>1.29</v>
      </c>
      <c r="M21" s="2024"/>
      <c r="N21" s="2040">
        <f t="shared" si="145"/>
        <v>9.5999999999999992E-3</v>
      </c>
      <c r="O21" s="2025">
        <f t="shared" ref="O21" si="189">J21/100</f>
        <v>1.03E-2</v>
      </c>
      <c r="P21" s="2025">
        <f t="shared" ref="P21" si="190">K21/100</f>
        <v>9.1999999999999998E-3</v>
      </c>
      <c r="Q21" s="2025">
        <f t="shared" ref="Q21" si="191">L21/100</f>
        <v>1.29E-2</v>
      </c>
      <c r="R21" s="2041"/>
      <c r="S21" s="2040"/>
      <c r="T21" s="2025"/>
      <c r="U21" s="2025"/>
      <c r="V21" s="2025"/>
      <c r="W21" s="2024"/>
      <c r="X21" s="2024">
        <f>ROUND(SUMPRODUCT(PRODUCT(1+N21:N$39)),4)</f>
        <v>1.5099</v>
      </c>
      <c r="Y21" s="2024">
        <f>ROUND(SUMPRODUCT(PRODUCT(1+O21:O$39)),4)</f>
        <v>1.3372999999999999</v>
      </c>
      <c r="Z21" s="2024">
        <f t="shared" ref="Z21" si="192">Y21</f>
        <v>1.3372999999999999</v>
      </c>
      <c r="AA21" s="2024">
        <f>ROUND(SUMPRODUCT(PRODUCT(1+P21:P$39)),4)</f>
        <v>1.5683</v>
      </c>
      <c r="AB21" s="2024">
        <f>ROUND(SUMPRODUCT(PRODUCT(1+Q21:Q$39)),4)</f>
        <v>1.3255999999999999</v>
      </c>
      <c r="AC21" s="2024"/>
      <c r="AD21" s="2025">
        <f>ROUND(AVERAGE(I21:I$40)/100,4)</f>
        <v>2.24E-2</v>
      </c>
      <c r="AE21" s="2025">
        <f>ROUND(AVERAGE(J21:J$40)/100,4)</f>
        <v>1.5800000000000002E-2</v>
      </c>
      <c r="AF21" s="2025">
        <f t="shared" ref="AF21" si="193">AE21</f>
        <v>1.5800000000000002E-2</v>
      </c>
      <c r="AG21" s="2025">
        <f>ROUND(AVERAGE(K21:K$40)/100,4)</f>
        <v>2.4500000000000001E-2</v>
      </c>
      <c r="AH21" s="2025">
        <f>ROUND(AVERAGE(L21:L$40)/100,4)</f>
        <v>1.49E-2</v>
      </c>
    </row>
    <row r="22" spans="1:34" s="2042" customFormat="1" ht="14.4" customHeight="1">
      <c r="A22" s="2037" t="s">
        <v>2121</v>
      </c>
      <c r="B22" s="2038">
        <f t="shared" ref="B22" si="194">B23*(1+N22)</f>
        <v>459.95733971036987</v>
      </c>
      <c r="C22" s="2038">
        <f t="shared" ref="C22" si="195">C23*(1+O22)</f>
        <v>341.22221064422405</v>
      </c>
      <c r="D22" s="2038">
        <f t="shared" ref="D22" si="196">C22</f>
        <v>341.22221064422405</v>
      </c>
      <c r="E22" s="2038">
        <f t="shared" ref="E22" si="197">E23*(1+P22)</f>
        <v>657.19161663724799</v>
      </c>
      <c r="F22" s="2038">
        <f t="shared" ref="F22" si="198">F23*(1+Q22)</f>
        <v>300.87803644464805</v>
      </c>
      <c r="G22" s="3515"/>
      <c r="H22" s="2039">
        <v>3</v>
      </c>
      <c r="I22" s="2039">
        <v>1.51</v>
      </c>
      <c r="J22" s="2039">
        <v>1.41</v>
      </c>
      <c r="K22" s="2039">
        <v>1.52</v>
      </c>
      <c r="L22" s="2043">
        <v>1.74</v>
      </c>
      <c r="M22" s="2024"/>
      <c r="N22" s="2040">
        <f t="shared" si="145"/>
        <v>1.5100000000000001E-2</v>
      </c>
      <c r="O22" s="2025">
        <f t="shared" ref="O22" si="199">J22/100</f>
        <v>1.41E-2</v>
      </c>
      <c r="P22" s="2025">
        <f t="shared" ref="P22" si="200">K22/100</f>
        <v>1.52E-2</v>
      </c>
      <c r="Q22" s="2025">
        <f t="shared" ref="Q22" si="201">L22/100</f>
        <v>1.7399999999999999E-2</v>
      </c>
      <c r="R22" s="2041"/>
      <c r="S22" s="2040"/>
      <c r="T22" s="2025"/>
      <c r="U22" s="2025"/>
      <c r="V22" s="2025"/>
      <c r="W22" s="2024"/>
      <c r="X22" s="2024">
        <f>ROUND(SUMPRODUCT(PRODUCT(1+N22:N$39)),4)</f>
        <v>1.4956</v>
      </c>
      <c r="Y22" s="2024">
        <f>ROUND(SUMPRODUCT(PRODUCT(1+O22:O$39)),4)</f>
        <v>1.3237000000000001</v>
      </c>
      <c r="Z22" s="2024">
        <f t="shared" ref="Z22" si="202">Y22</f>
        <v>1.3237000000000001</v>
      </c>
      <c r="AA22" s="2024">
        <f>ROUND(SUMPRODUCT(PRODUCT(1+P22:P$39)),4)</f>
        <v>1.554</v>
      </c>
      <c r="AB22" s="2024">
        <f>ROUND(SUMPRODUCT(PRODUCT(1+Q22:Q$39)),4)</f>
        <v>1.3087</v>
      </c>
      <c r="AC22" s="2024"/>
      <c r="AD22" s="2025">
        <f>ROUND(AVERAGE(I22:I$40)/100,4)</f>
        <v>2.3099999999999999E-2</v>
      </c>
      <c r="AE22" s="2025">
        <f>ROUND(AVERAGE(J22:J$40)/100,4)</f>
        <v>1.61E-2</v>
      </c>
      <c r="AF22" s="2025">
        <f t="shared" ref="AF22" si="203">AE22</f>
        <v>1.61E-2</v>
      </c>
      <c r="AG22" s="2025">
        <f>ROUND(AVERAGE(K22:K$40)/100,4)</f>
        <v>2.53E-2</v>
      </c>
      <c r="AH22" s="2025">
        <f>ROUND(AVERAGE(L22:L$40)/100,4)</f>
        <v>1.4999999999999999E-2</v>
      </c>
    </row>
    <row r="23" spans="1:34" s="2042" customFormat="1" ht="14.4" customHeight="1">
      <c r="A23" s="2037" t="s">
        <v>2120</v>
      </c>
      <c r="B23" s="2038">
        <f t="shared" ref="B23" si="204">B24*(1+N23)</f>
        <v>453.11529869999993</v>
      </c>
      <c r="C23" s="2038">
        <f t="shared" ref="C23" si="205">C24*(1+O23)</f>
        <v>336.47787264000004</v>
      </c>
      <c r="D23" s="2038">
        <f t="shared" ref="D23" si="206">C23</f>
        <v>336.47787264000004</v>
      </c>
      <c r="E23" s="2038">
        <f t="shared" ref="E23" si="207">E24*(1+P23)</f>
        <v>647.35186823999993</v>
      </c>
      <c r="F23" s="2038">
        <f t="shared" ref="F23" si="208">F24*(1+Q23)</f>
        <v>295.73229452000004</v>
      </c>
      <c r="G23" s="3515"/>
      <c r="H23" s="2048">
        <v>2</v>
      </c>
      <c r="I23" s="2048">
        <v>1.49</v>
      </c>
      <c r="J23" s="2048">
        <v>0.96</v>
      </c>
      <c r="K23" s="2048">
        <v>1.58</v>
      </c>
      <c r="L23" s="2049">
        <v>2.44</v>
      </c>
      <c r="M23" s="2024"/>
      <c r="N23" s="2040">
        <f t="shared" ref="N23" si="209">I23/100</f>
        <v>1.49E-2</v>
      </c>
      <c r="O23" s="2025">
        <f t="shared" ref="O23" si="210">J23/100</f>
        <v>9.5999999999999992E-3</v>
      </c>
      <c r="P23" s="2025">
        <f t="shared" ref="P23" si="211">K23/100</f>
        <v>1.5800000000000002E-2</v>
      </c>
      <c r="Q23" s="2025">
        <f t="shared" ref="Q23" si="212">L23/100</f>
        <v>2.4399999999999998E-2</v>
      </c>
      <c r="R23" s="2041"/>
      <c r="S23" s="2040"/>
      <c r="T23" s="2025"/>
      <c r="U23" s="2025"/>
      <c r="V23" s="2025"/>
      <c r="W23" s="2024"/>
      <c r="X23" s="2024">
        <f>ROUND(SUMPRODUCT(PRODUCT(1+N23:N$39)),4)</f>
        <v>1.4733000000000001</v>
      </c>
      <c r="Y23" s="2024">
        <f>ROUND(SUMPRODUCT(PRODUCT(1+O23:O$39)),4)</f>
        <v>1.3052999999999999</v>
      </c>
      <c r="Z23" s="2024">
        <f t="shared" ref="Z23" si="213">Y23</f>
        <v>1.3052999999999999</v>
      </c>
      <c r="AA23" s="2024">
        <f>ROUND(SUMPRODUCT(PRODUCT(1+P23:P$39)),4)</f>
        <v>1.5306999999999999</v>
      </c>
      <c r="AB23" s="2024">
        <f>ROUND(SUMPRODUCT(PRODUCT(1+Q23:Q$39)),4)</f>
        <v>1.2863</v>
      </c>
      <c r="AC23" s="2024"/>
      <c r="AD23" s="2025">
        <f>ROUND(AVERAGE(I23:I$40)/100,4)</f>
        <v>2.35E-2</v>
      </c>
      <c r="AE23" s="2025">
        <f>ROUND(AVERAGE(J23:J$40)/100,4)</f>
        <v>1.6199999999999999E-2</v>
      </c>
      <c r="AF23" s="2025">
        <f t="shared" ref="AF23" si="214">AE23</f>
        <v>1.6199999999999999E-2</v>
      </c>
      <c r="AG23" s="2025">
        <f>ROUND(AVERAGE(K23:K$40)/100,4)</f>
        <v>2.5899999999999999E-2</v>
      </c>
      <c r="AH23" s="2025">
        <f>ROUND(AVERAGE(L23:L$40)/100,4)</f>
        <v>1.49E-2</v>
      </c>
    </row>
    <row r="24" spans="1:34" s="2042" customFormat="1" ht="15" customHeight="1" thickBot="1">
      <c r="A24" s="2037" t="s">
        <v>2113</v>
      </c>
      <c r="B24" s="2038">
        <f t="shared" ref="B24" si="215">B25*(1+N24)</f>
        <v>446.46299999999997</v>
      </c>
      <c r="C24" s="2038">
        <f t="shared" ref="C24" si="216">C25*(1+O24)</f>
        <v>333.27840000000003</v>
      </c>
      <c r="D24" s="2038">
        <f t="shared" ref="D24" si="217">C24</f>
        <v>333.27840000000003</v>
      </c>
      <c r="E24" s="2038">
        <f t="shared" ref="E24" si="218">E25*(1+P24)</f>
        <v>637.28279999999995</v>
      </c>
      <c r="F24" s="2038">
        <f t="shared" ref="F24" si="219">F25*(1+Q24)</f>
        <v>288.68830000000003</v>
      </c>
      <c r="G24" s="3522"/>
      <c r="H24" s="2039">
        <v>1</v>
      </c>
      <c r="I24" s="2039">
        <v>1.7</v>
      </c>
      <c r="J24" s="2039">
        <v>1.92</v>
      </c>
      <c r="K24" s="2039">
        <v>1.64</v>
      </c>
      <c r="L24" s="2043">
        <v>2.0099999999999998</v>
      </c>
      <c r="M24" s="2024"/>
      <c r="N24" s="2040">
        <f t="shared" ref="N24:N29" si="220">I24/100</f>
        <v>1.7000000000000001E-2</v>
      </c>
      <c r="O24" s="2025">
        <f t="shared" ref="O24" si="221">J24/100</f>
        <v>1.9199999999999998E-2</v>
      </c>
      <c r="P24" s="2025">
        <f t="shared" ref="P24" si="222">K24/100</f>
        <v>1.6399999999999998E-2</v>
      </c>
      <c r="Q24" s="2025">
        <f t="shared" ref="Q24" si="223">L24/100</f>
        <v>2.0099999999999996E-2</v>
      </c>
      <c r="R24" s="2041"/>
      <c r="S24" s="2040">
        <f>B24/B25-1</f>
        <v>1.6999999999999904E-2</v>
      </c>
      <c r="T24" s="2025">
        <f t="shared" ref="T24" si="224">C24/C25-1</f>
        <v>1.9200000000000106E-2</v>
      </c>
      <c r="U24" s="2025">
        <f t="shared" ref="U24" si="225">D24/D25-1</f>
        <v>1.9200000000000106E-2</v>
      </c>
      <c r="V24" s="2025">
        <f t="shared" ref="V24" si="226">E24/E25-1</f>
        <v>1.639999999999997E-2</v>
      </c>
      <c r="W24" s="2024"/>
      <c r="X24" s="2024">
        <f>ROUND(SUMPRODUCT(PRODUCT(1+N24:N$39)),4)</f>
        <v>1.4517</v>
      </c>
      <c r="Y24" s="2024">
        <f>ROUND(SUMPRODUCT(PRODUCT(1+O24:O$39)),4)</f>
        <v>1.2928999999999999</v>
      </c>
      <c r="Z24" s="2024">
        <f t="shared" ref="Z24" si="227">Y24</f>
        <v>1.2928999999999999</v>
      </c>
      <c r="AA24" s="2024">
        <f>ROUND(SUMPRODUCT(PRODUCT(1+P24:P$39)),4)</f>
        <v>1.5068999999999999</v>
      </c>
      <c r="AB24" s="2024">
        <f>ROUND(SUMPRODUCT(PRODUCT(1+Q24:Q$39)),4)</f>
        <v>1.2557</v>
      </c>
      <c r="AC24" s="2024"/>
      <c r="AD24" s="2025">
        <f>ROUND(AVERAGE(I24:I$40)/100,4)</f>
        <v>2.4E-2</v>
      </c>
      <c r="AE24" s="2025">
        <f>ROUND(AVERAGE(J24:J$40)/100,4)</f>
        <v>1.66E-2</v>
      </c>
      <c r="AF24" s="2025">
        <f t="shared" ref="AF24" si="228">AE24</f>
        <v>1.66E-2</v>
      </c>
      <c r="AG24" s="2025">
        <f>ROUND(AVERAGE(K24:K$40)/100,4)</f>
        <v>2.6499999999999999E-2</v>
      </c>
      <c r="AH24" s="2025">
        <f>ROUND(AVERAGE(L24:L$40)/100,4)</f>
        <v>1.43E-2</v>
      </c>
    </row>
    <row r="25" spans="1:34">
      <c r="A25" s="2037" t="s">
        <v>2111</v>
      </c>
      <c r="B25" s="2046">
        <v>439</v>
      </c>
      <c r="C25" s="2046">
        <v>327</v>
      </c>
      <c r="D25" s="2046">
        <f>C25</f>
        <v>327</v>
      </c>
      <c r="E25" s="2046">
        <v>627</v>
      </c>
      <c r="F25" s="2047">
        <v>283</v>
      </c>
      <c r="G25" s="3518">
        <v>2017</v>
      </c>
      <c r="H25" s="2044">
        <v>4</v>
      </c>
      <c r="I25" s="2044">
        <v>1.71</v>
      </c>
      <c r="J25" s="2044">
        <v>1.78</v>
      </c>
      <c r="K25" s="2044">
        <v>1.71</v>
      </c>
      <c r="L25" s="2045">
        <v>1.43</v>
      </c>
      <c r="N25" s="2040">
        <f t="shared" si="220"/>
        <v>1.7100000000000001E-2</v>
      </c>
      <c r="O25" s="2025">
        <f t="shared" ref="O25" si="229">J25/100</f>
        <v>1.78E-2</v>
      </c>
      <c r="P25" s="2025">
        <f t="shared" ref="P25" si="230">K25/100</f>
        <v>1.7100000000000001E-2</v>
      </c>
      <c r="Q25" s="2025">
        <f t="shared" ref="Q25" si="231">L25/100</f>
        <v>1.43E-2</v>
      </c>
      <c r="R25" s="2041"/>
      <c r="S25" s="2050"/>
      <c r="T25" s="2051"/>
      <c r="U25" s="2051"/>
      <c r="V25" s="2051"/>
      <c r="X25" s="2024">
        <f>ROUND(SUMPRODUCT(PRODUCT(1+N25:N$39)),4)</f>
        <v>1.4274</v>
      </c>
      <c r="Y25" s="2024">
        <f>ROUND(SUMPRODUCT(PRODUCT(1+O25:O$39)),4)</f>
        <v>1.2685</v>
      </c>
      <c r="Z25" s="2024">
        <f t="shared" si="0"/>
        <v>1.2685</v>
      </c>
      <c r="AA25" s="2024">
        <f>ROUND(SUMPRODUCT(PRODUCT(1+P25:P$39)),4)</f>
        <v>1.4825999999999999</v>
      </c>
      <c r="AB25" s="2024">
        <f>ROUND(SUMPRODUCT(PRODUCT(1+Q25:Q$39)),4)</f>
        <v>1.2309000000000001</v>
      </c>
      <c r="AD25" s="2025">
        <f>ROUND(AVERAGE(I25:I$40)/100,4)</f>
        <v>2.4500000000000001E-2</v>
      </c>
      <c r="AE25" s="2025">
        <f>ROUND(AVERAGE(J25:J$40)/100,4)</f>
        <v>1.6500000000000001E-2</v>
      </c>
      <c r="AF25" s="2025">
        <f t="shared" si="1"/>
        <v>1.6500000000000001E-2</v>
      </c>
      <c r="AG25" s="2025">
        <f>ROUND(AVERAGE(K25:K$40)/100,4)</f>
        <v>2.7099999999999999E-2</v>
      </c>
      <c r="AH25" s="2025">
        <f>ROUND(AVERAGE(L25:L$40)/100,4)</f>
        <v>1.3899999999999999E-2</v>
      </c>
    </row>
    <row r="26" spans="1:34" s="2042" customFormat="1" ht="14.4" customHeight="1">
      <c r="A26" s="2037" t="s">
        <v>2112</v>
      </c>
      <c r="B26" s="2038">
        <f t="shared" ref="B26:B27" si="232">B27*(1+N26)</f>
        <v>431.80730811680002</v>
      </c>
      <c r="C26" s="2038">
        <f t="shared" ref="C26:C27" si="233">C27*(1+O26)</f>
        <v>320.57880516480003</v>
      </c>
      <c r="D26" s="2038">
        <f t="shared" ref="D26:D27" si="234">C26</f>
        <v>320.57880516480003</v>
      </c>
      <c r="E26" s="2038">
        <f t="shared" ref="E26:E27" si="235">E27*(1+P26)</f>
        <v>615.96110553196797</v>
      </c>
      <c r="F26" s="2038">
        <f t="shared" ref="F26:F27" si="236">F27*(1+Q26)</f>
        <v>279.46777300108801</v>
      </c>
      <c r="G26" s="3515"/>
      <c r="H26" s="2039">
        <v>3</v>
      </c>
      <c r="I26" s="2039">
        <v>2.98</v>
      </c>
      <c r="J26" s="2039">
        <v>2.11</v>
      </c>
      <c r="K26" s="2039">
        <v>3.24</v>
      </c>
      <c r="L26" s="2043">
        <v>1.72</v>
      </c>
      <c r="M26" s="2024"/>
      <c r="N26" s="2040">
        <f t="shared" si="220"/>
        <v>2.98E-2</v>
      </c>
      <c r="O26" s="2025">
        <f t="shared" ref="O26" si="237">J26/100</f>
        <v>2.1099999999999997E-2</v>
      </c>
      <c r="P26" s="2025">
        <f t="shared" ref="P26" si="238">K26/100</f>
        <v>3.2400000000000005E-2</v>
      </c>
      <c r="Q26" s="2025">
        <f t="shared" ref="Q26" si="239">L26/100</f>
        <v>1.72E-2</v>
      </c>
      <c r="R26" s="2041"/>
      <c r="S26" s="2040"/>
      <c r="T26" s="2025"/>
      <c r="U26" s="2025"/>
      <c r="V26" s="2025"/>
      <c r="W26" s="2024"/>
      <c r="X26" s="2024">
        <f>ROUND(SUMPRODUCT(PRODUCT(1+N26:N$39)),4)</f>
        <v>1.4034</v>
      </c>
      <c r="Y26" s="2024">
        <f>ROUND(SUMPRODUCT(PRODUCT(1+O26:O$39)),4)</f>
        <v>1.2463</v>
      </c>
      <c r="Z26" s="2024">
        <f t="shared" si="0"/>
        <v>1.2463</v>
      </c>
      <c r="AA26" s="2024">
        <f>ROUND(SUMPRODUCT(PRODUCT(1+P26:P$39)),4)</f>
        <v>1.4577</v>
      </c>
      <c r="AB26" s="2024">
        <f>ROUND(SUMPRODUCT(PRODUCT(1+Q26:Q$39)),4)</f>
        <v>1.2136</v>
      </c>
      <c r="AC26" s="2024"/>
      <c r="AD26" s="2025">
        <f>ROUND(AVERAGE(I26:I$40)/100,4)</f>
        <v>2.4899999999999999E-2</v>
      </c>
      <c r="AE26" s="2025">
        <f>ROUND(AVERAGE(J26:J$40)/100,4)</f>
        <v>1.6400000000000001E-2</v>
      </c>
      <c r="AF26" s="2025">
        <f t="shared" si="1"/>
        <v>1.6400000000000001E-2</v>
      </c>
      <c r="AG26" s="2025">
        <f>ROUND(AVERAGE(K26:K$40)/100,4)</f>
        <v>2.7799999999999998E-2</v>
      </c>
      <c r="AH26" s="2025">
        <f>ROUND(AVERAGE(L26:L$40)/100,4)</f>
        <v>1.3899999999999999E-2</v>
      </c>
    </row>
    <row r="27" spans="1:34" s="2031" customFormat="1" ht="14.4" customHeight="1">
      <c r="A27" s="2037" t="s">
        <v>677</v>
      </c>
      <c r="B27" s="2038">
        <f t="shared" si="232"/>
        <v>419.31181600000002</v>
      </c>
      <c r="C27" s="2038">
        <f t="shared" si="233"/>
        <v>313.95436800000004</v>
      </c>
      <c r="D27" s="2038">
        <f t="shared" si="234"/>
        <v>313.95436800000004</v>
      </c>
      <c r="E27" s="2038">
        <f t="shared" si="235"/>
        <v>596.63028431999999</v>
      </c>
      <c r="F27" s="2038">
        <f t="shared" si="236"/>
        <v>274.74220703999998</v>
      </c>
      <c r="G27" s="3515"/>
      <c r="H27" s="2048">
        <v>2</v>
      </c>
      <c r="I27" s="2048">
        <v>3.4</v>
      </c>
      <c r="J27" s="2048">
        <v>2</v>
      </c>
      <c r="K27" s="2048">
        <v>3.82</v>
      </c>
      <c r="L27" s="2049">
        <v>1.68</v>
      </c>
      <c r="M27" s="2024"/>
      <c r="N27" s="2040">
        <f t="shared" si="220"/>
        <v>3.4000000000000002E-2</v>
      </c>
      <c r="O27" s="2025">
        <f t="shared" ref="O27" si="240">J27/100</f>
        <v>0.02</v>
      </c>
      <c r="P27" s="2025">
        <f t="shared" ref="P27" si="241">K27/100</f>
        <v>3.8199999999999998E-2</v>
      </c>
      <c r="Q27" s="2025">
        <f t="shared" ref="Q27" si="242">L27/100</f>
        <v>1.6799999999999999E-2</v>
      </c>
      <c r="R27" s="2041"/>
      <c r="S27" s="2050"/>
      <c r="T27" s="2051"/>
      <c r="U27" s="2051"/>
      <c r="V27" s="2051"/>
      <c r="W27" s="2006"/>
      <c r="X27" s="2024">
        <f>ROUND(SUMPRODUCT(PRODUCT(1+N27:N$39)),4)</f>
        <v>1.3628</v>
      </c>
      <c r="Y27" s="2024">
        <f>ROUND(SUMPRODUCT(PRODUCT(1+O27:O$39)),4)</f>
        <v>1.2205999999999999</v>
      </c>
      <c r="Z27" s="2024">
        <f t="shared" si="0"/>
        <v>1.2205999999999999</v>
      </c>
      <c r="AA27" s="2024">
        <f>ROUND(SUMPRODUCT(PRODUCT(1+P27:P$39)),4)</f>
        <v>1.4118999999999999</v>
      </c>
      <c r="AB27" s="2024">
        <f>ROUND(SUMPRODUCT(PRODUCT(1+Q27:Q$39)),4)</f>
        <v>1.1930000000000001</v>
      </c>
      <c r="AC27" s="2006"/>
      <c r="AD27" s="2025">
        <f>ROUND(AVERAGE(I27:I$40)/100,4)</f>
        <v>2.46E-2</v>
      </c>
      <c r="AE27" s="2025">
        <f>ROUND(AVERAGE(J27:J$40)/100,4)</f>
        <v>1.6E-2</v>
      </c>
      <c r="AF27" s="2025">
        <f t="shared" si="1"/>
        <v>1.6E-2</v>
      </c>
      <c r="AG27" s="2025">
        <f>ROUND(AVERAGE(K27:K$40)/100,4)</f>
        <v>2.75E-2</v>
      </c>
      <c r="AH27" s="2025">
        <f>ROUND(AVERAGE(L27:L$40)/100,4)</f>
        <v>1.37E-2</v>
      </c>
    </row>
    <row r="28" spans="1:34" s="2042" customFormat="1" ht="15" customHeight="1" thickBot="1">
      <c r="A28" s="2037" t="s">
        <v>463</v>
      </c>
      <c r="B28" s="2038">
        <f>B29*(1+N28)</f>
        <v>405.524</v>
      </c>
      <c r="C28" s="2038">
        <f>C29*(1+O28)</f>
        <v>307.79840000000002</v>
      </c>
      <c r="D28" s="2038">
        <f>C28</f>
        <v>307.79840000000002</v>
      </c>
      <c r="E28" s="2038">
        <f>E29*(1+P28)</f>
        <v>574.67759999999998</v>
      </c>
      <c r="F28" s="2038">
        <f>F29*(1+Q28)</f>
        <v>270.20280000000002</v>
      </c>
      <c r="G28" s="3522"/>
      <c r="H28" s="2039">
        <v>1</v>
      </c>
      <c r="I28" s="2039">
        <v>3.45</v>
      </c>
      <c r="J28" s="2039">
        <v>1.92</v>
      </c>
      <c r="K28" s="2039">
        <v>3.92</v>
      </c>
      <c r="L28" s="2043">
        <v>1.58</v>
      </c>
      <c r="M28" s="2024"/>
      <c r="N28" s="2040">
        <f t="shared" si="220"/>
        <v>3.4500000000000003E-2</v>
      </c>
      <c r="O28" s="2025">
        <f t="shared" ref="O28:Q43" si="243">J28/100</f>
        <v>1.9199999999999998E-2</v>
      </c>
      <c r="P28" s="2025">
        <f t="shared" si="243"/>
        <v>3.9199999999999999E-2</v>
      </c>
      <c r="Q28" s="2025">
        <f t="shared" si="243"/>
        <v>1.5800000000000002E-2</v>
      </c>
      <c r="R28" s="2041"/>
      <c r="S28" s="2040">
        <f>B28/B29-1</f>
        <v>3.4499999999999975E-2</v>
      </c>
      <c r="T28" s="2025">
        <f t="shared" ref="T28:V28" si="244">C28/C29-1</f>
        <v>1.9200000000000106E-2</v>
      </c>
      <c r="U28" s="2025">
        <f t="shared" si="244"/>
        <v>1.9200000000000106E-2</v>
      </c>
      <c r="V28" s="2025">
        <f t="shared" si="244"/>
        <v>3.9199999999999902E-2</v>
      </c>
      <c r="W28" s="2024"/>
      <c r="X28" s="2024">
        <f>ROUND(SUMPRODUCT(PRODUCT(1+N28:N$39)),4)</f>
        <v>1.3180000000000001</v>
      </c>
      <c r="Y28" s="2024">
        <f>ROUND(SUMPRODUCT(PRODUCT(1+O28:O$39)),4)</f>
        <v>1.1966000000000001</v>
      </c>
      <c r="Z28" s="2024">
        <f t="shared" si="0"/>
        <v>1.1966000000000001</v>
      </c>
      <c r="AA28" s="2024">
        <f>ROUND(SUMPRODUCT(PRODUCT(1+P28:P$39)),4)</f>
        <v>1.36</v>
      </c>
      <c r="AB28" s="2024">
        <f>ROUND(SUMPRODUCT(PRODUCT(1+Q28:Q$39)),4)</f>
        <v>1.1733</v>
      </c>
      <c r="AC28" s="2024"/>
      <c r="AD28" s="2025">
        <f>ROUND(AVERAGE(I28:I$40)/100,4)</f>
        <v>2.3900000000000001E-2</v>
      </c>
      <c r="AE28" s="2025">
        <f>ROUND(AVERAGE(J28:J$40)/100,4)</f>
        <v>1.5699999999999999E-2</v>
      </c>
      <c r="AF28" s="2025">
        <f t="shared" si="1"/>
        <v>1.5699999999999999E-2</v>
      </c>
      <c r="AG28" s="2025">
        <f>ROUND(AVERAGE(K28:K$40)/100,4)</f>
        <v>2.6599999999999999E-2</v>
      </c>
      <c r="AH28" s="2025">
        <f>ROUND(AVERAGE(L28:L$40)/100,4)</f>
        <v>1.34E-2</v>
      </c>
    </row>
    <row r="29" spans="1:34">
      <c r="A29" s="2037" t="s">
        <v>127</v>
      </c>
      <c r="B29" s="2046">
        <v>392</v>
      </c>
      <c r="C29" s="2046">
        <v>302</v>
      </c>
      <c r="D29" s="2046">
        <f>C29</f>
        <v>302</v>
      </c>
      <c r="E29" s="2046">
        <v>553</v>
      </c>
      <c r="F29" s="2047">
        <v>266</v>
      </c>
      <c r="G29" s="3518">
        <v>2016</v>
      </c>
      <c r="H29" s="2044">
        <v>4</v>
      </c>
      <c r="I29" s="2044">
        <v>4.5599999999999996</v>
      </c>
      <c r="J29" s="2044">
        <v>2.15</v>
      </c>
      <c r="K29" s="2044">
        <v>5.32</v>
      </c>
      <c r="L29" s="2045">
        <v>1.57</v>
      </c>
      <c r="N29" s="2040">
        <f t="shared" si="220"/>
        <v>4.5599999999999995E-2</v>
      </c>
      <c r="O29" s="2025">
        <f t="shared" si="243"/>
        <v>2.1499999999999998E-2</v>
      </c>
      <c r="P29" s="2025">
        <f t="shared" si="243"/>
        <v>5.3200000000000004E-2</v>
      </c>
      <c r="Q29" s="2025">
        <f t="shared" si="243"/>
        <v>1.5700000000000002E-2</v>
      </c>
      <c r="R29" s="2041"/>
      <c r="S29" s="2050"/>
      <c r="T29" s="2051"/>
      <c r="U29" s="2051"/>
      <c r="V29" s="2051"/>
      <c r="X29" s="2024">
        <f>ROUND(SUMPRODUCT(PRODUCT(1+N29:N$39)),4)</f>
        <v>1.274</v>
      </c>
      <c r="Y29" s="2024">
        <f>ROUND(SUMPRODUCT(PRODUCT(1+O29:O$39)),4)</f>
        <v>1.1740999999999999</v>
      </c>
      <c r="Z29" s="2024">
        <f t="shared" si="0"/>
        <v>1.1740999999999999</v>
      </c>
      <c r="AA29" s="2024">
        <f>ROUND(SUMPRODUCT(PRODUCT(1+P29:P$39)),4)</f>
        <v>1.3087</v>
      </c>
      <c r="AB29" s="2024">
        <f>ROUND(SUMPRODUCT(PRODUCT(1+Q29:Q$39)),4)</f>
        <v>1.1551</v>
      </c>
      <c r="AD29" s="2025">
        <f>ROUND(AVERAGE(I29:I$40)/100,4)</f>
        <v>2.3E-2</v>
      </c>
      <c r="AE29" s="2025">
        <f>ROUND(AVERAGE(J29:J$40)/100,4)</f>
        <v>1.55E-2</v>
      </c>
      <c r="AF29" s="2025">
        <f t="shared" si="1"/>
        <v>1.55E-2</v>
      </c>
      <c r="AG29" s="2025">
        <f>ROUND(AVERAGE(K29:K$40)/100,4)</f>
        <v>2.5600000000000001E-2</v>
      </c>
      <c r="AH29" s="2025">
        <f>ROUND(AVERAGE(L29:L$40)/100,4)</f>
        <v>1.32E-2</v>
      </c>
    </row>
    <row r="30" spans="1:34">
      <c r="A30" s="2037" t="s">
        <v>126</v>
      </c>
      <c r="B30" s="2038">
        <f t="shared" ref="B30:C32" si="245">B29/(1+N29)</f>
        <v>374.90436113236416</v>
      </c>
      <c r="C30" s="2038">
        <f t="shared" si="245"/>
        <v>295.64366128242779</v>
      </c>
      <c r="D30" s="2038">
        <f t="shared" ref="D30:D89" si="246">C30</f>
        <v>295.64366128242779</v>
      </c>
      <c r="E30" s="2038">
        <f t="shared" ref="E30:F32" si="247">E29/(1+P29)</f>
        <v>525.06646410938095</v>
      </c>
      <c r="F30" s="2038">
        <f t="shared" si="247"/>
        <v>261.88835286009646</v>
      </c>
      <c r="G30" s="3515"/>
      <c r="H30" s="2039">
        <v>3</v>
      </c>
      <c r="I30" s="2039">
        <v>4.12</v>
      </c>
      <c r="J30" s="2039">
        <v>2</v>
      </c>
      <c r="K30" s="2039">
        <v>4.79</v>
      </c>
      <c r="L30" s="2043">
        <v>1.97</v>
      </c>
      <c r="N30" s="2040">
        <f t="shared" ref="N30:Q64" si="248">I30/100</f>
        <v>4.1200000000000001E-2</v>
      </c>
      <c r="O30" s="2025">
        <f t="shared" si="243"/>
        <v>0.02</v>
      </c>
      <c r="P30" s="2025">
        <f t="shared" si="243"/>
        <v>4.7899999999999998E-2</v>
      </c>
      <c r="Q30" s="2025">
        <f t="shared" si="243"/>
        <v>1.9699999999999999E-2</v>
      </c>
      <c r="R30" s="2041"/>
      <c r="S30" s="2040"/>
      <c r="T30" s="2025"/>
      <c r="U30" s="2025"/>
      <c r="V30" s="2025"/>
      <c r="X30" s="2024">
        <f>ROUND(SUMPRODUCT(PRODUCT(1+N30:N$39)),4)</f>
        <v>1.2184999999999999</v>
      </c>
      <c r="Y30" s="2024">
        <f>ROUND(SUMPRODUCT(PRODUCT(1+O30:O$39)),4)</f>
        <v>1.1494</v>
      </c>
      <c r="Z30" s="2024">
        <f t="shared" si="0"/>
        <v>1.1494</v>
      </c>
      <c r="AA30" s="2024">
        <f>ROUND(SUMPRODUCT(PRODUCT(1+P30:P$39)),4)</f>
        <v>1.2425999999999999</v>
      </c>
      <c r="AB30" s="2024">
        <f>ROUND(SUMPRODUCT(PRODUCT(1+Q30:Q$39)),4)</f>
        <v>1.1372</v>
      </c>
      <c r="AD30" s="2025">
        <f>ROUND(AVERAGE(I30:I$40)/100,4)</f>
        <v>2.0899999999999998E-2</v>
      </c>
      <c r="AE30" s="2025">
        <f>ROUND(AVERAGE(J30:J$40)/100,4)</f>
        <v>1.49E-2</v>
      </c>
      <c r="AF30" s="2025">
        <f t="shared" si="1"/>
        <v>1.49E-2</v>
      </c>
      <c r="AG30" s="2025">
        <f>ROUND(AVERAGE(K30:K$40)/100,4)</f>
        <v>2.3099999999999999E-2</v>
      </c>
      <c r="AH30" s="2025">
        <f>ROUND(AVERAGE(L30:L$40)/100,4)</f>
        <v>1.2999999999999999E-2</v>
      </c>
    </row>
    <row r="31" spans="1:34">
      <c r="A31" s="2037" t="s">
        <v>116</v>
      </c>
      <c r="B31" s="2038">
        <f t="shared" si="245"/>
        <v>360.06949782209392</v>
      </c>
      <c r="C31" s="2038">
        <f t="shared" si="245"/>
        <v>289.84672674747821</v>
      </c>
      <c r="D31" s="2038">
        <f t="shared" si="246"/>
        <v>289.84672674747821</v>
      </c>
      <c r="E31" s="2038">
        <f t="shared" si="247"/>
        <v>501.06543001181495</v>
      </c>
      <c r="F31" s="2038">
        <f t="shared" si="247"/>
        <v>256.82882500744967</v>
      </c>
      <c r="G31" s="3515"/>
      <c r="H31" s="2048">
        <v>2</v>
      </c>
      <c r="I31" s="2048">
        <v>3.85</v>
      </c>
      <c r="J31" s="2048">
        <v>1.95</v>
      </c>
      <c r="K31" s="2048">
        <v>4.4800000000000004</v>
      </c>
      <c r="L31" s="2049">
        <v>1.41</v>
      </c>
      <c r="N31" s="2040">
        <f t="shared" si="248"/>
        <v>3.85E-2</v>
      </c>
      <c r="O31" s="2025">
        <f t="shared" si="243"/>
        <v>1.95E-2</v>
      </c>
      <c r="P31" s="2025">
        <f t="shared" si="243"/>
        <v>4.4800000000000006E-2</v>
      </c>
      <c r="Q31" s="2025">
        <f t="shared" si="243"/>
        <v>1.41E-2</v>
      </c>
      <c r="R31" s="2041"/>
      <c r="S31" s="2040"/>
      <c r="T31" s="2025"/>
      <c r="U31" s="2025"/>
      <c r="V31" s="2025"/>
      <c r="X31" s="2024">
        <f>ROUND(SUMPRODUCT(PRODUCT(1+N31:N$39)),4)</f>
        <v>1.1702999999999999</v>
      </c>
      <c r="Y31" s="2024">
        <f>ROUND(SUMPRODUCT(PRODUCT(1+O31:O$39)),4)</f>
        <v>1.1269</v>
      </c>
      <c r="Z31" s="2024">
        <f t="shared" si="0"/>
        <v>1.1269</v>
      </c>
      <c r="AA31" s="2024">
        <f>ROUND(SUMPRODUCT(PRODUCT(1+P31:P$39)),4)</f>
        <v>1.1858</v>
      </c>
      <c r="AB31" s="2024">
        <f>ROUND(SUMPRODUCT(PRODUCT(1+Q31:Q$39)),4)</f>
        <v>1.1152</v>
      </c>
      <c r="AD31" s="2025">
        <f>ROUND(AVERAGE(I31:I$40)/100,4)</f>
        <v>1.89E-2</v>
      </c>
      <c r="AE31" s="2025">
        <f>ROUND(AVERAGE(J31:J$40)/100,4)</f>
        <v>1.44E-2</v>
      </c>
      <c r="AF31" s="2025">
        <f t="shared" si="1"/>
        <v>1.44E-2</v>
      </c>
      <c r="AG31" s="2025">
        <f>ROUND(AVERAGE(K31:K$40)/100,4)</f>
        <v>2.06E-2</v>
      </c>
      <c r="AH31" s="2025">
        <f>ROUND(AVERAGE(L31:L$40)/100,4)</f>
        <v>1.23E-2</v>
      </c>
    </row>
    <row r="32" spans="1:34" ht="13.8" thickBot="1">
      <c r="A32" s="2037" t="s">
        <v>125</v>
      </c>
      <c r="B32" s="2038">
        <f t="shared" si="245"/>
        <v>346.720748986128</v>
      </c>
      <c r="C32" s="2038">
        <f t="shared" si="245"/>
        <v>284.30282172386285</v>
      </c>
      <c r="D32" s="2038">
        <f t="shared" si="246"/>
        <v>284.30282172386285</v>
      </c>
      <c r="E32" s="2038">
        <f t="shared" si="247"/>
        <v>479.58023546306947</v>
      </c>
      <c r="F32" s="2038">
        <f t="shared" si="247"/>
        <v>253.25788877571213</v>
      </c>
      <c r="G32" s="3516"/>
      <c r="H32" s="2039">
        <v>1</v>
      </c>
      <c r="I32" s="2039">
        <v>4.09</v>
      </c>
      <c r="J32" s="2039">
        <v>2.93</v>
      </c>
      <c r="K32" s="2039">
        <v>4.54</v>
      </c>
      <c r="L32" s="2043">
        <v>1.48</v>
      </c>
      <c r="N32" s="2040">
        <f t="shared" si="248"/>
        <v>4.0899999999999999E-2</v>
      </c>
      <c r="O32" s="2025">
        <f t="shared" si="243"/>
        <v>2.9300000000000003E-2</v>
      </c>
      <c r="P32" s="2025">
        <f t="shared" si="243"/>
        <v>4.5400000000000003E-2</v>
      </c>
      <c r="Q32" s="2025">
        <f t="shared" si="243"/>
        <v>1.4800000000000001E-2</v>
      </c>
      <c r="R32" s="2041"/>
      <c r="S32" s="2052">
        <f>B32/B33-1</f>
        <v>4.1203450408792808E-2</v>
      </c>
      <c r="T32" s="2053">
        <f>C32/C33-1</f>
        <v>2.6363977342465095E-2</v>
      </c>
      <c r="U32" s="2053">
        <f>E32/E33-1</f>
        <v>4.4837114298626357E-2</v>
      </c>
      <c r="V32" s="2053">
        <f>F32/F33-1</f>
        <v>1.7099954922538574E-2</v>
      </c>
      <c r="X32" s="2024">
        <f>ROUND(SUMPRODUCT(PRODUCT(1+N32:N$39)),4)</f>
        <v>1.1269</v>
      </c>
      <c r="Y32" s="2024">
        <f>ROUND(SUMPRODUCT(PRODUCT(1+O32:O$39)),4)</f>
        <v>1.1052999999999999</v>
      </c>
      <c r="Z32" s="2024">
        <f t="shared" si="0"/>
        <v>1.1052999999999999</v>
      </c>
      <c r="AA32" s="2024">
        <f>ROUND(SUMPRODUCT(PRODUCT(1+P32:P$39)),4)</f>
        <v>1.1349</v>
      </c>
      <c r="AB32" s="2024">
        <f>ROUND(SUMPRODUCT(PRODUCT(1+Q32:Q$39)),4)</f>
        <v>1.0996999999999999</v>
      </c>
      <c r="AD32" s="2025">
        <f>ROUND(AVERAGE(I32:I$40)/100,4)</f>
        <v>1.67E-2</v>
      </c>
      <c r="AE32" s="2025">
        <f>ROUND(AVERAGE(J32:J$40)/100,4)</f>
        <v>1.38E-2</v>
      </c>
      <c r="AF32" s="2025">
        <f t="shared" si="1"/>
        <v>1.38E-2</v>
      </c>
      <c r="AG32" s="2025">
        <f>ROUND(AVERAGE(K32:K$40)/100,4)</f>
        <v>1.7899999999999999E-2</v>
      </c>
      <c r="AH32" s="2025">
        <f>ROUND(AVERAGE(L32:L$40)/100,4)</f>
        <v>1.21E-2</v>
      </c>
    </row>
    <row r="33" spans="1:34" ht="13.8" thickBot="1">
      <c r="A33" s="2037" t="s">
        <v>124</v>
      </c>
      <c r="B33" s="2046">
        <v>333</v>
      </c>
      <c r="C33" s="2046">
        <v>277</v>
      </c>
      <c r="D33" s="2046">
        <f t="shared" si="246"/>
        <v>277</v>
      </c>
      <c r="E33" s="2046">
        <v>459</v>
      </c>
      <c r="F33" s="2047">
        <v>249</v>
      </c>
      <c r="G33" s="3514">
        <v>2015</v>
      </c>
      <c r="H33" s="2054">
        <v>4</v>
      </c>
      <c r="I33" s="2054">
        <v>1.63</v>
      </c>
      <c r="J33" s="2054">
        <v>1.1100000000000001</v>
      </c>
      <c r="K33" s="2054">
        <v>1.77</v>
      </c>
      <c r="L33" s="2055">
        <v>1.89</v>
      </c>
      <c r="N33" s="2056">
        <f t="shared" si="248"/>
        <v>1.6299999999999999E-2</v>
      </c>
      <c r="O33" s="2057">
        <f t="shared" si="243"/>
        <v>1.11E-2</v>
      </c>
      <c r="P33" s="2057">
        <f t="shared" si="243"/>
        <v>1.77E-2</v>
      </c>
      <c r="Q33" s="2057">
        <f t="shared" si="243"/>
        <v>1.89E-2</v>
      </c>
      <c r="R33" s="2041"/>
      <c r="X33" s="2024">
        <f>ROUND(SUMPRODUCT(PRODUCT(1+N33:N$39)),4)</f>
        <v>1.0826</v>
      </c>
      <c r="Y33" s="2024">
        <f>ROUND(SUMPRODUCT(PRODUCT(1+O33:O$39)),4)</f>
        <v>1.0738000000000001</v>
      </c>
      <c r="Z33" s="2024">
        <f t="shared" si="0"/>
        <v>1.0738000000000001</v>
      </c>
      <c r="AA33" s="2024">
        <f>ROUND(SUMPRODUCT(PRODUCT(1+P33:P$39)),4)</f>
        <v>1.0855999999999999</v>
      </c>
      <c r="AB33" s="2024">
        <f>ROUND(SUMPRODUCT(PRODUCT(1+Q33:Q$39)),4)</f>
        <v>1.0837000000000001</v>
      </c>
      <c r="AD33" s="2025">
        <f>ROUND(AVERAGE(I33:I$40)/100,4)</f>
        <v>1.37E-2</v>
      </c>
      <c r="AE33" s="2025">
        <f>ROUND(AVERAGE(J33:J$40)/100,4)</f>
        <v>1.1900000000000001E-2</v>
      </c>
      <c r="AF33" s="2025">
        <f t="shared" si="1"/>
        <v>1.1900000000000001E-2</v>
      </c>
      <c r="AG33" s="2025">
        <f>ROUND(AVERAGE(K33:K$40)/100,4)</f>
        <v>1.4500000000000001E-2</v>
      </c>
      <c r="AH33" s="2025">
        <f>ROUND(AVERAGE(L33:L$40)/100,4)</f>
        <v>1.18E-2</v>
      </c>
    </row>
    <row r="34" spans="1:34">
      <c r="A34" s="2037" t="s">
        <v>123</v>
      </c>
      <c r="B34" s="2038">
        <f t="shared" ref="B34:C36" si="249">B33/(1+N33)</f>
        <v>327.65915576109415</v>
      </c>
      <c r="C34" s="2038">
        <f t="shared" si="249"/>
        <v>273.95905449510434</v>
      </c>
      <c r="D34" s="2038">
        <f t="shared" si="246"/>
        <v>273.95905449510434</v>
      </c>
      <c r="E34" s="2038">
        <f t="shared" ref="E34:F36" si="250">E33/(1+P33)</f>
        <v>451.01699911565294</v>
      </c>
      <c r="F34" s="2038">
        <f t="shared" si="250"/>
        <v>244.38119540681129</v>
      </c>
      <c r="G34" s="3515"/>
      <c r="H34" s="2059">
        <v>3</v>
      </c>
      <c r="I34" s="2059">
        <v>1.65</v>
      </c>
      <c r="J34" s="2059">
        <v>0.92</v>
      </c>
      <c r="K34" s="2059">
        <v>1.88</v>
      </c>
      <c r="L34" s="2060">
        <v>1.26</v>
      </c>
      <c r="N34" s="2040">
        <f t="shared" si="248"/>
        <v>1.6500000000000001E-2</v>
      </c>
      <c r="O34" s="2025">
        <f t="shared" si="243"/>
        <v>9.1999999999999998E-3</v>
      </c>
      <c r="P34" s="2025">
        <f t="shared" si="243"/>
        <v>1.8799999999999997E-2</v>
      </c>
      <c r="Q34" s="2025">
        <f t="shared" si="243"/>
        <v>1.26E-2</v>
      </c>
      <c r="R34" s="2041"/>
      <c r="S34" s="2040"/>
      <c r="T34" s="2025"/>
      <c r="U34" s="2025"/>
      <c r="V34" s="2025"/>
      <c r="X34" s="2024">
        <f>ROUND(SUMPRODUCT(PRODUCT(1+N34:N$39)),4)</f>
        <v>1.0651999999999999</v>
      </c>
      <c r="Y34" s="2024">
        <f>ROUND(SUMPRODUCT(PRODUCT(1+O34:O$39)),4)</f>
        <v>1.0621</v>
      </c>
      <c r="Z34" s="2024">
        <f t="shared" si="0"/>
        <v>1.0621</v>
      </c>
      <c r="AA34" s="2024">
        <f>ROUND(SUMPRODUCT(PRODUCT(1+P34:P$39)),4)</f>
        <v>1.0668</v>
      </c>
      <c r="AB34" s="2024">
        <f>ROUND(SUMPRODUCT(PRODUCT(1+Q34:Q$39)),4)</f>
        <v>1.0636000000000001</v>
      </c>
      <c r="AD34" s="2025">
        <f>ROUND(AVERAGE(I34:I$40)/100,4)</f>
        <v>1.3299999999999999E-2</v>
      </c>
      <c r="AE34" s="2025">
        <f>ROUND(AVERAGE(J34:J$40)/100,4)</f>
        <v>1.2E-2</v>
      </c>
      <c r="AF34" s="2025">
        <f t="shared" si="1"/>
        <v>1.2E-2</v>
      </c>
      <c r="AG34" s="2025">
        <f>ROUND(AVERAGE(K34:K$40)/100,4)</f>
        <v>1.4E-2</v>
      </c>
      <c r="AH34" s="2025">
        <f>ROUND(AVERAGE(L34:L$40)/100,4)</f>
        <v>1.0800000000000001E-2</v>
      </c>
    </row>
    <row r="35" spans="1:34">
      <c r="A35" s="2037" t="s">
        <v>122</v>
      </c>
      <c r="B35" s="2038">
        <f t="shared" si="249"/>
        <v>322.34053690220776</v>
      </c>
      <c r="C35" s="2038">
        <f t="shared" si="249"/>
        <v>271.46160770422546</v>
      </c>
      <c r="D35" s="2038">
        <f t="shared" si="246"/>
        <v>271.46160770422546</v>
      </c>
      <c r="E35" s="2038">
        <f t="shared" si="250"/>
        <v>442.69434542172456</v>
      </c>
      <c r="F35" s="2038">
        <f t="shared" si="250"/>
        <v>241.34030753190925</v>
      </c>
      <c r="G35" s="3515"/>
      <c r="H35" s="2048">
        <v>2</v>
      </c>
      <c r="I35" s="2048">
        <v>0.77</v>
      </c>
      <c r="J35" s="2048">
        <v>0.69</v>
      </c>
      <c r="K35" s="2048">
        <v>0.8</v>
      </c>
      <c r="L35" s="2049">
        <v>0.88</v>
      </c>
      <c r="N35" s="2040">
        <f t="shared" si="248"/>
        <v>7.7000000000000002E-3</v>
      </c>
      <c r="O35" s="2025">
        <f t="shared" si="243"/>
        <v>6.8999999999999999E-3</v>
      </c>
      <c r="P35" s="2025">
        <f t="shared" si="243"/>
        <v>8.0000000000000002E-3</v>
      </c>
      <c r="Q35" s="2025">
        <f t="shared" si="243"/>
        <v>8.8000000000000005E-3</v>
      </c>
      <c r="R35" s="2041"/>
      <c r="S35" s="2040"/>
      <c r="T35" s="2025"/>
      <c r="U35" s="2025"/>
      <c r="V35" s="2025"/>
      <c r="X35" s="2024">
        <f>ROUND(SUMPRODUCT(PRODUCT(1+N35:N$39)),4)</f>
        <v>1.048</v>
      </c>
      <c r="Y35" s="2024">
        <f>ROUND(SUMPRODUCT(PRODUCT(1+O35:O$39)),4)</f>
        <v>1.0524</v>
      </c>
      <c r="Z35" s="2024">
        <f t="shared" si="0"/>
        <v>1.0524</v>
      </c>
      <c r="AA35" s="2024">
        <f>ROUND(SUMPRODUCT(PRODUCT(1+P35:P$39)),4)</f>
        <v>1.0470999999999999</v>
      </c>
      <c r="AB35" s="2024">
        <f>ROUND(SUMPRODUCT(PRODUCT(1+Q35:Q$39)),4)</f>
        <v>1.0504</v>
      </c>
      <c r="AD35" s="2025">
        <f>ROUND(AVERAGE(I35:I$40)/100,4)</f>
        <v>1.2800000000000001E-2</v>
      </c>
      <c r="AE35" s="2025">
        <f>ROUND(AVERAGE(J35:J$40)/100,4)</f>
        <v>1.2500000000000001E-2</v>
      </c>
      <c r="AF35" s="2025">
        <f t="shared" si="1"/>
        <v>1.2500000000000001E-2</v>
      </c>
      <c r="AG35" s="2025">
        <f>ROUND(AVERAGE(K35:K$40)/100,4)</f>
        <v>1.32E-2</v>
      </c>
      <c r="AH35" s="2025">
        <f>ROUND(AVERAGE(L35:L$40)/100,4)</f>
        <v>1.0500000000000001E-2</v>
      </c>
    </row>
    <row r="36" spans="1:34">
      <c r="A36" s="2037" t="s">
        <v>121</v>
      </c>
      <c r="B36" s="2038">
        <f t="shared" si="249"/>
        <v>319.87748030386797</v>
      </c>
      <c r="C36" s="2038">
        <f t="shared" si="249"/>
        <v>269.60135833173649</v>
      </c>
      <c r="D36" s="2038">
        <f t="shared" si="246"/>
        <v>269.60135833173649</v>
      </c>
      <c r="E36" s="2038">
        <f t="shared" si="250"/>
        <v>439.18089823583784</v>
      </c>
      <c r="F36" s="2038">
        <f t="shared" si="250"/>
        <v>239.23503918706311</v>
      </c>
      <c r="G36" s="3516"/>
      <c r="H36" s="2039">
        <v>1</v>
      </c>
      <c r="I36" s="2039">
        <v>0.51</v>
      </c>
      <c r="J36" s="2039">
        <v>0.54</v>
      </c>
      <c r="K36" s="2039">
        <v>0.48</v>
      </c>
      <c r="L36" s="2043">
        <v>0.93</v>
      </c>
      <c r="N36" s="2052">
        <f t="shared" si="248"/>
        <v>5.1000000000000004E-3</v>
      </c>
      <c r="O36" s="2053">
        <f t="shared" si="243"/>
        <v>5.4000000000000003E-3</v>
      </c>
      <c r="P36" s="2053">
        <f t="shared" si="243"/>
        <v>4.7999999999999996E-3</v>
      </c>
      <c r="Q36" s="2053">
        <f t="shared" si="243"/>
        <v>9.300000000000001E-3</v>
      </c>
      <c r="R36" s="2041"/>
      <c r="S36" s="2052">
        <f>B36/B37-1</f>
        <v>5.9040261127922822E-3</v>
      </c>
      <c r="T36" s="2053">
        <f>C36/C37-1</f>
        <v>5.9752176557332781E-3</v>
      </c>
      <c r="U36" s="2053">
        <f>E36/E37-1</f>
        <v>4.9906138119859556E-3</v>
      </c>
      <c r="V36" s="2053">
        <f>F36/F37-1</f>
        <v>9.4305450930933787E-3</v>
      </c>
      <c r="X36" s="2024">
        <f>ROUND(SUMPRODUCT(PRODUCT(1+N36:N$39)),4)</f>
        <v>1.0399</v>
      </c>
      <c r="Y36" s="2024">
        <f>ROUND(SUMPRODUCT(PRODUCT(1+O36:O$39)),4)</f>
        <v>1.0451999999999999</v>
      </c>
      <c r="Z36" s="2024">
        <f t="shared" si="0"/>
        <v>1.0451999999999999</v>
      </c>
      <c r="AA36" s="2024">
        <f>ROUND(SUMPRODUCT(PRODUCT(1+P36:P$39)),4)</f>
        <v>1.0387999999999999</v>
      </c>
      <c r="AB36" s="2024">
        <f>ROUND(SUMPRODUCT(PRODUCT(1+Q36:Q$39)),4)</f>
        <v>1.0411999999999999</v>
      </c>
      <c r="AD36" s="2025">
        <f>ROUND(AVERAGE(I36:I$40)/100,4)</f>
        <v>1.38E-2</v>
      </c>
      <c r="AE36" s="2025">
        <f>ROUND(AVERAGE(J36:J$40)/100,4)</f>
        <v>1.3599999999999999E-2</v>
      </c>
      <c r="AF36" s="2025">
        <f t="shared" si="1"/>
        <v>1.3599999999999999E-2</v>
      </c>
      <c r="AG36" s="2025">
        <f>ROUND(AVERAGE(K36:K$40)/100,4)</f>
        <v>1.4200000000000001E-2</v>
      </c>
      <c r="AH36" s="2025">
        <f>ROUND(AVERAGE(L36:L$40)/100,4)</f>
        <v>1.0800000000000001E-2</v>
      </c>
    </row>
    <row r="37" spans="1:34" ht="13.8" thickBot="1">
      <c r="A37" s="2037" t="s">
        <v>120</v>
      </c>
      <c r="B37" s="2061">
        <v>318</v>
      </c>
      <c r="C37" s="2061">
        <v>268</v>
      </c>
      <c r="D37" s="2061">
        <f t="shared" si="246"/>
        <v>268</v>
      </c>
      <c r="E37" s="2061">
        <v>437</v>
      </c>
      <c r="F37" s="2062">
        <v>237</v>
      </c>
      <c r="G37" s="3514">
        <v>2014</v>
      </c>
      <c r="H37" s="2054">
        <v>4</v>
      </c>
      <c r="I37" s="2054">
        <v>0.21</v>
      </c>
      <c r="J37" s="2054">
        <v>0.41</v>
      </c>
      <c r="K37" s="2054">
        <v>0.12</v>
      </c>
      <c r="L37" s="2055">
        <v>0.89</v>
      </c>
      <c r="N37" s="2040">
        <f t="shared" si="248"/>
        <v>2.0999999999999999E-3</v>
      </c>
      <c r="O37" s="2025">
        <f t="shared" si="243"/>
        <v>4.0999999999999995E-3</v>
      </c>
      <c r="P37" s="2025">
        <f t="shared" si="243"/>
        <v>1.1999999999999999E-3</v>
      </c>
      <c r="Q37" s="2025">
        <f t="shared" si="243"/>
        <v>8.8999999999999999E-3</v>
      </c>
      <c r="R37" s="2041"/>
      <c r="S37" s="2050"/>
      <c r="T37" s="2051"/>
      <c r="U37" s="2051"/>
      <c r="V37" s="2051"/>
      <c r="X37" s="2024">
        <f>ROUND(SUMPRODUCT(PRODUCT(1+N37:N$39)),4)</f>
        <v>1.0347</v>
      </c>
      <c r="Y37" s="2024">
        <f>ROUND(SUMPRODUCT(PRODUCT(1+O37:O$39)),4)</f>
        <v>1.0395000000000001</v>
      </c>
      <c r="Z37" s="2024">
        <f t="shared" si="0"/>
        <v>1.0395000000000001</v>
      </c>
      <c r="AA37" s="2024">
        <f>ROUND(SUMPRODUCT(PRODUCT(1+P37:P$39)),4)</f>
        <v>1.0338000000000001</v>
      </c>
      <c r="AB37" s="2024">
        <f>ROUND(SUMPRODUCT(PRODUCT(1+Q37:Q$39)),4)</f>
        <v>1.0316000000000001</v>
      </c>
      <c r="AD37" s="2025">
        <f>ROUND(AVERAGE(I37:I$40)/100,4)</f>
        <v>1.6E-2</v>
      </c>
      <c r="AE37" s="2025">
        <f>ROUND(AVERAGE(J37:J$40)/100,4)</f>
        <v>1.5599999999999999E-2</v>
      </c>
      <c r="AF37" s="2025">
        <f t="shared" si="1"/>
        <v>1.5599999999999999E-2</v>
      </c>
      <c r="AG37" s="2025">
        <f>ROUND(AVERAGE(K37:K$40)/100,4)</f>
        <v>1.66E-2</v>
      </c>
      <c r="AH37" s="2025">
        <f>ROUND(AVERAGE(L37:L$40)/100,4)</f>
        <v>1.12E-2</v>
      </c>
    </row>
    <row r="38" spans="1:34">
      <c r="A38" s="2037" t="s">
        <v>119</v>
      </c>
      <c r="B38" s="2038">
        <f t="shared" ref="B38:C40" si="251">B37/(1+N37)</f>
        <v>317.33359944117353</v>
      </c>
      <c r="C38" s="2038">
        <f t="shared" si="251"/>
        <v>266.90568668459315</v>
      </c>
      <c r="D38" s="2038">
        <f t="shared" si="246"/>
        <v>266.90568668459315</v>
      </c>
      <c r="E38" s="2038">
        <f t="shared" ref="E38:F40" si="252">E37/(1+P37)</f>
        <v>436.47622852576905</v>
      </c>
      <c r="F38" s="2038">
        <f t="shared" si="252"/>
        <v>234.90930716622066</v>
      </c>
      <c r="G38" s="3515"/>
      <c r="H38" s="2063">
        <v>3</v>
      </c>
      <c r="I38" s="2063">
        <v>0.83</v>
      </c>
      <c r="J38" s="2063">
        <v>1.47</v>
      </c>
      <c r="K38" s="2063">
        <v>0.65</v>
      </c>
      <c r="L38" s="2064">
        <v>0.72</v>
      </c>
      <c r="N38" s="2040">
        <f t="shared" si="248"/>
        <v>8.3000000000000001E-3</v>
      </c>
      <c r="O38" s="2025">
        <f t="shared" si="243"/>
        <v>1.47E-2</v>
      </c>
      <c r="P38" s="2025">
        <f t="shared" si="243"/>
        <v>6.5000000000000006E-3</v>
      </c>
      <c r="Q38" s="2025">
        <f t="shared" si="243"/>
        <v>7.1999999999999998E-3</v>
      </c>
      <c r="R38" s="2041"/>
      <c r="S38" s="2040"/>
      <c r="T38" s="2025"/>
      <c r="U38" s="2025"/>
      <c r="V38" s="2025"/>
      <c r="X38" s="2024">
        <f>ROUND(SUMPRODUCT(PRODUCT(1+N38:N$39)),4)</f>
        <v>1.0325</v>
      </c>
      <c r="Y38" s="2024">
        <f>ROUND(SUMPRODUCT(PRODUCT(1+O38:O$39)),4)</f>
        <v>1.0353000000000001</v>
      </c>
      <c r="Z38" s="2024">
        <f t="shared" ref="Z38:Z39" si="253">Y38</f>
        <v>1.0353000000000001</v>
      </c>
      <c r="AA38" s="2024">
        <f>ROUND(SUMPRODUCT(PRODUCT(1+P38:P$39)),4)</f>
        <v>1.0326</v>
      </c>
      <c r="AB38" s="2024">
        <f>ROUND(SUMPRODUCT(PRODUCT(1+Q38:Q$39)),4)</f>
        <v>1.0225</v>
      </c>
      <c r="AD38" s="2025">
        <f>ROUND(AVERAGE(I38:I$40)/100,4)</f>
        <v>2.07E-2</v>
      </c>
      <c r="AE38" s="2025">
        <f>ROUND(AVERAGE(J38:J$40)/100,4)</f>
        <v>1.95E-2</v>
      </c>
      <c r="AF38" s="2025">
        <f t="shared" si="1"/>
        <v>1.95E-2</v>
      </c>
      <c r="AG38" s="2025">
        <f>ROUND(AVERAGE(K38:K$40)/100,4)</f>
        <v>2.1700000000000001E-2</v>
      </c>
      <c r="AH38" s="2025">
        <f>ROUND(AVERAGE(L38:L$40)/100,4)</f>
        <v>1.2E-2</v>
      </c>
    </row>
    <row r="39" spans="1:34" ht="13.8" thickBot="1">
      <c r="A39" s="2037" t="s">
        <v>118</v>
      </c>
      <c r="B39" s="2038">
        <f t="shared" si="251"/>
        <v>314.72141172386546</v>
      </c>
      <c r="C39" s="2038">
        <f t="shared" si="251"/>
        <v>263.03901319069001</v>
      </c>
      <c r="D39" s="2038">
        <f t="shared" si="246"/>
        <v>263.03901319069001</v>
      </c>
      <c r="E39" s="2038">
        <f t="shared" si="252"/>
        <v>433.65745506782821</v>
      </c>
      <c r="F39" s="2038">
        <f t="shared" si="252"/>
        <v>233.23005080045735</v>
      </c>
      <c r="G39" s="3515"/>
      <c r="H39" s="2054">
        <v>2</v>
      </c>
      <c r="I39" s="2054">
        <v>2.4</v>
      </c>
      <c r="J39" s="2054">
        <v>2.0299999999999998</v>
      </c>
      <c r="K39" s="2054">
        <v>2.59</v>
      </c>
      <c r="L39" s="2055">
        <v>1.52</v>
      </c>
      <c r="N39" s="2040">
        <f t="shared" si="248"/>
        <v>2.4E-2</v>
      </c>
      <c r="O39" s="2025">
        <f t="shared" si="243"/>
        <v>2.0299999999999999E-2</v>
      </c>
      <c r="P39" s="2025">
        <f t="shared" si="243"/>
        <v>2.5899999999999999E-2</v>
      </c>
      <c r="Q39" s="2025">
        <f t="shared" si="243"/>
        <v>1.52E-2</v>
      </c>
      <c r="R39" s="2041"/>
      <c r="S39" s="2040"/>
      <c r="T39" s="2025"/>
      <c r="U39" s="2025"/>
      <c r="V39" s="2025"/>
      <c r="X39" s="2024">
        <f>1+N39</f>
        <v>1.024</v>
      </c>
      <c r="Y39" s="2024">
        <f>1+O39</f>
        <v>1.0203</v>
      </c>
      <c r="Z39" s="2024">
        <f t="shared" si="253"/>
        <v>1.0203</v>
      </c>
      <c r="AA39" s="2024">
        <f>1+P39</f>
        <v>1.0259</v>
      </c>
      <c r="AB39" s="2024">
        <f>1+Q39</f>
        <v>1.0152000000000001</v>
      </c>
      <c r="AD39" s="2025">
        <f>ROUND(AVERAGE(I39:I$40)/100,4)</f>
        <v>2.69E-2</v>
      </c>
      <c r="AE39" s="2025">
        <f>ROUND(AVERAGE(J39:J$40)/100,4)</f>
        <v>2.1899999999999999E-2</v>
      </c>
      <c r="AF39" s="2025">
        <f t="shared" ref="AF39" si="254">AE39</f>
        <v>2.1899999999999999E-2</v>
      </c>
      <c r="AG39" s="2025">
        <f>ROUND(AVERAGE(K39:K$40)/100,4)</f>
        <v>2.9399999999999999E-2</v>
      </c>
      <c r="AH39" s="2025">
        <f>ROUND(AVERAGE(L39:L$40)/100,4)</f>
        <v>1.44E-2</v>
      </c>
    </row>
    <row r="40" spans="1:34" s="2069" customFormat="1" ht="13.8" thickBot="1">
      <c r="A40" s="2065" t="s">
        <v>117</v>
      </c>
      <c r="B40" s="2066">
        <f t="shared" si="251"/>
        <v>307.34512863658733</v>
      </c>
      <c r="C40" s="2066">
        <f t="shared" si="251"/>
        <v>257.80556031626975</v>
      </c>
      <c r="D40" s="2066">
        <f t="shared" si="246"/>
        <v>257.80556031626975</v>
      </c>
      <c r="E40" s="2066">
        <f t="shared" si="252"/>
        <v>422.70928459677179</v>
      </c>
      <c r="F40" s="2066">
        <f t="shared" si="252"/>
        <v>229.73803270336617</v>
      </c>
      <c r="G40" s="3516"/>
      <c r="H40" s="2067">
        <v>1</v>
      </c>
      <c r="I40" s="2067">
        <v>2.97</v>
      </c>
      <c r="J40" s="2067">
        <v>2.34</v>
      </c>
      <c r="K40" s="2067">
        <v>3.28</v>
      </c>
      <c r="L40" s="2068">
        <v>1.36</v>
      </c>
      <c r="N40" s="2070">
        <f t="shared" si="248"/>
        <v>2.9700000000000001E-2</v>
      </c>
      <c r="O40" s="2071">
        <f t="shared" si="243"/>
        <v>2.3399999999999997E-2</v>
      </c>
      <c r="P40" s="2071">
        <f t="shared" si="243"/>
        <v>3.2799999999999996E-2</v>
      </c>
      <c r="Q40" s="2071">
        <f t="shared" si="243"/>
        <v>1.3600000000000001E-2</v>
      </c>
      <c r="R40" s="2072"/>
      <c r="S40" s="2073">
        <f>B40/B41-1</f>
        <v>2.7910129219355539E-2</v>
      </c>
      <c r="T40" s="2074">
        <f>C40/C41-1</f>
        <v>2.3037937762975247E-2</v>
      </c>
      <c r="U40" s="2074">
        <f>E40/E41-1</f>
        <v>3.3519033243940788E-2</v>
      </c>
      <c r="V40" s="2074">
        <f>F40/F41-1</f>
        <v>1.2061818076502862E-2</v>
      </c>
      <c r="W40" s="2075" t="s">
        <v>464</v>
      </c>
      <c r="X40" s="2069">
        <v>1</v>
      </c>
      <c r="Y40" s="2069">
        <v>1</v>
      </c>
      <c r="Z40" s="2069">
        <v>1</v>
      </c>
      <c r="AA40" s="2069">
        <v>1</v>
      </c>
      <c r="AB40" s="2069">
        <v>1</v>
      </c>
      <c r="AD40" s="2071">
        <f>I40/100</f>
        <v>2.9700000000000001E-2</v>
      </c>
      <c r="AE40" s="2071">
        <f>J40/100</f>
        <v>2.3399999999999997E-2</v>
      </c>
      <c r="AF40" s="2071">
        <f>AE40</f>
        <v>2.3399999999999997E-2</v>
      </c>
      <c r="AG40" s="2071">
        <f>K40/100</f>
        <v>3.2799999999999996E-2</v>
      </c>
      <c r="AH40" s="2071">
        <f>L40/100</f>
        <v>1.3600000000000001E-2</v>
      </c>
    </row>
    <row r="41" spans="1:34" ht="13.8" thickBot="1">
      <c r="A41" s="2037" t="s">
        <v>465</v>
      </c>
      <c r="B41" s="2046">
        <v>299</v>
      </c>
      <c r="C41" s="2046">
        <v>252</v>
      </c>
      <c r="D41" s="2046">
        <f t="shared" si="246"/>
        <v>252</v>
      </c>
      <c r="E41" s="2046">
        <v>409</v>
      </c>
      <c r="F41" s="2047">
        <v>227</v>
      </c>
      <c r="G41" s="3519">
        <v>2013</v>
      </c>
      <c r="H41" s="2076">
        <v>4</v>
      </c>
      <c r="I41" s="2076">
        <v>1.83</v>
      </c>
      <c r="J41" s="2076">
        <v>1.68</v>
      </c>
      <c r="K41" s="2076">
        <v>1.97</v>
      </c>
      <c r="L41" s="2077">
        <v>0.87</v>
      </c>
      <c r="N41" s="2056">
        <f t="shared" si="248"/>
        <v>1.83E-2</v>
      </c>
      <c r="O41" s="2057">
        <f t="shared" si="243"/>
        <v>1.6799999999999999E-2</v>
      </c>
      <c r="P41" s="2057">
        <f t="shared" si="243"/>
        <v>1.9699999999999999E-2</v>
      </c>
      <c r="Q41" s="2057">
        <f t="shared" si="243"/>
        <v>8.6999999999999994E-3</v>
      </c>
      <c r="R41" s="2041"/>
      <c r="S41" s="2050"/>
      <c r="T41" s="2051"/>
      <c r="U41" s="2051"/>
      <c r="V41" s="2051"/>
      <c r="X41" s="2051"/>
      <c r="Y41" s="2051"/>
      <c r="Z41" s="2051"/>
    </row>
    <row r="42" spans="1:34">
      <c r="A42" s="2037" t="s">
        <v>466</v>
      </c>
      <c r="B42" s="2038">
        <f t="shared" ref="B42:C44" si="255">B41/(1+N41)</f>
        <v>293.62663262299913</v>
      </c>
      <c r="C42" s="2038">
        <f t="shared" si="255"/>
        <v>247.83634933123525</v>
      </c>
      <c r="D42" s="2038">
        <f t="shared" si="246"/>
        <v>247.83634933123525</v>
      </c>
      <c r="E42" s="2038">
        <f t="shared" ref="E42:F44" si="256">E41/(1+P41)</f>
        <v>401.09836226341076</v>
      </c>
      <c r="F42" s="2038">
        <f t="shared" si="256"/>
        <v>225.04213343908003</v>
      </c>
      <c r="G42" s="3520"/>
      <c r="H42" s="2059">
        <v>3</v>
      </c>
      <c r="I42" s="2059">
        <v>1.86</v>
      </c>
      <c r="J42" s="2059">
        <v>1.72</v>
      </c>
      <c r="K42" s="2059">
        <v>1.98</v>
      </c>
      <c r="L42" s="2060">
        <v>0.88</v>
      </c>
      <c r="N42" s="2040">
        <f t="shared" si="248"/>
        <v>1.8600000000000002E-2</v>
      </c>
      <c r="O42" s="2025">
        <f t="shared" si="243"/>
        <v>1.72E-2</v>
      </c>
      <c r="P42" s="2025">
        <f t="shared" si="243"/>
        <v>1.9799999999999998E-2</v>
      </c>
      <c r="Q42" s="2025">
        <f t="shared" si="243"/>
        <v>8.8000000000000005E-3</v>
      </c>
      <c r="R42" s="2041"/>
      <c r="S42" s="2040"/>
      <c r="T42" s="2025"/>
      <c r="U42" s="2025"/>
      <c r="V42" s="2025"/>
    </row>
    <row r="43" spans="1:34">
      <c r="A43" s="2037" t="s">
        <v>467</v>
      </c>
      <c r="B43" s="2038">
        <f t="shared" si="255"/>
        <v>288.2649053828776</v>
      </c>
      <c r="C43" s="2038">
        <f t="shared" si="255"/>
        <v>243.64564425013293</v>
      </c>
      <c r="D43" s="2038">
        <f t="shared" si="246"/>
        <v>243.64564425013293</v>
      </c>
      <c r="E43" s="2038">
        <f t="shared" si="256"/>
        <v>393.31080825986544</v>
      </c>
      <c r="F43" s="2038">
        <f t="shared" si="256"/>
        <v>223.07903790551154</v>
      </c>
      <c r="G43" s="3520"/>
      <c r="H43" s="2048">
        <v>2</v>
      </c>
      <c r="I43" s="2048">
        <v>2.04</v>
      </c>
      <c r="J43" s="2048">
        <v>2.33</v>
      </c>
      <c r="K43" s="2048">
        <v>2.0699999999999998</v>
      </c>
      <c r="L43" s="2049">
        <v>0.69</v>
      </c>
      <c r="N43" s="2040">
        <f t="shared" si="248"/>
        <v>2.0400000000000001E-2</v>
      </c>
      <c r="O43" s="2025">
        <f t="shared" si="243"/>
        <v>2.3300000000000001E-2</v>
      </c>
      <c r="P43" s="2025">
        <f t="shared" si="243"/>
        <v>2.07E-2</v>
      </c>
      <c r="Q43" s="2025">
        <f t="shared" si="243"/>
        <v>6.8999999999999999E-3</v>
      </c>
      <c r="R43" s="2041"/>
      <c r="S43" s="2040"/>
      <c r="T43" s="2025"/>
      <c r="U43" s="2025"/>
      <c r="V43" s="2025"/>
      <c r="X43" s="2078"/>
      <c r="Y43" s="2079"/>
    </row>
    <row r="44" spans="1:34">
      <c r="A44" s="2037" t="s">
        <v>468</v>
      </c>
      <c r="B44" s="2038">
        <f t="shared" si="255"/>
        <v>282.50186729015837</v>
      </c>
      <c r="C44" s="2038">
        <f t="shared" si="255"/>
        <v>238.09796174155468</v>
      </c>
      <c r="D44" s="2038">
        <f t="shared" si="246"/>
        <v>238.09796174155468</v>
      </c>
      <c r="E44" s="2038">
        <f t="shared" si="256"/>
        <v>385.33438646014054</v>
      </c>
      <c r="F44" s="2038">
        <f t="shared" si="256"/>
        <v>221.55034055567739</v>
      </c>
      <c r="G44" s="3521"/>
      <c r="H44" s="2039">
        <v>1</v>
      </c>
      <c r="I44" s="2039">
        <v>1.67</v>
      </c>
      <c r="J44" s="2039">
        <v>1.31</v>
      </c>
      <c r="K44" s="2039">
        <v>1.85</v>
      </c>
      <c r="L44" s="2043">
        <v>0.96</v>
      </c>
      <c r="N44" s="2052">
        <f t="shared" si="248"/>
        <v>1.67E-2</v>
      </c>
      <c r="O44" s="2053">
        <f t="shared" si="248"/>
        <v>1.3100000000000001E-2</v>
      </c>
      <c r="P44" s="2053">
        <f t="shared" si="248"/>
        <v>1.8500000000000003E-2</v>
      </c>
      <c r="Q44" s="2053">
        <f t="shared" si="248"/>
        <v>9.5999999999999992E-3</v>
      </c>
      <c r="R44" s="2041"/>
      <c r="S44" s="2052">
        <f>B44/B45-1</f>
        <v>1.6193767230785472E-2</v>
      </c>
      <c r="T44" s="2053">
        <f>C44/C45-1</f>
        <v>1.7512657015190891E-2</v>
      </c>
      <c r="U44" s="2053">
        <f>E44/E45-1</f>
        <v>1.6713420739157048E-2</v>
      </c>
      <c r="V44" s="2053">
        <f>F44/F45-1</f>
        <v>7.0470025258062563E-3</v>
      </c>
      <c r="Y44" s="2025"/>
      <c r="Z44" s="2025"/>
    </row>
    <row r="45" spans="1:34" ht="13.8" thickBot="1">
      <c r="A45" s="2037" t="s">
        <v>469</v>
      </c>
      <c r="B45" s="2080">
        <v>278</v>
      </c>
      <c r="C45" s="2080">
        <v>234</v>
      </c>
      <c r="D45" s="2080">
        <f t="shared" si="246"/>
        <v>234</v>
      </c>
      <c r="E45" s="2080">
        <v>379</v>
      </c>
      <c r="F45" s="2081">
        <v>220</v>
      </c>
      <c r="G45" s="3514">
        <v>2012</v>
      </c>
      <c r="H45" s="2054">
        <v>4</v>
      </c>
      <c r="I45" s="2054">
        <v>0.91</v>
      </c>
      <c r="J45" s="2054">
        <v>0.68</v>
      </c>
      <c r="K45" s="2054">
        <v>0.98</v>
      </c>
      <c r="L45" s="2055">
        <v>0.9</v>
      </c>
      <c r="N45" s="2040">
        <f t="shared" si="248"/>
        <v>9.1000000000000004E-3</v>
      </c>
      <c r="O45" s="2025">
        <f t="shared" si="248"/>
        <v>6.8000000000000005E-3</v>
      </c>
      <c r="P45" s="2025">
        <f t="shared" si="248"/>
        <v>9.7999999999999997E-3</v>
      </c>
      <c r="Q45" s="2025">
        <f t="shared" si="248"/>
        <v>9.0000000000000011E-3</v>
      </c>
      <c r="R45" s="2041"/>
      <c r="S45" s="2050"/>
      <c r="T45" s="2051"/>
      <c r="U45" s="2051"/>
      <c r="V45" s="2051"/>
      <c r="X45" s="2051"/>
      <c r="Y45" s="2051"/>
      <c r="Z45" s="2051"/>
    </row>
    <row r="46" spans="1:34">
      <c r="A46" s="2037" t="s">
        <v>470</v>
      </c>
      <c r="B46" s="2038">
        <f>B45/(1+N45)</f>
        <v>275.49301357645425</v>
      </c>
      <c r="C46" s="2038">
        <f>C45/(1+O45)</f>
        <v>232.41954707985698</v>
      </c>
      <c r="D46" s="2038">
        <f t="shared" si="246"/>
        <v>232.41954707985698</v>
      </c>
      <c r="E46" s="2038">
        <f t="shared" ref="E46:F48" si="257">E45/(1+P45)</f>
        <v>375.32184591008121</v>
      </c>
      <c r="F46" s="2038">
        <f t="shared" si="257"/>
        <v>218.03766105054513</v>
      </c>
      <c r="G46" s="3515"/>
      <c r="H46" s="2059">
        <v>3</v>
      </c>
      <c r="I46" s="2059">
        <v>0.09</v>
      </c>
      <c r="J46" s="2059">
        <v>0.28999999999999998</v>
      </c>
      <c r="K46" s="2059">
        <v>-0.01</v>
      </c>
      <c r="L46" s="2060">
        <v>0.57999999999999996</v>
      </c>
      <c r="N46" s="2040">
        <f t="shared" si="248"/>
        <v>8.9999999999999998E-4</v>
      </c>
      <c r="O46" s="2025">
        <f t="shared" si="248"/>
        <v>2.8999999999999998E-3</v>
      </c>
      <c r="P46" s="2025">
        <f t="shared" si="248"/>
        <v>-1E-4</v>
      </c>
      <c r="Q46" s="2025">
        <f t="shared" si="248"/>
        <v>5.7999999999999996E-3</v>
      </c>
      <c r="R46" s="2041"/>
      <c r="S46" s="2040"/>
      <c r="T46" s="2025"/>
      <c r="U46" s="2025"/>
      <c r="V46" s="2025"/>
    </row>
    <row r="47" spans="1:34">
      <c r="A47" s="2037" t="s">
        <v>471</v>
      </c>
      <c r="B47" s="2038">
        <f>B46/(1+N46)</f>
        <v>275.24529281292263</v>
      </c>
      <c r="C47" s="2038">
        <f>C46/(1+O46)</f>
        <v>231.74747938962707</v>
      </c>
      <c r="D47" s="2038">
        <f t="shared" si="246"/>
        <v>231.74747938962707</v>
      </c>
      <c r="E47" s="2038">
        <f t="shared" si="257"/>
        <v>375.35938184826603</v>
      </c>
      <c r="F47" s="2038">
        <f t="shared" si="257"/>
        <v>216.78033510692495</v>
      </c>
      <c r="G47" s="3515"/>
      <c r="H47" s="2048">
        <v>2</v>
      </c>
      <c r="I47" s="2048">
        <v>0.02</v>
      </c>
      <c r="J47" s="2048">
        <v>0.12</v>
      </c>
      <c r="K47" s="2048">
        <v>-0.08</v>
      </c>
      <c r="L47" s="2049">
        <v>1.24</v>
      </c>
      <c r="N47" s="2040">
        <f t="shared" si="248"/>
        <v>2.0000000000000001E-4</v>
      </c>
      <c r="O47" s="2025">
        <f t="shared" si="248"/>
        <v>1.1999999999999999E-3</v>
      </c>
      <c r="P47" s="2025">
        <f t="shared" si="248"/>
        <v>-8.0000000000000004E-4</v>
      </c>
      <c r="Q47" s="2025">
        <f t="shared" si="248"/>
        <v>1.24E-2</v>
      </c>
      <c r="R47" s="2041"/>
      <c r="S47" s="2040"/>
      <c r="T47" s="2025"/>
      <c r="U47" s="2025"/>
      <c r="V47" s="2025"/>
    </row>
    <row r="48" spans="1:34" ht="13.8" thickBot="1">
      <c r="A48" s="2037" t="s">
        <v>472</v>
      </c>
      <c r="B48" s="2038">
        <f>B47/(1+N47)</f>
        <v>275.19025476197027</v>
      </c>
      <c r="C48" s="2082">
        <v>232</v>
      </c>
      <c r="D48" s="2082">
        <f t="shared" si="246"/>
        <v>232</v>
      </c>
      <c r="E48" s="2038">
        <f t="shared" si="257"/>
        <v>375.65990977608692</v>
      </c>
      <c r="F48" s="2038">
        <f t="shared" si="257"/>
        <v>214.12518283971252</v>
      </c>
      <c r="G48" s="3516"/>
      <c r="H48" s="2039">
        <v>1</v>
      </c>
      <c r="I48" s="2039">
        <v>0.02</v>
      </c>
      <c r="J48" s="2039">
        <v>0.13</v>
      </c>
      <c r="K48" s="2039">
        <v>-0.04</v>
      </c>
      <c r="L48" s="2043">
        <v>0.46</v>
      </c>
      <c r="N48" s="2040">
        <f t="shared" si="248"/>
        <v>2.0000000000000001E-4</v>
      </c>
      <c r="O48" s="2025">
        <f t="shared" si="248"/>
        <v>1.2999999999999999E-3</v>
      </c>
      <c r="P48" s="2025">
        <f t="shared" si="248"/>
        <v>-4.0000000000000002E-4</v>
      </c>
      <c r="Q48" s="2025">
        <f t="shared" si="248"/>
        <v>4.5999999999999999E-3</v>
      </c>
      <c r="R48" s="2041"/>
      <c r="S48" s="2052">
        <f>B48/B49-1</f>
        <v>6.9183549807361189E-4</v>
      </c>
      <c r="T48" s="2053">
        <f>C48/C49-1</f>
        <v>0</v>
      </c>
      <c r="U48" s="2053">
        <f>E48/E49-1</f>
        <v>-9.0449527636460303E-4</v>
      </c>
      <c r="V48" s="2053">
        <f>F48/F49-1</f>
        <v>5.2825485432512753E-3</v>
      </c>
      <c r="X48" s="2025"/>
      <c r="Y48" s="2025"/>
      <c r="Z48" s="2025"/>
    </row>
    <row r="49" spans="1:26" ht="13.8" thickBot="1">
      <c r="A49" s="2037" t="s">
        <v>473</v>
      </c>
      <c r="B49" s="2046">
        <v>275</v>
      </c>
      <c r="C49" s="2046">
        <v>232</v>
      </c>
      <c r="D49" s="2046">
        <f t="shared" si="246"/>
        <v>232</v>
      </c>
      <c r="E49" s="2046">
        <v>376</v>
      </c>
      <c r="F49" s="2047">
        <v>213</v>
      </c>
      <c r="G49" s="3514">
        <v>2011</v>
      </c>
      <c r="H49" s="2054">
        <v>4</v>
      </c>
      <c r="I49" s="2054">
        <v>-0.2</v>
      </c>
      <c r="J49" s="2054">
        <v>0.04</v>
      </c>
      <c r="K49" s="2054">
        <v>-0.34</v>
      </c>
      <c r="L49" s="2055">
        <v>0.46</v>
      </c>
      <c r="N49" s="2056">
        <f t="shared" si="248"/>
        <v>-2E-3</v>
      </c>
      <c r="O49" s="2057">
        <f t="shared" si="248"/>
        <v>4.0000000000000002E-4</v>
      </c>
      <c r="P49" s="2057">
        <f t="shared" si="248"/>
        <v>-3.4000000000000002E-3</v>
      </c>
      <c r="Q49" s="2057">
        <f t="shared" si="248"/>
        <v>4.5999999999999999E-3</v>
      </c>
      <c r="R49" s="2041"/>
      <c r="S49" s="2050"/>
      <c r="T49" s="2051"/>
      <c r="U49" s="2051"/>
      <c r="V49" s="2051"/>
      <c r="X49" s="2051"/>
      <c r="Y49" s="2051"/>
      <c r="Z49" s="2051"/>
    </row>
    <row r="50" spans="1:26">
      <c r="A50" s="2037" t="s">
        <v>474</v>
      </c>
      <c r="B50" s="2038">
        <f t="shared" ref="B50:C52" si="258">B49/(1+N49)</f>
        <v>275.55110220440883</v>
      </c>
      <c r="C50" s="2038">
        <f t="shared" si="258"/>
        <v>231.90723710515795</v>
      </c>
      <c r="D50" s="2038">
        <f t="shared" si="246"/>
        <v>231.90723710515795</v>
      </c>
      <c r="E50" s="2038">
        <f t="shared" ref="E50:F52" si="259">E49/(1+P49)</f>
        <v>377.28276138872161</v>
      </c>
      <c r="F50" s="2038">
        <f t="shared" si="259"/>
        <v>212.02468644236512</v>
      </c>
      <c r="G50" s="3515">
        <v>2011</v>
      </c>
      <c r="H50" s="2059">
        <v>3</v>
      </c>
      <c r="I50" s="2059">
        <v>0.13</v>
      </c>
      <c r="J50" s="2059">
        <v>0.75</v>
      </c>
      <c r="K50" s="2059">
        <v>-0.08</v>
      </c>
      <c r="L50" s="2060">
        <v>0.53</v>
      </c>
      <c r="N50" s="2040">
        <f t="shared" si="248"/>
        <v>1.2999999999999999E-3</v>
      </c>
      <c r="O50" s="2025">
        <f t="shared" si="248"/>
        <v>7.4999999999999997E-3</v>
      </c>
      <c r="P50" s="2025">
        <f t="shared" si="248"/>
        <v>-8.0000000000000004E-4</v>
      </c>
      <c r="Q50" s="2025">
        <f t="shared" si="248"/>
        <v>5.3E-3</v>
      </c>
      <c r="R50" s="2041"/>
      <c r="S50" s="2040"/>
      <c r="T50" s="2025"/>
      <c r="U50" s="2025"/>
      <c r="V50" s="2025"/>
    </row>
    <row r="51" spans="1:26">
      <c r="A51" s="2037" t="s">
        <v>475</v>
      </c>
      <c r="B51" s="2038">
        <f t="shared" si="258"/>
        <v>275.19335084830601</v>
      </c>
      <c r="C51" s="2038">
        <f t="shared" si="258"/>
        <v>230.18088050139744</v>
      </c>
      <c r="D51" s="2038">
        <f t="shared" si="246"/>
        <v>230.18088050139744</v>
      </c>
      <c r="E51" s="2038">
        <f t="shared" si="259"/>
        <v>377.58482925212331</v>
      </c>
      <c r="F51" s="2038">
        <f t="shared" si="259"/>
        <v>210.90687997847917</v>
      </c>
      <c r="G51" s="3515">
        <v>2011</v>
      </c>
      <c r="H51" s="2048">
        <v>2</v>
      </c>
      <c r="I51" s="2048">
        <v>-0.4</v>
      </c>
      <c r="J51" s="2048">
        <v>0.17</v>
      </c>
      <c r="K51" s="2048">
        <v>-0.57999999999999996</v>
      </c>
      <c r="L51" s="2049">
        <v>-0.2</v>
      </c>
      <c r="N51" s="2040">
        <f t="shared" si="248"/>
        <v>-4.0000000000000001E-3</v>
      </c>
      <c r="O51" s="2025">
        <f t="shared" si="248"/>
        <v>1.7000000000000001E-3</v>
      </c>
      <c r="P51" s="2025">
        <f t="shared" si="248"/>
        <v>-5.7999999999999996E-3</v>
      </c>
      <c r="Q51" s="2025">
        <f t="shared" si="248"/>
        <v>-2E-3</v>
      </c>
      <c r="R51" s="2041"/>
      <c r="S51" s="2040"/>
      <c r="T51" s="2025"/>
      <c r="U51" s="2025"/>
      <c r="V51" s="2025"/>
    </row>
    <row r="52" spans="1:26" ht="13.8" thickBot="1">
      <c r="A52" s="2037" t="s">
        <v>476</v>
      </c>
      <c r="B52" s="2038">
        <f t="shared" si="258"/>
        <v>276.29854502841971</v>
      </c>
      <c r="C52" s="2038">
        <f t="shared" si="258"/>
        <v>229.79023709833027</v>
      </c>
      <c r="D52" s="2038">
        <f t="shared" si="246"/>
        <v>229.79023709833027</v>
      </c>
      <c r="E52" s="2038">
        <f t="shared" si="259"/>
        <v>379.78759731655936</v>
      </c>
      <c r="F52" s="2038">
        <f t="shared" si="259"/>
        <v>211.32953905659235</v>
      </c>
      <c r="G52" s="3516">
        <v>2011</v>
      </c>
      <c r="H52" s="2039">
        <v>1</v>
      </c>
      <c r="I52" s="2039">
        <v>2.65</v>
      </c>
      <c r="J52" s="2039">
        <v>3.76</v>
      </c>
      <c r="K52" s="2039">
        <v>1.89</v>
      </c>
      <c r="L52" s="2043">
        <v>7.95</v>
      </c>
      <c r="N52" s="2052">
        <f t="shared" si="248"/>
        <v>2.6499999999999999E-2</v>
      </c>
      <c r="O52" s="2053">
        <f t="shared" si="248"/>
        <v>3.7599999999999995E-2</v>
      </c>
      <c r="P52" s="2053">
        <f t="shared" si="248"/>
        <v>1.89E-2</v>
      </c>
      <c r="Q52" s="2053">
        <f t="shared" si="248"/>
        <v>7.9500000000000001E-2</v>
      </c>
      <c r="R52" s="2041"/>
      <c r="S52" s="2052">
        <f>B52/B53-1</f>
        <v>2.713213765211786E-2</v>
      </c>
      <c r="T52" s="2053">
        <f>C52/C53-1</f>
        <v>3.9774828499231862E-2</v>
      </c>
      <c r="U52" s="2053">
        <f>E52/E53-1</f>
        <v>1.8197311840641772E-2</v>
      </c>
      <c r="V52" s="2053">
        <f>F52/F53-1</f>
        <v>7.8211933962205826E-2</v>
      </c>
      <c r="X52" s="2025"/>
      <c r="Y52" s="2025"/>
      <c r="Z52" s="2025"/>
    </row>
    <row r="53" spans="1:26" ht="13.8" thickBot="1">
      <c r="A53" s="2037" t="s">
        <v>477</v>
      </c>
      <c r="B53" s="2046">
        <v>269</v>
      </c>
      <c r="C53" s="2046">
        <v>221</v>
      </c>
      <c r="D53" s="2046">
        <f t="shared" si="246"/>
        <v>221</v>
      </c>
      <c r="E53" s="2046">
        <v>373</v>
      </c>
      <c r="F53" s="2047">
        <v>196</v>
      </c>
      <c r="G53" s="3514">
        <v>2010</v>
      </c>
      <c r="H53" s="2054">
        <v>4</v>
      </c>
      <c r="I53" s="2054">
        <v>5.72</v>
      </c>
      <c r="J53" s="2054">
        <v>6.57</v>
      </c>
      <c r="K53" s="2054">
        <v>5.72</v>
      </c>
      <c r="L53" s="2055">
        <v>2.72</v>
      </c>
      <c r="N53" s="2040">
        <f t="shared" si="248"/>
        <v>5.7200000000000001E-2</v>
      </c>
      <c r="O53" s="2025">
        <f t="shared" si="248"/>
        <v>6.5700000000000008E-2</v>
      </c>
      <c r="P53" s="2025">
        <f t="shared" si="248"/>
        <v>5.7200000000000001E-2</v>
      </c>
      <c r="Q53" s="2025">
        <f t="shared" si="248"/>
        <v>2.7200000000000002E-2</v>
      </c>
      <c r="R53" s="2041"/>
      <c r="S53" s="2050"/>
      <c r="T53" s="2051"/>
      <c r="U53" s="2051"/>
      <c r="V53" s="2051"/>
      <c r="X53" s="2051"/>
      <c r="Y53" s="2051"/>
      <c r="Z53" s="2051"/>
    </row>
    <row r="54" spans="1:26">
      <c r="A54" s="2037" t="s">
        <v>478</v>
      </c>
      <c r="B54" s="2038">
        <f t="shared" ref="B54:C56" si="260">B53/(1+N53)</f>
        <v>254.44570563753314</v>
      </c>
      <c r="C54" s="2038">
        <f t="shared" si="260"/>
        <v>207.37543398705074</v>
      </c>
      <c r="D54" s="2038">
        <f t="shared" si="246"/>
        <v>207.37543398705074</v>
      </c>
      <c r="E54" s="2038">
        <f t="shared" ref="E54:F56" si="261">E53/(1+P53)</f>
        <v>352.81876655315932</v>
      </c>
      <c r="F54" s="2038">
        <f t="shared" si="261"/>
        <v>190.809968847352</v>
      </c>
      <c r="G54" s="3515">
        <v>2010</v>
      </c>
      <c r="H54" s="2059">
        <v>3</v>
      </c>
      <c r="I54" s="2059">
        <v>4.7300000000000004</v>
      </c>
      <c r="J54" s="2059">
        <v>3.9</v>
      </c>
      <c r="K54" s="2059">
        <v>5.03</v>
      </c>
      <c r="L54" s="2060">
        <v>4.21</v>
      </c>
      <c r="N54" s="2040">
        <f t="shared" si="248"/>
        <v>4.7300000000000002E-2</v>
      </c>
      <c r="O54" s="2025">
        <f t="shared" si="248"/>
        <v>3.9E-2</v>
      </c>
      <c r="P54" s="2025">
        <f t="shared" si="248"/>
        <v>5.0300000000000004E-2</v>
      </c>
      <c r="Q54" s="2025">
        <f t="shared" si="248"/>
        <v>4.2099999999999999E-2</v>
      </c>
      <c r="R54" s="2041"/>
      <c r="S54" s="2040"/>
      <c r="T54" s="2025"/>
      <c r="U54" s="2025"/>
      <c r="V54" s="2025"/>
    </row>
    <row r="55" spans="1:26">
      <c r="A55" s="2037" t="s">
        <v>479</v>
      </c>
      <c r="B55" s="2038">
        <f t="shared" si="260"/>
        <v>242.95398227588385</v>
      </c>
      <c r="C55" s="2038">
        <f t="shared" si="260"/>
        <v>199.59137053614126</v>
      </c>
      <c r="D55" s="2038">
        <f t="shared" si="246"/>
        <v>199.59137053614126</v>
      </c>
      <c r="E55" s="2038">
        <f t="shared" si="261"/>
        <v>335.92189522342125</v>
      </c>
      <c r="F55" s="2038">
        <f t="shared" si="261"/>
        <v>183.10139991109489</v>
      </c>
      <c r="G55" s="3515">
        <v>2010</v>
      </c>
      <c r="H55" s="2048">
        <v>2</v>
      </c>
      <c r="I55" s="2048">
        <v>4.6900000000000004</v>
      </c>
      <c r="J55" s="2048">
        <v>3.55</v>
      </c>
      <c r="K55" s="2048">
        <v>5.07</v>
      </c>
      <c r="L55" s="2049">
        <v>4.2300000000000004</v>
      </c>
      <c r="N55" s="2040">
        <f t="shared" si="248"/>
        <v>4.6900000000000004E-2</v>
      </c>
      <c r="O55" s="2025">
        <f t="shared" si="248"/>
        <v>3.5499999999999997E-2</v>
      </c>
      <c r="P55" s="2025">
        <f t="shared" si="248"/>
        <v>5.0700000000000002E-2</v>
      </c>
      <c r="Q55" s="2025">
        <f t="shared" si="248"/>
        <v>4.2300000000000004E-2</v>
      </c>
      <c r="R55" s="2041"/>
      <c r="S55" s="2040"/>
      <c r="T55" s="2025"/>
      <c r="U55" s="2025"/>
      <c r="V55" s="2025"/>
    </row>
    <row r="56" spans="1:26" ht="13.8" thickBot="1">
      <c r="A56" s="2037" t="s">
        <v>480</v>
      </c>
      <c r="B56" s="2038">
        <f t="shared" si="260"/>
        <v>232.06990378821649</v>
      </c>
      <c r="C56" s="2038">
        <f t="shared" si="260"/>
        <v>192.74878854286936</v>
      </c>
      <c r="D56" s="2038">
        <f t="shared" si="246"/>
        <v>192.74878854286936</v>
      </c>
      <c r="E56" s="2038">
        <f t="shared" si="261"/>
        <v>319.71247284992984</v>
      </c>
      <c r="F56" s="2038">
        <f t="shared" si="261"/>
        <v>175.67053622862409</v>
      </c>
      <c r="G56" s="3516">
        <v>2010</v>
      </c>
      <c r="H56" s="2039">
        <v>1</v>
      </c>
      <c r="I56" s="2039">
        <v>5.4</v>
      </c>
      <c r="J56" s="2039">
        <v>3.2</v>
      </c>
      <c r="K56" s="2039">
        <v>6.16</v>
      </c>
      <c r="L56" s="2043">
        <v>4.51</v>
      </c>
      <c r="N56" s="2040">
        <f t="shared" si="248"/>
        <v>5.4000000000000006E-2</v>
      </c>
      <c r="O56" s="2025">
        <f t="shared" si="248"/>
        <v>3.2000000000000001E-2</v>
      </c>
      <c r="P56" s="2025">
        <f t="shared" si="248"/>
        <v>6.1600000000000002E-2</v>
      </c>
      <c r="Q56" s="2025">
        <f t="shared" si="248"/>
        <v>4.5100000000000001E-2</v>
      </c>
      <c r="R56" s="2041"/>
      <c r="S56" s="2052">
        <f>B56/B57-1</f>
        <v>5.4863199037347599E-2</v>
      </c>
      <c r="T56" s="2053">
        <f>C56/C57-1</f>
        <v>3.0742184721226584E-2</v>
      </c>
      <c r="U56" s="2053">
        <f>E56/E57-1</f>
        <v>6.2167683886810154E-2</v>
      </c>
      <c r="V56" s="2053">
        <f>F56/F57-1</f>
        <v>4.5657953741810031E-2</v>
      </c>
      <c r="X56" s="2025"/>
      <c r="Y56" s="2025"/>
      <c r="Z56" s="2025"/>
    </row>
    <row r="57" spans="1:26" ht="13.8" thickBot="1">
      <c r="A57" s="2037" t="s">
        <v>481</v>
      </c>
      <c r="B57" s="2046">
        <v>220</v>
      </c>
      <c r="C57" s="2046">
        <v>187</v>
      </c>
      <c r="D57" s="2046">
        <f t="shared" si="246"/>
        <v>187</v>
      </c>
      <c r="E57" s="2046">
        <v>301</v>
      </c>
      <c r="F57" s="2047">
        <v>168</v>
      </c>
      <c r="G57" s="3514">
        <v>2009</v>
      </c>
      <c r="H57" s="2054">
        <v>4</v>
      </c>
      <c r="I57" s="2054">
        <v>2.2999999999999998</v>
      </c>
      <c r="J57" s="2054">
        <v>1.04</v>
      </c>
      <c r="K57" s="2054">
        <v>2.84</v>
      </c>
      <c r="L57" s="2055">
        <v>0.67</v>
      </c>
      <c r="N57" s="2056">
        <f t="shared" si="248"/>
        <v>2.3E-2</v>
      </c>
      <c r="O57" s="2057">
        <f t="shared" si="248"/>
        <v>1.04E-2</v>
      </c>
      <c r="P57" s="2057">
        <f t="shared" si="248"/>
        <v>2.8399999999999998E-2</v>
      </c>
      <c r="Q57" s="2057">
        <f t="shared" si="248"/>
        <v>6.7000000000000002E-3</v>
      </c>
      <c r="R57" s="2041"/>
      <c r="S57" s="2050"/>
      <c r="T57" s="2051"/>
      <c r="U57" s="2051"/>
      <c r="V57" s="2051"/>
      <c r="X57" s="2051"/>
      <c r="Y57" s="2051"/>
      <c r="Z57" s="2051"/>
    </row>
    <row r="58" spans="1:26">
      <c r="A58" s="2037" t="s">
        <v>482</v>
      </c>
      <c r="B58" s="2038">
        <f t="shared" ref="B58:C60" si="262">B57/(1+N57)</f>
        <v>215.05376344086022</v>
      </c>
      <c r="C58" s="2038">
        <f t="shared" si="262"/>
        <v>185.0752177355503</v>
      </c>
      <c r="D58" s="2038">
        <f t="shared" si="246"/>
        <v>185.0752177355503</v>
      </c>
      <c r="E58" s="2038">
        <f t="shared" ref="E58:F60" si="263">E57/(1+P57)</f>
        <v>292.68767016725008</v>
      </c>
      <c r="F58" s="2038">
        <f t="shared" si="263"/>
        <v>166.88189132810174</v>
      </c>
      <c r="G58" s="3515">
        <v>2009</v>
      </c>
      <c r="H58" s="2059">
        <v>3</v>
      </c>
      <c r="I58" s="2059">
        <v>2.1</v>
      </c>
      <c r="J58" s="2059">
        <v>1.86</v>
      </c>
      <c r="K58" s="2059">
        <v>2.29</v>
      </c>
      <c r="L58" s="2060">
        <v>0.85</v>
      </c>
      <c r="N58" s="2040">
        <f t="shared" si="248"/>
        <v>2.1000000000000001E-2</v>
      </c>
      <c r="O58" s="2025">
        <f t="shared" si="248"/>
        <v>1.8600000000000002E-2</v>
      </c>
      <c r="P58" s="2025">
        <f t="shared" si="248"/>
        <v>2.29E-2</v>
      </c>
      <c r="Q58" s="2025">
        <f t="shared" si="248"/>
        <v>8.5000000000000006E-3</v>
      </c>
      <c r="R58" s="2041"/>
      <c r="S58" s="2040"/>
      <c r="T58" s="2025"/>
      <c r="U58" s="2025"/>
      <c r="V58" s="2025"/>
    </row>
    <row r="59" spans="1:26">
      <c r="A59" s="2037" t="s">
        <v>483</v>
      </c>
      <c r="B59" s="2038">
        <f t="shared" si="262"/>
        <v>210.630522469011</v>
      </c>
      <c r="C59" s="2038">
        <f t="shared" si="262"/>
        <v>181.69567812247232</v>
      </c>
      <c r="D59" s="2038">
        <f t="shared" si="246"/>
        <v>181.69567812247232</v>
      </c>
      <c r="E59" s="2038">
        <f t="shared" si="263"/>
        <v>286.13517466736738</v>
      </c>
      <c r="F59" s="2038">
        <f t="shared" si="263"/>
        <v>165.47535084591149</v>
      </c>
      <c r="G59" s="3515">
        <v>2009</v>
      </c>
      <c r="H59" s="2048">
        <v>2</v>
      </c>
      <c r="I59" s="2048">
        <v>0.86</v>
      </c>
      <c r="J59" s="2048">
        <v>-1.1299999999999999</v>
      </c>
      <c r="K59" s="2048">
        <v>1.79</v>
      </c>
      <c r="L59" s="2049">
        <v>-2.0699999999999998</v>
      </c>
      <c r="N59" s="2040">
        <f t="shared" si="248"/>
        <v>8.6E-3</v>
      </c>
      <c r="O59" s="2025">
        <f t="shared" si="248"/>
        <v>-1.1299999999999999E-2</v>
      </c>
      <c r="P59" s="2025">
        <f t="shared" si="248"/>
        <v>1.7899999999999999E-2</v>
      </c>
      <c r="Q59" s="2025">
        <f t="shared" si="248"/>
        <v>-2.07E-2</v>
      </c>
      <c r="R59" s="2041"/>
      <c r="S59" s="2040"/>
      <c r="T59" s="2025"/>
      <c r="U59" s="2025"/>
      <c r="V59" s="2025"/>
    </row>
    <row r="60" spans="1:26">
      <c r="A60" s="2037" t="s">
        <v>484</v>
      </c>
      <c r="B60" s="2038">
        <f t="shared" si="262"/>
        <v>208.83454537875372</v>
      </c>
      <c r="C60" s="2038">
        <f t="shared" si="262"/>
        <v>183.77230517090351</v>
      </c>
      <c r="D60" s="2038">
        <f t="shared" si="246"/>
        <v>183.77230517090351</v>
      </c>
      <c r="E60" s="2038">
        <f t="shared" si="263"/>
        <v>281.10342338870947</v>
      </c>
      <c r="F60" s="2038">
        <f t="shared" si="263"/>
        <v>168.97309388942256</v>
      </c>
      <c r="G60" s="3516">
        <v>2009</v>
      </c>
      <c r="H60" s="2039">
        <v>1</v>
      </c>
      <c r="I60" s="2039">
        <v>-2.64</v>
      </c>
      <c r="J60" s="2039">
        <v>-2.5299999999999998</v>
      </c>
      <c r="K60" s="2039">
        <v>-3.02</v>
      </c>
      <c r="L60" s="2043">
        <v>1.52</v>
      </c>
      <c r="N60" s="2052">
        <f t="shared" si="248"/>
        <v>-2.64E-2</v>
      </c>
      <c r="O60" s="2053">
        <f t="shared" si="248"/>
        <v>-2.53E-2</v>
      </c>
      <c r="P60" s="2053">
        <f t="shared" si="248"/>
        <v>-3.0200000000000001E-2</v>
      </c>
      <c r="Q60" s="2053">
        <f t="shared" si="248"/>
        <v>1.52E-2</v>
      </c>
      <c r="R60" s="2041"/>
      <c r="S60" s="2052">
        <f>B60/B61-1</f>
        <v>-2.4137638417038754E-2</v>
      </c>
      <c r="T60" s="2053">
        <f>C60/C61-1</f>
        <v>-2.248773845264096E-2</v>
      </c>
      <c r="U60" s="2053">
        <f>E60/E61-1</f>
        <v>-2.7323794502735366E-2</v>
      </c>
      <c r="V60" s="2053">
        <f>F60/F61-1</f>
        <v>1.7910204153148035E-2</v>
      </c>
      <c r="X60" s="2025"/>
      <c r="Y60" s="2025"/>
      <c r="Z60" s="2025"/>
    </row>
    <row r="61" spans="1:26" ht="13.8" thickBot="1">
      <c r="A61" s="2037" t="s">
        <v>485</v>
      </c>
      <c r="B61" s="2080">
        <v>214</v>
      </c>
      <c r="C61" s="2080">
        <v>188</v>
      </c>
      <c r="D61" s="2080">
        <f t="shared" si="246"/>
        <v>188</v>
      </c>
      <c r="E61" s="2080">
        <v>289</v>
      </c>
      <c r="F61" s="2081">
        <v>166</v>
      </c>
      <c r="G61" s="3514">
        <v>2008</v>
      </c>
      <c r="H61" s="2054">
        <v>4</v>
      </c>
      <c r="I61" s="2054">
        <v>1.73</v>
      </c>
      <c r="J61" s="2054">
        <v>0.03</v>
      </c>
      <c r="K61" s="2054">
        <v>2.59</v>
      </c>
      <c r="L61" s="2055">
        <v>-1.66</v>
      </c>
      <c r="N61" s="2040">
        <f t="shared" si="248"/>
        <v>1.7299999999999999E-2</v>
      </c>
      <c r="O61" s="2025">
        <f t="shared" si="248"/>
        <v>2.9999999999999997E-4</v>
      </c>
      <c r="P61" s="2025">
        <f t="shared" si="248"/>
        <v>2.5899999999999999E-2</v>
      </c>
      <c r="Q61" s="2025">
        <f t="shared" si="248"/>
        <v>-1.66E-2</v>
      </c>
      <c r="R61" s="2041"/>
      <c r="S61" s="2050"/>
      <c r="T61" s="2051"/>
      <c r="U61" s="2051"/>
      <c r="V61" s="2051"/>
      <c r="X61" s="2051"/>
      <c r="Y61" s="2051"/>
      <c r="Z61" s="2051"/>
    </row>
    <row r="62" spans="1:26">
      <c r="A62" s="2037" t="s">
        <v>486</v>
      </c>
      <c r="B62" s="2038">
        <f t="shared" ref="B62:C64" si="264">B61/(1+N61)</f>
        <v>210.36075887152265</v>
      </c>
      <c r="C62" s="2038">
        <f t="shared" si="264"/>
        <v>187.94361691492554</v>
      </c>
      <c r="D62" s="2038">
        <f t="shared" si="246"/>
        <v>187.94361691492554</v>
      </c>
      <c r="E62" s="2038">
        <f t="shared" ref="E62:F64" si="265">E61/(1+P61)</f>
        <v>281.70386977288234</v>
      </c>
      <c r="F62" s="2038">
        <f t="shared" si="265"/>
        <v>168.80211511083994</v>
      </c>
      <c r="G62" s="3515">
        <v>2008</v>
      </c>
      <c r="H62" s="2059">
        <v>3</v>
      </c>
      <c r="I62" s="2059">
        <v>1.96</v>
      </c>
      <c r="J62" s="2059">
        <v>2.36</v>
      </c>
      <c r="K62" s="2059">
        <v>1.82</v>
      </c>
      <c r="L62" s="2060">
        <v>2.2200000000000002</v>
      </c>
      <c r="N62" s="2040">
        <f t="shared" si="248"/>
        <v>1.9599999999999999E-2</v>
      </c>
      <c r="O62" s="2025">
        <f t="shared" si="248"/>
        <v>2.3599999999999999E-2</v>
      </c>
      <c r="P62" s="2025">
        <f t="shared" si="248"/>
        <v>1.8200000000000001E-2</v>
      </c>
      <c r="Q62" s="2025">
        <f t="shared" si="248"/>
        <v>2.2200000000000001E-2</v>
      </c>
      <c r="R62" s="2041"/>
      <c r="S62" s="2040"/>
      <c r="T62" s="2025"/>
      <c r="U62" s="2025"/>
      <c r="V62" s="2025"/>
    </row>
    <row r="63" spans="1:26">
      <c r="A63" s="2037" t="s">
        <v>487</v>
      </c>
      <c r="B63" s="2038">
        <f t="shared" si="264"/>
        <v>206.31694671589116</v>
      </c>
      <c r="C63" s="2038">
        <f t="shared" si="264"/>
        <v>183.61041121036101</v>
      </c>
      <c r="D63" s="2038">
        <f t="shared" si="246"/>
        <v>183.61041121036101</v>
      </c>
      <c r="E63" s="2038">
        <f t="shared" si="265"/>
        <v>276.66850301795557</v>
      </c>
      <c r="F63" s="2038">
        <f t="shared" si="265"/>
        <v>165.1360938278614</v>
      </c>
      <c r="G63" s="3515">
        <v>2008</v>
      </c>
      <c r="H63" s="2048">
        <v>2</v>
      </c>
      <c r="I63" s="2048">
        <v>4.93</v>
      </c>
      <c r="J63" s="2048">
        <v>7.38</v>
      </c>
      <c r="K63" s="2048">
        <v>3.98</v>
      </c>
      <c r="L63" s="2049">
        <v>6.86</v>
      </c>
      <c r="N63" s="2040">
        <f t="shared" si="248"/>
        <v>4.9299999999999997E-2</v>
      </c>
      <c r="O63" s="2025">
        <f t="shared" si="248"/>
        <v>7.3800000000000004E-2</v>
      </c>
      <c r="P63" s="2025">
        <f t="shared" si="248"/>
        <v>3.9800000000000002E-2</v>
      </c>
      <c r="Q63" s="2025">
        <f t="shared" si="248"/>
        <v>6.8600000000000008E-2</v>
      </c>
      <c r="R63" s="2041"/>
      <c r="S63" s="2040"/>
      <c r="T63" s="2025"/>
      <c r="U63" s="2025"/>
      <c r="V63" s="2025"/>
    </row>
    <row r="64" spans="1:26" s="2086" customFormat="1" ht="13.8" thickBot="1">
      <c r="A64" s="2037" t="s">
        <v>488</v>
      </c>
      <c r="B64" s="2083">
        <f t="shared" si="264"/>
        <v>196.62341248059772</v>
      </c>
      <c r="C64" s="2083">
        <f t="shared" si="264"/>
        <v>170.99125648199012</v>
      </c>
      <c r="D64" s="2083">
        <f t="shared" si="246"/>
        <v>170.99125648199012</v>
      </c>
      <c r="E64" s="2083">
        <f t="shared" si="265"/>
        <v>266.07857570490052</v>
      </c>
      <c r="F64" s="2083">
        <f t="shared" si="265"/>
        <v>154.53499328828505</v>
      </c>
      <c r="G64" s="3516">
        <v>2008</v>
      </c>
      <c r="H64" s="2084">
        <v>1</v>
      </c>
      <c r="I64" s="2084">
        <v>4.1399999999999997</v>
      </c>
      <c r="J64" s="2084">
        <v>3.45</v>
      </c>
      <c r="K64" s="2084">
        <v>4.95</v>
      </c>
      <c r="L64" s="2085">
        <v>4.82</v>
      </c>
      <c r="N64" s="2087">
        <f t="shared" si="248"/>
        <v>4.1399999999999999E-2</v>
      </c>
      <c r="O64" s="2088">
        <f t="shared" si="248"/>
        <v>3.4500000000000003E-2</v>
      </c>
      <c r="P64" s="2088">
        <f t="shared" si="248"/>
        <v>4.9500000000000002E-2</v>
      </c>
      <c r="Q64" s="2088">
        <f t="shared" si="248"/>
        <v>4.82E-2</v>
      </c>
      <c r="R64" s="2089"/>
      <c r="S64" s="2087">
        <f>B64/B65-1</f>
        <v>4.5869215322328349E-2</v>
      </c>
      <c r="T64" s="2088">
        <f>C64/C65-1</f>
        <v>3.6310645345394743E-2</v>
      </c>
      <c r="U64" s="2088">
        <f>E64/E65-1</f>
        <v>4.7553447657088688E-2</v>
      </c>
      <c r="V64" s="2088">
        <f>F64/F65-1</f>
        <v>4.4155360055980086E-2</v>
      </c>
      <c r="X64" s="2088"/>
      <c r="Y64" s="2088"/>
      <c r="Z64" s="2088"/>
    </row>
    <row r="65" spans="1:26" ht="13.8" thickBot="1">
      <c r="A65" s="2037" t="s">
        <v>489</v>
      </c>
      <c r="B65" s="2046">
        <v>188</v>
      </c>
      <c r="C65" s="2046">
        <v>165</v>
      </c>
      <c r="D65" s="2046">
        <f t="shared" si="246"/>
        <v>165</v>
      </c>
      <c r="E65" s="2046">
        <v>254</v>
      </c>
      <c r="F65" s="2047">
        <v>148</v>
      </c>
      <c r="G65" s="3514">
        <v>2007</v>
      </c>
      <c r="H65" s="2090">
        <v>4</v>
      </c>
      <c r="I65" s="2090">
        <v>5.51</v>
      </c>
      <c r="J65" s="2090">
        <v>4.8899999999999997</v>
      </c>
      <c r="K65" s="2090">
        <v>6.43</v>
      </c>
      <c r="L65" s="2091">
        <v>5.36</v>
      </c>
      <c r="N65" s="2092">
        <f t="shared" ref="N65:O68" si="266">B65/B66-1</f>
        <v>4.1339718365245526E-2</v>
      </c>
      <c r="O65" s="2093">
        <f t="shared" si="266"/>
        <v>4.0324492593776018E-2</v>
      </c>
      <c r="P65" s="2093">
        <f t="shared" ref="P65:Q68" si="267">E65/E66-1</f>
        <v>6.1625555347990968E-2</v>
      </c>
      <c r="Q65" s="2093">
        <f t="shared" si="267"/>
        <v>4.6757569250590603E-2</v>
      </c>
      <c r="R65" s="2041"/>
      <c r="S65" s="2050"/>
      <c r="T65" s="2051"/>
      <c r="U65" s="2051"/>
      <c r="V65" s="2051"/>
      <c r="X65" s="2051"/>
      <c r="Y65" s="2051"/>
      <c r="Z65" s="2051"/>
    </row>
    <row r="66" spans="1:26">
      <c r="A66" s="2037" t="s">
        <v>490</v>
      </c>
      <c r="B66" s="2038">
        <f t="shared" ref="B66:C68" si="268">B67+(B$65-B$69)*I66/SUM(I$65:I$68)</f>
        <v>180.5366651097618</v>
      </c>
      <c r="C66" s="2038">
        <f t="shared" si="268"/>
        <v>158.60435967302453</v>
      </c>
      <c r="D66" s="2038">
        <f t="shared" si="246"/>
        <v>158.60435967302453</v>
      </c>
      <c r="E66" s="2038">
        <f t="shared" ref="E66:F68" si="269">E67+(E$65-E$69)*K66/SUM(K$65:K$68)</f>
        <v>239.25573260785075</v>
      </c>
      <c r="F66" s="2038">
        <f t="shared" si="269"/>
        <v>141.38899430740037</v>
      </c>
      <c r="G66" s="3515">
        <v>2007</v>
      </c>
      <c r="H66" s="2059">
        <v>3</v>
      </c>
      <c r="I66" s="2059">
        <v>8.65</v>
      </c>
      <c r="J66" s="2059">
        <v>8.06</v>
      </c>
      <c r="K66" s="2059">
        <v>9.94</v>
      </c>
      <c r="L66" s="2060">
        <v>5.8</v>
      </c>
      <c r="N66" s="2092">
        <f t="shared" si="266"/>
        <v>6.940217571740015E-2</v>
      </c>
      <c r="O66" s="2093">
        <f t="shared" si="266"/>
        <v>7.1197482471153428E-2</v>
      </c>
      <c r="P66" s="2093">
        <f t="shared" si="267"/>
        <v>0.10529679922579582</v>
      </c>
      <c r="Q66" s="2093">
        <f t="shared" si="267"/>
        <v>5.3292245059512133E-2</v>
      </c>
      <c r="R66" s="2041"/>
      <c r="S66" s="2040"/>
      <c r="T66" s="2025"/>
      <c r="U66" s="2025"/>
      <c r="V66" s="2025"/>
      <c r="X66" s="2094"/>
      <c r="Y66" s="2094"/>
      <c r="Z66" s="2094"/>
    </row>
    <row r="67" spans="1:26">
      <c r="A67" s="2037" t="s">
        <v>491</v>
      </c>
      <c r="B67" s="2038">
        <f t="shared" si="268"/>
        <v>168.82017748715555</v>
      </c>
      <c r="C67" s="2038">
        <f t="shared" si="268"/>
        <v>148.06267029972753</v>
      </c>
      <c r="D67" s="2038">
        <f t="shared" si="246"/>
        <v>148.06267029972753</v>
      </c>
      <c r="E67" s="2038">
        <f t="shared" si="269"/>
        <v>216.46288379323747</v>
      </c>
      <c r="F67" s="2038">
        <f t="shared" si="269"/>
        <v>134.23529411764704</v>
      </c>
      <c r="G67" s="3515">
        <v>2007</v>
      </c>
      <c r="H67" s="2048">
        <v>2</v>
      </c>
      <c r="I67" s="2048">
        <v>3.67</v>
      </c>
      <c r="J67" s="2048">
        <v>2.3199999999999998</v>
      </c>
      <c r="K67" s="2048">
        <v>5.0199999999999996</v>
      </c>
      <c r="L67" s="2049">
        <v>6.71</v>
      </c>
      <c r="N67" s="2092">
        <f t="shared" si="266"/>
        <v>3.0339138143848032E-2</v>
      </c>
      <c r="O67" s="2093">
        <f t="shared" si="266"/>
        <v>2.0922341588790472E-2</v>
      </c>
      <c r="P67" s="2093">
        <f t="shared" si="267"/>
        <v>5.6164796592717003E-2</v>
      </c>
      <c r="Q67" s="2093">
        <f t="shared" si="267"/>
        <v>6.5704536723887319E-2</v>
      </c>
      <c r="R67" s="2041"/>
      <c r="S67" s="2040"/>
      <c r="T67" s="2025"/>
      <c r="U67" s="2025"/>
      <c r="V67" s="2025"/>
      <c r="X67" s="2094"/>
      <c r="Y67" s="2094"/>
      <c r="Z67" s="2094"/>
    </row>
    <row r="68" spans="1:26">
      <c r="A68" s="2037" t="s">
        <v>492</v>
      </c>
      <c r="B68" s="2038">
        <f t="shared" si="268"/>
        <v>163.84913591779542</v>
      </c>
      <c r="C68" s="2038">
        <f t="shared" si="268"/>
        <v>145.0283378746594</v>
      </c>
      <c r="D68" s="2038">
        <f t="shared" si="246"/>
        <v>145.0283378746594</v>
      </c>
      <c r="E68" s="2038">
        <f t="shared" si="269"/>
        <v>204.95180722891567</v>
      </c>
      <c r="F68" s="2038">
        <f t="shared" si="269"/>
        <v>125.95920303605313</v>
      </c>
      <c r="G68" s="3516">
        <v>2007</v>
      </c>
      <c r="H68" s="2039">
        <v>1</v>
      </c>
      <c r="I68" s="2039">
        <v>3.58</v>
      </c>
      <c r="J68" s="2039">
        <v>3.08</v>
      </c>
      <c r="K68" s="2039">
        <v>4.34</v>
      </c>
      <c r="L68" s="2043">
        <v>3.21</v>
      </c>
      <c r="N68" s="2095">
        <f t="shared" si="266"/>
        <v>3.0497710174814063E-2</v>
      </c>
      <c r="O68" s="2096">
        <f t="shared" si="266"/>
        <v>2.8569772160704998E-2</v>
      </c>
      <c r="P68" s="2096">
        <f t="shared" si="267"/>
        <v>5.1034908866234296E-2</v>
      </c>
      <c r="Q68" s="2096">
        <f t="shared" si="267"/>
        <v>3.245248390207478E-2</v>
      </c>
      <c r="R68" s="2041"/>
      <c r="S68" s="2052">
        <f>B68/B69-1</f>
        <v>3.0497710174814063E-2</v>
      </c>
      <c r="T68" s="2053">
        <f>C68/C69-1</f>
        <v>2.8569772160704998E-2</v>
      </c>
      <c r="U68" s="2053">
        <f>E68/E69-1</f>
        <v>5.1034908866234296E-2</v>
      </c>
      <c r="V68" s="2053">
        <f>F68/F69-1</f>
        <v>3.245248390207478E-2</v>
      </c>
      <c r="X68" s="2094"/>
      <c r="Y68" s="2094"/>
      <c r="Z68" s="2094"/>
    </row>
    <row r="69" spans="1:26" ht="13.8" thickBot="1">
      <c r="A69" s="2037" t="s">
        <v>493</v>
      </c>
      <c r="B69" s="2061">
        <v>159</v>
      </c>
      <c r="C69" s="2061">
        <v>141</v>
      </c>
      <c r="D69" s="2061">
        <f t="shared" si="246"/>
        <v>141</v>
      </c>
      <c r="E69" s="2061">
        <v>195</v>
      </c>
      <c r="F69" s="2062">
        <v>122</v>
      </c>
      <c r="G69" s="3514">
        <v>2006</v>
      </c>
      <c r="H69" s="2054">
        <v>4</v>
      </c>
      <c r="I69" s="2054">
        <v>3.79</v>
      </c>
      <c r="J69" s="2054">
        <v>2.21</v>
      </c>
      <c r="K69" s="2054">
        <v>5.65</v>
      </c>
      <c r="L69" s="2055">
        <v>5.41</v>
      </c>
      <c r="N69" s="2092">
        <f t="shared" ref="N69:O72" si="270">I69/SUM(I$69:I$72)*(B$69/B$73-1)</f>
        <v>7.245466462748526E-2</v>
      </c>
      <c r="O69" s="2093">
        <f t="shared" si="270"/>
        <v>2.3237230038062766E-2</v>
      </c>
      <c r="P69" s="2093">
        <f t="shared" ref="P69:Q72" si="271">K69/SUM(K$69:K$72)*(E$69/E$73-1)</f>
        <v>0.16146893866323722</v>
      </c>
      <c r="Q69" s="2093">
        <f t="shared" si="271"/>
        <v>5.0755230321793784E-2</v>
      </c>
      <c r="R69" s="2041"/>
      <c r="S69" s="2050"/>
      <c r="T69" s="2051"/>
      <c r="U69" s="2051"/>
      <c r="V69" s="2051"/>
      <c r="X69" s="2094"/>
      <c r="Y69" s="2094"/>
      <c r="Z69" s="2094"/>
    </row>
    <row r="70" spans="1:26">
      <c r="A70" s="2037" t="s">
        <v>494</v>
      </c>
      <c r="B70" s="2038">
        <f t="shared" ref="B70:C72" si="272">B71+(B$69-B$73)*I70/SUM(I$69:I$72)</f>
        <v>149.00125628140702</v>
      </c>
      <c r="C70" s="2038">
        <f t="shared" si="272"/>
        <v>137.95592286501378</v>
      </c>
      <c r="D70" s="2038">
        <f t="shared" si="246"/>
        <v>137.95592286501378</v>
      </c>
      <c r="E70" s="2038">
        <f t="shared" ref="E70:F72" si="273">E71+(E$69-E$73)*K70/SUM(K$69:K$72)</f>
        <v>169.97231450719823</v>
      </c>
      <c r="F70" s="2038">
        <f t="shared" si="273"/>
        <v>116.21390374331551</v>
      </c>
      <c r="G70" s="3515">
        <v>2006</v>
      </c>
      <c r="H70" s="2059">
        <v>3</v>
      </c>
      <c r="I70" s="2059">
        <v>0.92</v>
      </c>
      <c r="J70" s="2059">
        <v>1.08</v>
      </c>
      <c r="K70" s="2059">
        <v>0.73</v>
      </c>
      <c r="L70" s="2060">
        <v>1.08</v>
      </c>
      <c r="N70" s="2092">
        <f t="shared" si="270"/>
        <v>1.7587939698492462E-2</v>
      </c>
      <c r="O70" s="2093">
        <f t="shared" si="270"/>
        <v>1.1355750425840628E-2</v>
      </c>
      <c r="P70" s="2093">
        <f t="shared" si="271"/>
        <v>2.0862358446754544E-2</v>
      </c>
      <c r="Q70" s="2093">
        <f t="shared" si="271"/>
        <v>1.0132282578103011E-2</v>
      </c>
      <c r="R70" s="2041"/>
      <c r="S70" s="2040"/>
      <c r="T70" s="2025"/>
      <c r="U70" s="2025"/>
      <c r="V70" s="2025"/>
      <c r="X70" s="2094"/>
      <c r="Y70" s="2094"/>
      <c r="Z70" s="2094"/>
    </row>
    <row r="71" spans="1:26">
      <c r="A71" s="2037" t="s">
        <v>495</v>
      </c>
      <c r="B71" s="2038">
        <f t="shared" si="272"/>
        <v>146.57412060301507</v>
      </c>
      <c r="C71" s="2038">
        <f t="shared" si="272"/>
        <v>136.46831955922866</v>
      </c>
      <c r="D71" s="2038">
        <f t="shared" si="246"/>
        <v>136.46831955922866</v>
      </c>
      <c r="E71" s="2038">
        <f t="shared" si="273"/>
        <v>166.73864894795128</v>
      </c>
      <c r="F71" s="2038">
        <f t="shared" si="273"/>
        <v>115.05882352941177</v>
      </c>
      <c r="G71" s="3515">
        <v>2006</v>
      </c>
      <c r="H71" s="2048">
        <v>2</v>
      </c>
      <c r="I71" s="2048">
        <v>0.96</v>
      </c>
      <c r="J71" s="2048">
        <v>0.25</v>
      </c>
      <c r="K71" s="2048">
        <v>1.9</v>
      </c>
      <c r="L71" s="2049">
        <v>0.95</v>
      </c>
      <c r="N71" s="2092">
        <f t="shared" si="270"/>
        <v>1.8352632728861701E-2</v>
      </c>
      <c r="O71" s="2093">
        <f t="shared" si="270"/>
        <v>2.6286459319075526E-3</v>
      </c>
      <c r="P71" s="2093">
        <f t="shared" si="271"/>
        <v>5.4299289107991269E-2</v>
      </c>
      <c r="Q71" s="2093">
        <f t="shared" si="271"/>
        <v>8.9126559714794995E-3</v>
      </c>
      <c r="R71" s="2041"/>
      <c r="S71" s="2040"/>
      <c r="T71" s="2025"/>
      <c r="U71" s="2025"/>
      <c r="V71" s="2025"/>
      <c r="X71" s="2094"/>
      <c r="Y71" s="2094"/>
      <c r="Z71" s="2094"/>
    </row>
    <row r="72" spans="1:26">
      <c r="A72" s="2037" t="s">
        <v>496</v>
      </c>
      <c r="B72" s="2038">
        <f t="shared" si="272"/>
        <v>144.04145728643215</v>
      </c>
      <c r="C72" s="2038">
        <f t="shared" si="272"/>
        <v>136.12396694214877</v>
      </c>
      <c r="D72" s="2038">
        <f t="shared" si="246"/>
        <v>136.12396694214877</v>
      </c>
      <c r="E72" s="2038">
        <f t="shared" si="273"/>
        <v>158.32225913621264</v>
      </c>
      <c r="F72" s="2038">
        <f t="shared" si="273"/>
        <v>114.04278074866311</v>
      </c>
      <c r="G72" s="3516">
        <v>2006</v>
      </c>
      <c r="H72" s="2039">
        <v>1</v>
      </c>
      <c r="I72" s="2039">
        <v>2.29</v>
      </c>
      <c r="J72" s="2039">
        <v>3.72</v>
      </c>
      <c r="K72" s="2039">
        <v>0.75</v>
      </c>
      <c r="L72" s="2043">
        <v>0.04</v>
      </c>
      <c r="N72" s="2095">
        <f t="shared" si="270"/>
        <v>4.3778675988638847E-2</v>
      </c>
      <c r="O72" s="2096">
        <f t="shared" si="270"/>
        <v>3.9114251466784385E-2</v>
      </c>
      <c r="P72" s="2096">
        <f t="shared" si="271"/>
        <v>2.1433929911049188E-2</v>
      </c>
      <c r="Q72" s="2096">
        <f t="shared" si="271"/>
        <v>3.7526972511492629E-4</v>
      </c>
      <c r="R72" s="2041"/>
      <c r="S72" s="2052">
        <f>B72/B73-1</f>
        <v>4.3778675988638716E-2</v>
      </c>
      <c r="T72" s="2053">
        <f>C72/C73-1</f>
        <v>3.91142514667846E-2</v>
      </c>
      <c r="U72" s="2053">
        <f>E72/E73-1</f>
        <v>2.143392991104931E-2</v>
      </c>
      <c r="V72" s="2053">
        <f>F72/F73-1</f>
        <v>3.7526972511492396E-4</v>
      </c>
      <c r="X72" s="2094"/>
      <c r="Y72" s="2094"/>
      <c r="Z72" s="2094"/>
    </row>
    <row r="73" spans="1:26" ht="13.8" thickBot="1">
      <c r="A73" s="2037" t="s">
        <v>497</v>
      </c>
      <c r="B73" s="2061">
        <v>138</v>
      </c>
      <c r="C73" s="2061">
        <v>131</v>
      </c>
      <c r="D73" s="2061">
        <f t="shared" si="246"/>
        <v>131</v>
      </c>
      <c r="E73" s="2061">
        <v>155</v>
      </c>
      <c r="F73" s="2062">
        <v>114</v>
      </c>
      <c r="G73" s="3514">
        <v>2005</v>
      </c>
      <c r="H73" s="2054">
        <v>4</v>
      </c>
      <c r="I73" s="2054">
        <v>3.29</v>
      </c>
      <c r="J73" s="2054">
        <v>1.44</v>
      </c>
      <c r="K73" s="2054">
        <v>0.66</v>
      </c>
      <c r="L73" s="2055">
        <v>7.78</v>
      </c>
      <c r="N73" s="2092">
        <f t="shared" ref="N73:O76" si="274">I73/SUM(I$73:I$76)*(B$73/B$77-1)</f>
        <v>9.9404603216919935E-2</v>
      </c>
      <c r="O73" s="2093">
        <f t="shared" si="274"/>
        <v>4.7636550760861554E-2</v>
      </c>
      <c r="P73" s="2093">
        <f t="shared" ref="P73:Q76" si="275">K73/SUM(K$73:K$76)*(E$73/E$77-1)</f>
        <v>8.3756345177664976E-2</v>
      </c>
      <c r="Q73" s="2093">
        <f t="shared" si="275"/>
        <v>5.2148766661559584E-2</v>
      </c>
      <c r="R73" s="2041"/>
      <c r="S73" s="2050"/>
      <c r="T73" s="2051"/>
      <c r="U73" s="2051"/>
      <c r="V73" s="2051"/>
      <c r="X73" s="2094"/>
      <c r="Y73" s="2094"/>
      <c r="Z73" s="2094"/>
    </row>
    <row r="74" spans="1:26">
      <c r="A74" s="2037" t="s">
        <v>498</v>
      </c>
      <c r="B74" s="2038">
        <f t="shared" ref="B74:C76" si="276">B75+(B$73-B$77)*I74/SUM(I$73:I$76)</f>
        <v>125.9720430107527</v>
      </c>
      <c r="C74" s="2038">
        <f t="shared" si="276"/>
        <v>125.1883408071749</v>
      </c>
      <c r="D74" s="2038">
        <f t="shared" si="246"/>
        <v>125.1883408071749</v>
      </c>
      <c r="E74" s="2038">
        <f t="shared" ref="E74:F76" si="277">E75+(E$73-E$77)*K74/SUM(K$73:K$76)</f>
        <v>144.61421319796952</v>
      </c>
      <c r="F74" s="2038">
        <f t="shared" si="277"/>
        <v>108.42008196721311</v>
      </c>
      <c r="G74" s="3515">
        <v>2005</v>
      </c>
      <c r="H74" s="2059">
        <v>3</v>
      </c>
      <c r="I74" s="2059">
        <v>0.46</v>
      </c>
      <c r="J74" s="2059">
        <v>0.32</v>
      </c>
      <c r="K74" s="2059">
        <v>0.42</v>
      </c>
      <c r="L74" s="2060">
        <v>0.64</v>
      </c>
      <c r="N74" s="2092">
        <f t="shared" si="274"/>
        <v>1.3898515951301874E-2</v>
      </c>
      <c r="O74" s="2093">
        <f t="shared" si="274"/>
        <v>1.0585900169080346E-2</v>
      </c>
      <c r="P74" s="2093">
        <f t="shared" si="275"/>
        <v>5.3299492385786795E-2</v>
      </c>
      <c r="Q74" s="2093">
        <f t="shared" si="275"/>
        <v>4.2898728359123568E-3</v>
      </c>
      <c r="R74" s="2041"/>
      <c r="S74" s="2040"/>
      <c r="T74" s="2025"/>
      <c r="U74" s="2025"/>
      <c r="V74" s="2025"/>
      <c r="X74" s="2094"/>
      <c r="Y74" s="2094"/>
      <c r="Z74" s="2094"/>
    </row>
    <row r="75" spans="1:26">
      <c r="A75" s="2037" t="s">
        <v>499</v>
      </c>
      <c r="B75" s="2038">
        <f t="shared" si="276"/>
        <v>124.29032258064517</v>
      </c>
      <c r="C75" s="2038">
        <f t="shared" si="276"/>
        <v>123.8968609865471</v>
      </c>
      <c r="D75" s="2038">
        <f t="shared" si="246"/>
        <v>123.8968609865471</v>
      </c>
      <c r="E75" s="2038">
        <f t="shared" si="277"/>
        <v>138.00507614213197</v>
      </c>
      <c r="F75" s="2038">
        <f t="shared" si="277"/>
        <v>107.96106557377048</v>
      </c>
      <c r="G75" s="3515">
        <v>2005</v>
      </c>
      <c r="H75" s="2048">
        <v>2</v>
      </c>
      <c r="I75" s="2048">
        <v>0.47</v>
      </c>
      <c r="J75" s="2048">
        <v>0.1</v>
      </c>
      <c r="K75" s="2048">
        <v>0.52</v>
      </c>
      <c r="L75" s="2049">
        <v>0.79</v>
      </c>
      <c r="N75" s="2092">
        <f t="shared" si="274"/>
        <v>1.420065760241713E-2</v>
      </c>
      <c r="O75" s="2093">
        <f t="shared" si="274"/>
        <v>3.3080938028376083E-3</v>
      </c>
      <c r="P75" s="2093">
        <f t="shared" si="275"/>
        <v>6.598984771573603E-2</v>
      </c>
      <c r="Q75" s="2093">
        <f t="shared" si="275"/>
        <v>5.2953117818293153E-3</v>
      </c>
      <c r="R75" s="2041"/>
      <c r="S75" s="2040"/>
      <c r="T75" s="2025"/>
      <c r="U75" s="2025"/>
      <c r="V75" s="2025"/>
      <c r="X75" s="2094"/>
      <c r="Y75" s="2094"/>
      <c r="Z75" s="2094"/>
    </row>
    <row r="76" spans="1:26">
      <c r="A76" s="2037" t="s">
        <v>500</v>
      </c>
      <c r="B76" s="2038">
        <f t="shared" si="276"/>
        <v>122.57204301075269</v>
      </c>
      <c r="C76" s="2038">
        <f t="shared" si="276"/>
        <v>123.4932735426009</v>
      </c>
      <c r="D76" s="2038">
        <f t="shared" si="246"/>
        <v>123.4932735426009</v>
      </c>
      <c r="E76" s="2038">
        <f t="shared" si="277"/>
        <v>129.82233502538071</v>
      </c>
      <c r="F76" s="2038">
        <f t="shared" si="277"/>
        <v>107.39446721311475</v>
      </c>
      <c r="G76" s="3516">
        <v>2005</v>
      </c>
      <c r="H76" s="2039">
        <v>1</v>
      </c>
      <c r="I76" s="2039">
        <v>0.43</v>
      </c>
      <c r="J76" s="2039">
        <v>0.37</v>
      </c>
      <c r="K76" s="2039">
        <v>0.37</v>
      </c>
      <c r="L76" s="2043">
        <v>0.55000000000000004</v>
      </c>
      <c r="N76" s="2095">
        <f t="shared" si="274"/>
        <v>1.2992090997956099E-2</v>
      </c>
      <c r="O76" s="2096">
        <f t="shared" si="274"/>
        <v>1.2239947070499151E-2</v>
      </c>
      <c r="P76" s="2096">
        <f t="shared" si="275"/>
        <v>4.6954314720812178E-2</v>
      </c>
      <c r="Q76" s="2096">
        <f t="shared" si="275"/>
        <v>3.6866094683621815E-3</v>
      </c>
      <c r="R76" s="2041"/>
      <c r="S76" s="2052">
        <f>B76/B77-1</f>
        <v>1.2992090997956174E-2</v>
      </c>
      <c r="T76" s="2053">
        <f>C76/C77-1</f>
        <v>1.2239947070499246E-2</v>
      </c>
      <c r="U76" s="2053">
        <f>E76/E77-1</f>
        <v>4.695431472081224E-2</v>
      </c>
      <c r="V76" s="2053">
        <f>F76/F77-1</f>
        <v>3.6866094683620787E-3</v>
      </c>
      <c r="X76" s="2094"/>
      <c r="Y76" s="2094"/>
      <c r="Z76" s="2094"/>
    </row>
    <row r="77" spans="1:26" ht="13.8" thickBot="1">
      <c r="A77" s="2037" t="s">
        <v>501</v>
      </c>
      <c r="B77" s="2080">
        <v>121</v>
      </c>
      <c r="C77" s="2080">
        <v>122</v>
      </c>
      <c r="D77" s="2080">
        <f t="shared" si="246"/>
        <v>122</v>
      </c>
      <c r="E77" s="2080">
        <v>124</v>
      </c>
      <c r="F77" s="2081">
        <v>107</v>
      </c>
      <c r="G77" s="3514">
        <v>2004</v>
      </c>
      <c r="H77" s="2054">
        <v>4</v>
      </c>
      <c r="I77" s="2054">
        <v>0.33</v>
      </c>
      <c r="J77" s="2054">
        <v>0.5</v>
      </c>
      <c r="K77" s="2054">
        <v>0.5</v>
      </c>
      <c r="L77" s="2055">
        <v>0</v>
      </c>
      <c r="N77" s="2092">
        <f t="shared" ref="N77:O80" si="278">I77/SUM(I$77:I$80)*(B$77/B$81-1)</f>
        <v>1.3391770148526898E-2</v>
      </c>
      <c r="O77" s="2093">
        <f t="shared" si="278"/>
        <v>1.063264221158958E-2</v>
      </c>
      <c r="P77" s="2093">
        <f t="shared" ref="P77:Q80" si="279">K77/SUM(K$77:K$80)*(E$77/E$81-1)</f>
        <v>2.2244466688911134E-2</v>
      </c>
      <c r="Q77" s="2093">
        <f t="shared" si="279"/>
        <v>0</v>
      </c>
      <c r="R77" s="2041"/>
      <c r="S77" s="2050"/>
      <c r="T77" s="2051"/>
      <c r="U77" s="2051"/>
      <c r="V77" s="2051"/>
      <c r="X77" s="2094"/>
      <c r="Y77" s="2094"/>
      <c r="Z77" s="2094"/>
    </row>
    <row r="78" spans="1:26">
      <c r="A78" s="2037" t="s">
        <v>502</v>
      </c>
      <c r="B78" s="2038">
        <f t="shared" ref="B78:C80" si="280">B79+(B$77-B$81)*I78/SUM(I$77:I$80)</f>
        <v>119.51351351351352</v>
      </c>
      <c r="C78" s="2038">
        <f t="shared" si="280"/>
        <v>120.7878787878788</v>
      </c>
      <c r="D78" s="2038">
        <f t="shared" si="246"/>
        <v>120.7878787878788</v>
      </c>
      <c r="E78" s="2038">
        <f t="shared" ref="E78:F80" si="281">E79+(E$77-E$81)*K78/SUM(K$77:K$80)</f>
        <v>121.5975975975976</v>
      </c>
      <c r="F78" s="2038">
        <f t="shared" si="281"/>
        <v>107</v>
      </c>
      <c r="G78" s="3515">
        <v>2004</v>
      </c>
      <c r="H78" s="2059">
        <v>3</v>
      </c>
      <c r="I78" s="2059">
        <v>0.56000000000000005</v>
      </c>
      <c r="J78" s="2059">
        <v>0.8</v>
      </c>
      <c r="K78" s="2059">
        <v>0.83</v>
      </c>
      <c r="L78" s="2060">
        <v>0.06</v>
      </c>
      <c r="N78" s="2092">
        <f t="shared" si="278"/>
        <v>2.2725428130833527E-2</v>
      </c>
      <c r="O78" s="2093">
        <f t="shared" si="278"/>
        <v>1.7012227538543329E-2</v>
      </c>
      <c r="P78" s="2093">
        <f t="shared" si="279"/>
        <v>3.6925814703592477E-2</v>
      </c>
      <c r="Q78" s="2093">
        <f t="shared" si="279"/>
        <v>2.8846153846153744E-2</v>
      </c>
      <c r="R78" s="2041"/>
      <c r="S78" s="2040"/>
      <c r="T78" s="2025"/>
      <c r="U78" s="2025"/>
      <c r="V78" s="2025"/>
      <c r="X78" s="2094"/>
      <c r="Y78" s="2094"/>
      <c r="Z78" s="2094"/>
    </row>
    <row r="79" spans="1:26">
      <c r="A79" s="2037" t="s">
        <v>503</v>
      </c>
      <c r="B79" s="2038">
        <f t="shared" si="280"/>
        <v>116.99099099099099</v>
      </c>
      <c r="C79" s="2038">
        <f t="shared" si="280"/>
        <v>118.84848484848486</v>
      </c>
      <c r="D79" s="2038">
        <f t="shared" si="246"/>
        <v>118.84848484848486</v>
      </c>
      <c r="E79" s="2038">
        <f t="shared" si="281"/>
        <v>117.60960960960961</v>
      </c>
      <c r="F79" s="2038">
        <f t="shared" si="281"/>
        <v>104</v>
      </c>
      <c r="G79" s="3515">
        <v>2004</v>
      </c>
      <c r="H79" s="2048">
        <v>2</v>
      </c>
      <c r="I79" s="2048">
        <v>1</v>
      </c>
      <c r="J79" s="2048">
        <v>1.5</v>
      </c>
      <c r="K79" s="2048">
        <v>1.5</v>
      </c>
      <c r="L79" s="2049">
        <v>0</v>
      </c>
      <c r="N79" s="2092">
        <f t="shared" si="278"/>
        <v>4.0581121662202721E-2</v>
      </c>
      <c r="O79" s="2093">
        <f t="shared" si="278"/>
        <v>3.1897926634768738E-2</v>
      </c>
      <c r="P79" s="2093">
        <f t="shared" si="279"/>
        <v>6.6733400066733395E-2</v>
      </c>
      <c r="Q79" s="2093">
        <f t="shared" si="279"/>
        <v>0</v>
      </c>
      <c r="R79" s="2041"/>
      <c r="S79" s="2040"/>
      <c r="T79" s="2025"/>
      <c r="U79" s="2025"/>
      <c r="V79" s="2025"/>
      <c r="X79" s="2094"/>
      <c r="Y79" s="2094"/>
      <c r="Z79" s="2094"/>
    </row>
    <row r="80" spans="1:26" s="2086" customFormat="1" ht="13.8" thickBot="1">
      <c r="A80" s="2037" t="s">
        <v>504</v>
      </c>
      <c r="B80" s="2083">
        <f t="shared" si="280"/>
        <v>112.48648648648648</v>
      </c>
      <c r="C80" s="2083">
        <f t="shared" si="280"/>
        <v>115.21212121212122</v>
      </c>
      <c r="D80" s="2083">
        <f t="shared" si="246"/>
        <v>115.21212121212122</v>
      </c>
      <c r="E80" s="2083">
        <f t="shared" si="281"/>
        <v>110.4024024024024</v>
      </c>
      <c r="F80" s="2083">
        <f t="shared" si="281"/>
        <v>104</v>
      </c>
      <c r="G80" s="3516">
        <v>2004</v>
      </c>
      <c r="H80" s="2084">
        <v>1</v>
      </c>
      <c r="I80" s="2084">
        <v>0.33</v>
      </c>
      <c r="J80" s="2084">
        <v>0.5</v>
      </c>
      <c r="K80" s="2084">
        <v>0.5</v>
      </c>
      <c r="L80" s="2085">
        <v>0</v>
      </c>
      <c r="N80" s="2097">
        <f t="shared" si="278"/>
        <v>1.3391770148526898E-2</v>
      </c>
      <c r="O80" s="2098">
        <f t="shared" si="278"/>
        <v>1.063264221158958E-2</v>
      </c>
      <c r="P80" s="2098">
        <f t="shared" si="279"/>
        <v>2.2244466688911134E-2</v>
      </c>
      <c r="Q80" s="2098">
        <f t="shared" si="279"/>
        <v>0</v>
      </c>
      <c r="R80" s="2089"/>
      <c r="S80" s="2087">
        <f>B80/B81-1</f>
        <v>1.3391770148526883E-2</v>
      </c>
      <c r="T80" s="2088">
        <f>C80/C81-1</f>
        <v>1.063264221158966E-2</v>
      </c>
      <c r="U80" s="2088">
        <f>E80/E81-1</f>
        <v>2.2244466688911224E-2</v>
      </c>
      <c r="V80" s="2088">
        <f>F80/F81-1</f>
        <v>0</v>
      </c>
      <c r="X80" s="2099"/>
      <c r="Y80" s="2099"/>
      <c r="Z80" s="2099"/>
    </row>
    <row r="81" spans="1:26" ht="13.8" thickBot="1">
      <c r="A81" s="2037" t="s">
        <v>505</v>
      </c>
      <c r="B81" s="2100">
        <v>111</v>
      </c>
      <c r="C81" s="2100">
        <v>114</v>
      </c>
      <c r="D81" s="2100">
        <f t="shared" si="246"/>
        <v>114</v>
      </c>
      <c r="E81" s="2100">
        <v>108</v>
      </c>
      <c r="F81" s="2101">
        <v>104</v>
      </c>
      <c r="G81" s="3514">
        <v>2003</v>
      </c>
      <c r="H81" s="2090">
        <v>4</v>
      </c>
      <c r="I81" s="2102"/>
      <c r="J81" s="2102"/>
      <c r="K81" s="2102"/>
      <c r="L81" s="2102"/>
      <c r="N81" s="2103"/>
      <c r="O81" s="2102"/>
      <c r="P81" s="2102"/>
      <c r="Q81" s="2102"/>
      <c r="S81" s="2103"/>
      <c r="T81" s="2102"/>
      <c r="U81" s="2102"/>
      <c r="V81" s="2102"/>
      <c r="X81" s="2094"/>
      <c r="Y81" s="2094"/>
      <c r="Z81" s="2094"/>
    </row>
    <row r="82" spans="1:26">
      <c r="A82" s="2037" t="s">
        <v>506</v>
      </c>
      <c r="B82" s="2104">
        <f t="shared" ref="B82:C84" si="282">B83+(B$81-B$85)/4</f>
        <v>109.75</v>
      </c>
      <c r="C82" s="2104">
        <f t="shared" si="282"/>
        <v>112.25</v>
      </c>
      <c r="D82" s="2104">
        <f t="shared" si="246"/>
        <v>112.25</v>
      </c>
      <c r="E82" s="2104">
        <f t="shared" ref="E82:F84" si="283">E83+(E$81-E$85)/4</f>
        <v>107.25</v>
      </c>
      <c r="F82" s="2104">
        <f t="shared" si="283"/>
        <v>103.5</v>
      </c>
      <c r="G82" s="3515">
        <v>2003</v>
      </c>
      <c r="H82" s="2059">
        <v>3</v>
      </c>
      <c r="I82" s="2102"/>
      <c r="J82" s="2102"/>
      <c r="K82" s="2102"/>
      <c r="L82" s="2102"/>
      <c r="X82" s="2094"/>
      <c r="Y82" s="2094"/>
      <c r="Z82" s="2094"/>
    </row>
    <row r="83" spans="1:26">
      <c r="A83" s="2037" t="s">
        <v>507</v>
      </c>
      <c r="B83" s="2104">
        <f t="shared" si="282"/>
        <v>108.5</v>
      </c>
      <c r="C83" s="2104">
        <f t="shared" si="282"/>
        <v>110.5</v>
      </c>
      <c r="D83" s="2104">
        <f t="shared" si="246"/>
        <v>110.5</v>
      </c>
      <c r="E83" s="2104">
        <f t="shared" si="283"/>
        <v>106.5</v>
      </c>
      <c r="F83" s="2104">
        <f t="shared" si="283"/>
        <v>103</v>
      </c>
      <c r="G83" s="3515">
        <v>2003</v>
      </c>
      <c r="H83" s="2048">
        <v>2</v>
      </c>
      <c r="I83" s="2102"/>
      <c r="J83" s="2102"/>
      <c r="K83" s="2102"/>
      <c r="L83" s="2102"/>
      <c r="X83" s="2094"/>
      <c r="Y83" s="2094"/>
      <c r="Z83" s="2094"/>
    </row>
    <row r="84" spans="1:26" ht="13.8" thickBot="1">
      <c r="A84" s="2037" t="s">
        <v>508</v>
      </c>
      <c r="B84" s="2104">
        <f t="shared" si="282"/>
        <v>107.25</v>
      </c>
      <c r="C84" s="2104">
        <f t="shared" si="282"/>
        <v>108.75</v>
      </c>
      <c r="D84" s="2104">
        <f t="shared" si="246"/>
        <v>108.75</v>
      </c>
      <c r="E84" s="2104">
        <f t="shared" si="283"/>
        <v>105.75</v>
      </c>
      <c r="F84" s="2104">
        <f t="shared" si="283"/>
        <v>102.5</v>
      </c>
      <c r="G84" s="3516">
        <v>2003</v>
      </c>
      <c r="H84" s="2105">
        <v>1</v>
      </c>
      <c r="I84" s="2102"/>
      <c r="J84" s="2102"/>
      <c r="K84" s="2102"/>
      <c r="L84" s="2102"/>
      <c r="S84" s="2040"/>
      <c r="T84" s="2025"/>
      <c r="U84" s="2025"/>
      <c r="X84" s="2094"/>
      <c r="Y84" s="2094"/>
      <c r="Z84" s="2094"/>
    </row>
    <row r="85" spans="1:26" ht="13.8" thickBot="1">
      <c r="A85" s="2037" t="s">
        <v>509</v>
      </c>
      <c r="B85" s="2106">
        <v>106</v>
      </c>
      <c r="C85" s="2106">
        <v>107</v>
      </c>
      <c r="D85" s="2106">
        <f t="shared" si="246"/>
        <v>107</v>
      </c>
      <c r="E85" s="2106">
        <v>105</v>
      </c>
      <c r="F85" s="2107">
        <v>102</v>
      </c>
      <c r="G85" s="3514">
        <v>2002</v>
      </c>
      <c r="H85" s="2054">
        <v>4</v>
      </c>
      <c r="I85" s="2102"/>
      <c r="J85" s="2102"/>
      <c r="K85" s="2102"/>
      <c r="L85" s="2102"/>
      <c r="N85" s="2103"/>
      <c r="O85" s="2102"/>
      <c r="P85" s="2102"/>
      <c r="Q85" s="2102"/>
      <c r="S85" s="2103"/>
      <c r="T85" s="2102"/>
      <c r="U85" s="2102"/>
      <c r="V85" s="2102"/>
      <c r="X85" s="2094"/>
      <c r="Y85" s="2094"/>
      <c r="Z85" s="2094"/>
    </row>
    <row r="86" spans="1:26">
      <c r="A86" s="2037" t="s">
        <v>510</v>
      </c>
      <c r="B86" s="2104">
        <f t="shared" ref="B86:C88" si="284">B87+(B$85-B$89)/4</f>
        <v>105</v>
      </c>
      <c r="C86" s="2104">
        <f t="shared" si="284"/>
        <v>106</v>
      </c>
      <c r="D86" s="2104">
        <f t="shared" si="246"/>
        <v>106</v>
      </c>
      <c r="E86" s="2104">
        <f t="shared" ref="E86:F88" si="285">E87+(E$85-E$89)/4</f>
        <v>104.5</v>
      </c>
      <c r="F86" s="2104">
        <f t="shared" si="285"/>
        <v>101.5</v>
      </c>
      <c r="G86" s="3515">
        <v>2002</v>
      </c>
      <c r="H86" s="2059">
        <v>3</v>
      </c>
      <c r="I86" s="2102"/>
      <c r="J86" s="2102"/>
      <c r="K86" s="2102"/>
      <c r="L86" s="2102"/>
      <c r="X86" s="2094"/>
      <c r="Y86" s="2094"/>
      <c r="Z86" s="2094"/>
    </row>
    <row r="87" spans="1:26">
      <c r="A87" s="2037" t="s">
        <v>511</v>
      </c>
      <c r="B87" s="2104">
        <f t="shared" si="284"/>
        <v>104</v>
      </c>
      <c r="C87" s="2104">
        <f t="shared" si="284"/>
        <v>105</v>
      </c>
      <c r="D87" s="2104">
        <f t="shared" si="246"/>
        <v>105</v>
      </c>
      <c r="E87" s="2104">
        <f t="shared" si="285"/>
        <v>104</v>
      </c>
      <c r="F87" s="2104">
        <f t="shared" si="285"/>
        <v>101</v>
      </c>
      <c r="G87" s="3515">
        <v>2002</v>
      </c>
      <c r="H87" s="2048">
        <v>2</v>
      </c>
      <c r="I87" s="2102"/>
      <c r="J87" s="2102"/>
      <c r="K87" s="2102"/>
      <c r="L87" s="2102"/>
      <c r="X87" s="2094"/>
      <c r="Y87" s="2094"/>
      <c r="Z87" s="2094"/>
    </row>
    <row r="88" spans="1:26" s="2069" customFormat="1" ht="13.8" thickBot="1">
      <c r="A88" s="2065" t="s">
        <v>512</v>
      </c>
      <c r="B88" s="2072">
        <f t="shared" si="284"/>
        <v>103</v>
      </c>
      <c r="C88" s="2072">
        <f t="shared" si="284"/>
        <v>104</v>
      </c>
      <c r="D88" s="2072">
        <f t="shared" si="246"/>
        <v>104</v>
      </c>
      <c r="E88" s="2072">
        <f t="shared" si="285"/>
        <v>103.5</v>
      </c>
      <c r="F88" s="2072">
        <f t="shared" si="285"/>
        <v>100.5</v>
      </c>
      <c r="G88" s="3516">
        <v>2002</v>
      </c>
      <c r="H88" s="2108">
        <v>1</v>
      </c>
      <c r="I88" s="2109"/>
      <c r="J88" s="2109"/>
      <c r="K88" s="2109"/>
      <c r="L88" s="2109"/>
      <c r="N88" s="2110"/>
      <c r="S88" s="2110"/>
      <c r="X88" s="2111"/>
      <c r="Y88" s="2111"/>
      <c r="Z88" s="2111"/>
    </row>
    <row r="89" spans="1:26" ht="13.8" thickBot="1">
      <c r="B89" s="2112">
        <v>102</v>
      </c>
      <c r="C89" s="2113">
        <v>103</v>
      </c>
      <c r="D89" s="2113">
        <f t="shared" si="246"/>
        <v>103</v>
      </c>
      <c r="E89" s="2113">
        <v>103</v>
      </c>
      <c r="F89" s="2114">
        <v>100</v>
      </c>
      <c r="I89" s="2102"/>
      <c r="J89" s="2102"/>
      <c r="K89" s="2102"/>
      <c r="L89" s="2102"/>
      <c r="N89" s="2103"/>
      <c r="O89" s="2102"/>
      <c r="P89" s="2102"/>
      <c r="Q89" s="2102"/>
      <c r="S89" s="2103"/>
      <c r="T89" s="2102"/>
      <c r="U89" s="2102"/>
      <c r="V89" s="2102"/>
      <c r="X89" s="2051"/>
      <c r="Y89" s="2051"/>
      <c r="Z89" s="2051"/>
    </row>
    <row r="91" spans="1:26" s="2116" customFormat="1">
      <c r="A91" s="2115" t="s">
        <v>513</v>
      </c>
      <c r="G91" s="2117"/>
      <c r="N91" s="2117"/>
      <c r="S91" s="2117"/>
    </row>
    <row r="92" spans="1:26" s="2116" customFormat="1">
      <c r="A92" s="2116" t="s">
        <v>514</v>
      </c>
      <c r="G92" s="2117"/>
      <c r="N92" s="2117"/>
      <c r="S92" s="2117"/>
    </row>
    <row r="93" spans="1:26" s="2116" customFormat="1">
      <c r="A93" s="2116" t="s">
        <v>515</v>
      </c>
      <c r="G93" s="2117"/>
      <c r="I93" s="2118"/>
      <c r="J93" s="2118"/>
      <c r="K93" s="2118"/>
      <c r="L93" s="2118"/>
      <c r="N93" s="2119"/>
      <c r="O93" s="2118"/>
      <c r="P93" s="2118"/>
      <c r="Q93" s="2118"/>
      <c r="S93" s="2119"/>
      <c r="T93" s="2118"/>
      <c r="U93" s="2118"/>
      <c r="V93" s="2118"/>
    </row>
    <row r="94" spans="1:26" s="2116" customFormat="1">
      <c r="A94" s="2116" t="s">
        <v>516</v>
      </c>
      <c r="G94" s="2117"/>
      <c r="N94" s="2117"/>
      <c r="S94" s="2117"/>
    </row>
    <row r="101" spans="7:22" ht="13.8" thickBot="1"/>
    <row r="102" spans="7:22">
      <c r="G102" s="2024"/>
      <c r="S102" s="2120" t="s">
        <v>517</v>
      </c>
      <c r="T102" s="2059" t="s">
        <v>518</v>
      </c>
      <c r="U102" s="2059" t="s">
        <v>519</v>
      </c>
      <c r="V102" s="2059" t="s">
        <v>520</v>
      </c>
    </row>
    <row r="103" spans="7:22">
      <c r="G103" s="2024"/>
      <c r="N103" s="2050"/>
      <c r="O103" s="2051"/>
      <c r="P103" s="2051"/>
      <c r="Q103" s="2051"/>
      <c r="S103" s="2121">
        <v>2006</v>
      </c>
      <c r="T103" s="2048">
        <v>15.1</v>
      </c>
      <c r="U103" s="2048">
        <v>7.43</v>
      </c>
      <c r="V103" s="2048">
        <v>26.26</v>
      </c>
    </row>
    <row r="104" spans="7:22">
      <c r="G104" s="2024"/>
      <c r="N104" s="2050"/>
      <c r="O104" s="2051"/>
      <c r="P104" s="2051"/>
      <c r="Q104" s="2051"/>
      <c r="S104" s="2122">
        <v>2005</v>
      </c>
      <c r="T104" s="2039">
        <v>13.9</v>
      </c>
      <c r="U104" s="2039">
        <v>7.49</v>
      </c>
      <c r="V104" s="2039">
        <v>24.92</v>
      </c>
    </row>
    <row r="105" spans="7:22">
      <c r="G105" s="2024"/>
      <c r="N105" s="2050"/>
      <c r="O105" s="2051"/>
      <c r="P105" s="2051"/>
      <c r="Q105" s="2051"/>
      <c r="S105" s="2121">
        <v>2004</v>
      </c>
      <c r="T105" s="2048">
        <v>9.48</v>
      </c>
      <c r="U105" s="2048">
        <v>7.2</v>
      </c>
      <c r="V105" s="2048">
        <v>14.68</v>
      </c>
    </row>
    <row r="106" spans="7:22">
      <c r="G106" s="2024"/>
      <c r="N106" s="2050"/>
      <c r="O106" s="2051"/>
      <c r="P106" s="2051"/>
      <c r="Q106" s="2051"/>
      <c r="S106" s="2122">
        <v>2003</v>
      </c>
      <c r="T106" s="2039">
        <v>4.5</v>
      </c>
      <c r="U106" s="2039">
        <v>6.12</v>
      </c>
      <c r="V106" s="2039">
        <v>2.34</v>
      </c>
    </row>
    <row r="107" spans="7:22" ht="13.8" thickBot="1">
      <c r="G107" s="2024"/>
      <c r="N107" s="2050"/>
      <c r="O107" s="2051"/>
      <c r="P107" s="2051"/>
      <c r="Q107" s="2051"/>
      <c r="S107" s="2123">
        <v>2002</v>
      </c>
      <c r="T107" s="2054">
        <v>3.59</v>
      </c>
      <c r="U107" s="2054">
        <v>4.54</v>
      </c>
      <c r="V107" s="2054">
        <v>2.5499999999999998</v>
      </c>
    </row>
    <row r="108" spans="7:22">
      <c r="G108" s="2024"/>
      <c r="N108" s="2050"/>
      <c r="O108" s="2051"/>
      <c r="P108" s="2051"/>
      <c r="Q108" s="2051"/>
    </row>
    <row r="109" spans="7:22">
      <c r="G109" s="2024"/>
      <c r="N109" s="2050"/>
      <c r="O109" s="2051"/>
      <c r="P109" s="2051"/>
      <c r="Q109" s="2051"/>
    </row>
    <row r="110" spans="7:22">
      <c r="G110" s="2024"/>
      <c r="N110" s="2050"/>
      <c r="O110" s="2051"/>
      <c r="P110" s="2051"/>
      <c r="Q110" s="2051"/>
    </row>
    <row r="111" spans="7:22">
      <c r="G111" s="2024"/>
      <c r="N111" s="2050"/>
      <c r="O111" s="2051"/>
      <c r="P111" s="2051"/>
      <c r="Q111" s="2051"/>
    </row>
    <row r="112" spans="7:22">
      <c r="G112" s="2024"/>
      <c r="N112" s="2050"/>
      <c r="O112" s="2051"/>
      <c r="P112" s="2051"/>
      <c r="Q112" s="2051"/>
    </row>
    <row r="113" spans="7:19">
      <c r="G113" s="2024"/>
      <c r="N113" s="2050"/>
      <c r="O113" s="2051"/>
      <c r="P113" s="2051"/>
      <c r="Q113" s="2051"/>
    </row>
    <row r="114" spans="7:19">
      <c r="G114" s="2024"/>
      <c r="N114" s="2050"/>
      <c r="O114" s="2051"/>
      <c r="P114" s="2051"/>
      <c r="Q114" s="2051"/>
    </row>
    <row r="115" spans="7:19">
      <c r="G115" s="2024"/>
      <c r="N115" s="2050"/>
      <c r="O115" s="2051"/>
      <c r="P115" s="2051"/>
      <c r="Q115" s="2051"/>
    </row>
    <row r="116" spans="7:19">
      <c r="G116" s="2024"/>
      <c r="N116" s="2050"/>
      <c r="O116" s="2051"/>
      <c r="P116" s="2051"/>
      <c r="Q116" s="2051"/>
    </row>
    <row r="117" spans="7:19">
      <c r="G117" s="2024"/>
      <c r="N117" s="2050"/>
      <c r="O117" s="2051"/>
      <c r="P117" s="2051"/>
      <c r="Q117" s="2051"/>
    </row>
    <row r="118" spans="7:19">
      <c r="G118" s="2024"/>
      <c r="N118" s="2050"/>
      <c r="O118" s="2051"/>
      <c r="P118" s="2051"/>
      <c r="Q118" s="2051"/>
      <c r="S118" s="2024"/>
    </row>
    <row r="119" spans="7:19">
      <c r="G119" s="2024"/>
      <c r="N119" s="2050"/>
      <c r="O119" s="2051"/>
      <c r="P119" s="2051"/>
      <c r="Q119" s="2051"/>
      <c r="S119" s="2024"/>
    </row>
    <row r="120" spans="7:19">
      <c r="G120" s="2024"/>
      <c r="N120" s="2050"/>
      <c r="O120" s="2051"/>
      <c r="P120" s="2051"/>
      <c r="Q120" s="2051"/>
      <c r="S120" s="2024"/>
    </row>
    <row r="121" spans="7:19">
      <c r="G121" s="2024"/>
      <c r="N121" s="2050"/>
      <c r="O121" s="2051"/>
      <c r="P121" s="2051"/>
      <c r="Q121" s="2051"/>
      <c r="S121" s="2024"/>
    </row>
    <row r="122" spans="7:19">
      <c r="G122" s="2024"/>
      <c r="N122" s="2050"/>
      <c r="O122" s="2051"/>
      <c r="P122" s="2051"/>
      <c r="Q122" s="2051"/>
      <c r="S122" s="2024"/>
    </row>
    <row r="123" spans="7:19">
      <c r="G123" s="2024"/>
      <c r="N123" s="2050"/>
      <c r="O123" s="2051"/>
      <c r="P123" s="2051"/>
      <c r="Q123" s="2051"/>
      <c r="S123" s="2024"/>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98" t="str">
        <f>IF(项目基本情况!B9="房地产市场价值","估价结果一览表","结果表-2")</f>
        <v>估价结果一览表</v>
      </c>
      <c r="B1" s="3198"/>
      <c r="C1" s="3198"/>
      <c r="D1" s="3198"/>
      <c r="E1" s="3198"/>
      <c r="F1" s="3198"/>
      <c r="G1" s="3198"/>
      <c r="H1" s="3198"/>
      <c r="I1" s="3198"/>
    </row>
    <row r="2" spans="1:9" ht="30" customHeight="1" thickTop="1">
      <c r="A2" s="3199" t="s">
        <v>928</v>
      </c>
      <c r="B2" s="3199" t="s">
        <v>929</v>
      </c>
      <c r="C2" s="3199" t="s">
        <v>930</v>
      </c>
      <c r="D2" s="3199" t="str">
        <f>结果表!D116</f>
        <v>出让国有建设用地使用权价值</v>
      </c>
      <c r="E2" s="3199"/>
      <c r="F2" s="3199" t="str">
        <f>结果表!F116</f>
        <v>在建建筑物价值</v>
      </c>
      <c r="G2" s="3199"/>
      <c r="H2" s="3199" t="str">
        <f>IF(项目基本情况!B9="房地产市场价值","房地产市场价值","房地产价值")</f>
        <v>房地产市场价值</v>
      </c>
      <c r="I2" s="3199"/>
    </row>
    <row r="3" spans="1:9" ht="15.6">
      <c r="A3" s="3200"/>
      <c r="B3" s="3200"/>
      <c r="C3" s="3200"/>
      <c r="D3" s="801" t="s">
        <v>925</v>
      </c>
      <c r="E3" s="801" t="s">
        <v>931</v>
      </c>
      <c r="F3" s="801" t="s">
        <v>925</v>
      </c>
      <c r="G3" s="801" t="s">
        <v>926</v>
      </c>
      <c r="H3" s="801" t="s">
        <v>925</v>
      </c>
      <c r="I3" s="801" t="s">
        <v>926</v>
      </c>
    </row>
    <row r="4" spans="1:9" ht="15">
      <c r="A4" s="1403" t="str">
        <f>项目基本情况!S2</f>
        <v>北京市房地产</v>
      </c>
      <c r="B4" s="801">
        <f>项目基本情况!C17</f>
        <v>57.2</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200" t="s">
        <v>927</v>
      </c>
      <c r="B5" s="3200"/>
      <c r="C5" s="3200"/>
      <c r="D5" s="3200" t="e">
        <f ca="1">结果表!D119</f>
        <v>#REF!</v>
      </c>
      <c r="E5" s="3200"/>
      <c r="F5" s="3200" t="e">
        <f ca="1">结果表!F119</f>
        <v>#REF!</v>
      </c>
      <c r="G5" s="3200"/>
      <c r="H5" s="3200" t="e">
        <f ca="1">结果表!H119</f>
        <v>#REF!</v>
      </c>
      <c r="I5" s="3200"/>
    </row>
    <row r="6" spans="1:9" ht="15.6">
      <c r="A6" s="3201" t="str">
        <f>结果表!A120</f>
        <v/>
      </c>
      <c r="B6" s="3201"/>
      <c r="C6" s="3201"/>
      <c r="D6" s="3201">
        <f>结果表!D120</f>
        <v>0</v>
      </c>
      <c r="E6" s="3201"/>
      <c r="F6" s="3201"/>
      <c r="G6" s="3201"/>
      <c r="H6" s="3201"/>
      <c r="I6" s="3201"/>
    </row>
    <row r="7" spans="1:9" ht="15">
      <c r="A7" s="3200" t="s">
        <v>927</v>
      </c>
      <c r="B7" s="3200"/>
      <c r="C7" s="3200"/>
      <c r="D7" s="3202" t="str">
        <f>结果表!D121</f>
        <v>零元整</v>
      </c>
      <c r="E7" s="3203"/>
      <c r="F7" s="3203"/>
      <c r="G7" s="3203"/>
      <c r="H7" s="3203"/>
      <c r="I7" s="3204"/>
    </row>
    <row r="8" spans="1:9" ht="15.6">
      <c r="A8" s="3201" t="str">
        <f>结果表!A122</f>
        <v/>
      </c>
      <c r="B8" s="3201"/>
      <c r="C8" s="3201"/>
      <c r="D8" s="3201" t="e">
        <f ca="1">结果表!D122</f>
        <v>#REF!</v>
      </c>
      <c r="E8" s="3201"/>
      <c r="F8" s="3201"/>
      <c r="G8" s="3201"/>
      <c r="H8" s="3201"/>
      <c r="I8" s="3201"/>
    </row>
    <row r="9" spans="1:9" ht="15">
      <c r="A9" s="3200" t="s">
        <v>927</v>
      </c>
      <c r="B9" s="3200"/>
      <c r="C9" s="3200"/>
      <c r="D9" s="3200" t="e">
        <f ca="1">结果表!D123</f>
        <v>#REF!</v>
      </c>
      <c r="E9" s="3200"/>
      <c r="F9" s="3200"/>
      <c r="G9" s="3200"/>
      <c r="H9" s="3200"/>
      <c r="I9" s="3200"/>
    </row>
    <row r="10" spans="1:9" ht="15.6">
      <c r="A10" s="3201" t="str">
        <f>结果表!A124</f>
        <v/>
      </c>
      <c r="B10" s="3201"/>
      <c r="C10" s="3201"/>
      <c r="D10" s="3201" t="str">
        <f>结果表!D124</f>
        <v>——</v>
      </c>
      <c r="E10" s="3201"/>
      <c r="F10" s="3201"/>
      <c r="G10" s="3201"/>
      <c r="H10" s="3201"/>
      <c r="I10" s="3201"/>
    </row>
    <row r="11" spans="1:9" ht="15">
      <c r="A11" s="3200" t="s">
        <v>927</v>
      </c>
      <c r="B11" s="3200"/>
      <c r="C11" s="3200"/>
      <c r="D11" s="3200" t="e">
        <f>结果表!D125</f>
        <v>#VALUE!</v>
      </c>
      <c r="E11" s="3200"/>
      <c r="F11" s="3200"/>
      <c r="G11" s="3200"/>
      <c r="H11" s="3200"/>
      <c r="I11" s="3200"/>
    </row>
    <row r="12" spans="1:9" ht="15.6">
      <c r="A12" s="3201" t="str">
        <f>结果表!A126</f>
        <v/>
      </c>
      <c r="B12" s="3201"/>
      <c r="C12" s="3201"/>
      <c r="D12" s="3201" t="str">
        <f>结果表!D126</f>
        <v>——</v>
      </c>
      <c r="E12" s="3201"/>
      <c r="F12" s="3201"/>
      <c r="G12" s="3201"/>
      <c r="H12" s="3201"/>
      <c r="I12" s="3201"/>
    </row>
    <row r="13" spans="1:9" ht="15.6" thickBot="1">
      <c r="A13" s="3205" t="s">
        <v>927</v>
      </c>
      <c r="B13" s="3205"/>
      <c r="C13" s="3205"/>
      <c r="D13" s="3205" t="e">
        <f>结果表!D127</f>
        <v>#VALUE!</v>
      </c>
      <c r="E13" s="3205"/>
      <c r="F13" s="3205"/>
      <c r="G13" s="3205"/>
      <c r="H13" s="3205"/>
      <c r="I13" s="3205"/>
    </row>
    <row r="14" spans="1:9" ht="14.4" thickTop="1">
      <c r="A14" s="3206" t="s">
        <v>932</v>
      </c>
      <c r="B14" s="3206"/>
      <c r="C14" s="3206"/>
      <c r="D14" s="3206"/>
      <c r="E14" s="3206"/>
      <c r="F14" s="3206"/>
      <c r="G14" s="3206"/>
      <c r="H14" s="3206"/>
      <c r="I14" s="3206"/>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7"/>
  <sheetViews>
    <sheetView workbookViewId="0">
      <selection activeCell="F54" sqref="F5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45755</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3">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4"/>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2309</v>
      </c>
      <c r="C26" s="1207">
        <v>43697</v>
      </c>
      <c r="D26" s="2572">
        <v>4.25</v>
      </c>
      <c r="E26" s="2572">
        <v>4.25</v>
      </c>
      <c r="F26" s="2572">
        <v>4.25</v>
      </c>
      <c r="G26" s="2572">
        <v>4.25</v>
      </c>
      <c r="H26" s="2572">
        <v>4.8499999999999996</v>
      </c>
      <c r="I26" s="2572"/>
      <c r="J26" s="2572"/>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5"/>
      <c r="C27" s="2576">
        <v>42301</v>
      </c>
      <c r="D27" s="2577">
        <v>4.3499999999999996</v>
      </c>
      <c r="E27" s="2577">
        <v>4.3499999999999996</v>
      </c>
      <c r="F27" s="2577">
        <v>4.75</v>
      </c>
      <c r="G27" s="2577">
        <v>4.75</v>
      </c>
      <c r="H27" s="2577">
        <v>4.9000000000000004</v>
      </c>
      <c r="I27" s="2577"/>
      <c r="J27" s="2577"/>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207" t="s">
        <v>949</v>
      </c>
      <c r="B1" s="3207"/>
      <c r="C1" s="3207"/>
      <c r="D1" s="3207"/>
    </row>
    <row r="2" spans="1:4" ht="17.399999999999999">
      <c r="A2" s="3208" t="s">
        <v>933</v>
      </c>
      <c r="B2" s="3208"/>
      <c r="C2" s="3208"/>
      <c r="D2" s="3208"/>
    </row>
    <row r="3" spans="1:4" ht="17.399999999999999">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7.399999999999999">
      <c r="A6" s="3208" t="s">
        <v>939</v>
      </c>
      <c r="B6" s="3208"/>
      <c r="C6" s="3208"/>
      <c r="D6" s="3208"/>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209" t="s">
        <v>942</v>
      </c>
      <c r="B11" s="3210"/>
      <c r="C11" s="3210"/>
      <c r="D11" s="3210"/>
    </row>
    <row r="12" spans="1:4" ht="15.6">
      <c r="A12" s="32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11"/>
      <c r="C12" s="3211"/>
      <c r="D12" s="3211"/>
    </row>
    <row r="13" spans="1:4" ht="30" customHeight="1">
      <c r="A13" s="3210" t="str">
        <f>IF(项目基本情况!B8="抵押","3.抵押双方在办理抵押登记手续时，应使用本公司出具的正式《房地产评估报告》，特提醒报告使用者注意。","——")</f>
        <v>——</v>
      </c>
      <c r="B13" s="3211"/>
      <c r="C13" s="3211"/>
      <c r="D13" s="3211"/>
    </row>
    <row r="14" spans="1:4" ht="15.75" customHeight="1">
      <c r="A14" s="3210" t="str">
        <f>IF(项目基本情况!B8="抵押","4.本次评估估价师所知悉的法定优先受偿款情况说明如下：","——")</f>
        <v>——</v>
      </c>
      <c r="B14" s="3211"/>
      <c r="C14" s="3211"/>
      <c r="D14" s="3211"/>
    </row>
    <row r="15" spans="1:4" ht="42" customHeight="1">
      <c r="A15" s="3210" t="str">
        <f>IF(项目基本情况!B8="抵押","（1）"&amp;CONCATENATE(项目基本情况!L20,项目基本情况!L21,项目基本情况!L22),"——")</f>
        <v>——</v>
      </c>
      <c r="B15" s="3210"/>
      <c r="C15" s="3210"/>
      <c r="D15" s="3210"/>
    </row>
    <row r="16" spans="1:4" ht="30" customHeight="1">
      <c r="A16" s="3213" t="s">
        <v>943</v>
      </c>
      <c r="B16" s="3213"/>
      <c r="C16" s="3213"/>
      <c r="D16" s="3213"/>
    </row>
    <row r="17" spans="1:4" ht="144" customHeight="1">
      <c r="A17" s="3213" t="s">
        <v>944</v>
      </c>
      <c r="B17" s="3213"/>
      <c r="C17" s="3213"/>
      <c r="D17" s="3213"/>
    </row>
    <row r="18" spans="1:4" ht="15.75" customHeight="1">
      <c r="A18" s="3210" t="str">
        <f>IF(项目基本情况!B8="抵押",结果表!K120,"——")</f>
        <v>——</v>
      </c>
      <c r="B18" s="3210"/>
      <c r="C18" s="3210"/>
      <c r="D18" s="3210"/>
    </row>
    <row r="19" spans="1:4" ht="46.5" customHeight="1">
      <c r="A19" s="32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0"/>
      <c r="C19" s="3210"/>
      <c r="D19" s="3210"/>
    </row>
    <row r="20" spans="1:4" ht="57.75" customHeight="1">
      <c r="A20" s="32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10"/>
      <c r="C20" s="3210"/>
      <c r="D20" s="3210"/>
    </row>
    <row r="21" spans="1:4" ht="57.75" customHeight="1">
      <c r="A21" s="32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14"/>
      <c r="C21" s="3214"/>
      <c r="D21" s="3214"/>
    </row>
    <row r="22" spans="1:4" ht="18.75" customHeight="1">
      <c r="A22" s="3215" t="s">
        <v>945</v>
      </c>
      <c r="B22" s="3215"/>
      <c r="C22" s="3215"/>
      <c r="D22" s="3215"/>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212">
        <v>42551</v>
      </c>
      <c r="D31" s="32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221" t="s">
        <v>956</v>
      </c>
      <c r="B15" s="3216" t="s">
        <v>109</v>
      </c>
      <c r="C15" s="3217"/>
    </row>
    <row r="16" spans="1:7" ht="14.4">
      <c r="A16" s="3222"/>
      <c r="B16" s="3216" t="s">
        <v>42</v>
      </c>
      <c r="C16" s="3217"/>
    </row>
    <row r="17" spans="1:3" ht="14.4">
      <c r="A17" s="3222"/>
      <c r="B17" s="3219" t="s">
        <v>957</v>
      </c>
      <c r="C17" s="1429" t="s">
        <v>956</v>
      </c>
    </row>
    <row r="18" spans="1:3" ht="14.4">
      <c r="A18" s="3222"/>
      <c r="B18" s="3219"/>
      <c r="C18" s="1429" t="s">
        <v>958</v>
      </c>
    </row>
    <row r="19" spans="1:3" ht="14.4">
      <c r="A19" s="3222"/>
      <c r="B19" s="3219"/>
      <c r="C19" s="1429" t="s">
        <v>959</v>
      </c>
    </row>
    <row r="20" spans="1:3" ht="14.4">
      <c r="A20" s="3223"/>
      <c r="B20" s="3218" t="s">
        <v>960</v>
      </c>
      <c r="C20" s="3217"/>
    </row>
    <row r="21" spans="1:3" ht="14.4">
      <c r="A21" s="1430" t="s">
        <v>961</v>
      </c>
      <c r="B21" s="1431"/>
      <c r="C21" s="1432"/>
    </row>
    <row r="22" spans="1:3" ht="14.4">
      <c r="A22" s="3220" t="s">
        <v>962</v>
      </c>
      <c r="B22" s="3218" t="s">
        <v>963</v>
      </c>
      <c r="C22" s="3217"/>
    </row>
    <row r="23" spans="1:3" ht="14.4">
      <c r="A23" s="3220"/>
      <c r="B23" s="3218" t="s">
        <v>964</v>
      </c>
      <c r="C23" s="3217"/>
    </row>
    <row r="24" spans="1:3" ht="14.4">
      <c r="A24" s="3220"/>
      <c r="B24" s="3218" t="s">
        <v>965</v>
      </c>
      <c r="C24" s="3217"/>
    </row>
    <row r="25" spans="1:3" ht="14.4">
      <c r="A25" s="3220"/>
      <c r="B25" s="3219" t="s">
        <v>966</v>
      </c>
      <c r="C25" s="1429" t="s">
        <v>967</v>
      </c>
    </row>
    <row r="26" spans="1:3" ht="14.4">
      <c r="A26" s="3220"/>
      <c r="B26" s="3219"/>
      <c r="C26" s="1429" t="s">
        <v>968</v>
      </c>
    </row>
    <row r="27" spans="1:3" ht="14.4">
      <c r="A27" s="3220"/>
      <c r="B27" s="3219"/>
      <c r="C27" s="1429" t="s">
        <v>969</v>
      </c>
    </row>
    <row r="28" spans="1:3" ht="14.4">
      <c r="A28" s="3220"/>
      <c r="B28" s="3219"/>
      <c r="C28" s="1429" t="s">
        <v>970</v>
      </c>
    </row>
    <row r="29" spans="1:3" ht="14.4">
      <c r="A29" s="3220"/>
      <c r="B29" s="3219"/>
      <c r="C29" s="1429" t="s">
        <v>971</v>
      </c>
    </row>
    <row r="30" spans="1:3" ht="14.4">
      <c r="A30" s="3220"/>
      <c r="B30" s="3219"/>
      <c r="C30" s="1429" t="s">
        <v>972</v>
      </c>
    </row>
    <row r="31" spans="1:3" ht="14.4">
      <c r="A31" s="3220"/>
      <c r="B31" s="3219"/>
      <c r="C31" s="1429" t="s">
        <v>973</v>
      </c>
    </row>
    <row r="32" spans="1:3" ht="14.4">
      <c r="A32" s="3220"/>
      <c r="B32" s="3219"/>
      <c r="C32" s="1429" t="s">
        <v>974</v>
      </c>
    </row>
    <row r="33" spans="1:3" ht="14.4">
      <c r="A33" s="3220"/>
      <c r="B33" s="3219"/>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2" customWidth="1"/>
    <col min="2" max="2" width="38.6640625" style="2152" customWidth="1"/>
    <col min="3" max="3" width="26" style="2152" customWidth="1"/>
    <col min="4" max="4" width="35" style="2152" hidden="1" customWidth="1"/>
    <col min="5" max="5" width="30.109375" style="2152" customWidth="1"/>
    <col min="6" max="6" width="35.44140625" style="2152" customWidth="1"/>
    <col min="7" max="7" width="31" style="2152" customWidth="1"/>
    <col min="8" max="8" width="37.44140625" style="2152" hidden="1" customWidth="1"/>
    <col min="9" max="16384" width="22.6640625" style="2152"/>
  </cols>
  <sheetData>
    <row r="1" spans="1:8" ht="24" customHeight="1">
      <c r="A1" s="2151"/>
      <c r="B1" s="2151"/>
      <c r="C1" s="2151"/>
      <c r="D1" s="2151"/>
      <c r="E1" s="2151"/>
      <c r="F1" s="2151"/>
      <c r="G1" s="2151"/>
      <c r="H1" s="2151"/>
    </row>
    <row r="2" spans="1:8" ht="24" customHeight="1">
      <c r="A2" s="2153" t="s">
        <v>2139</v>
      </c>
      <c r="B2" s="2154">
        <f ca="1">TODAY()</f>
        <v>45768</v>
      </c>
      <c r="C2" s="2155" t="s">
        <v>2140</v>
      </c>
      <c r="D2" s="2155"/>
      <c r="E2" s="2155"/>
      <c r="F2" s="2151"/>
      <c r="G2" s="2151"/>
      <c r="H2" s="2151"/>
    </row>
    <row r="3" spans="1:8" ht="24" customHeight="1">
      <c r="A3" s="2156" t="s">
        <v>2141</v>
      </c>
      <c r="B3" s="1219" t="s">
        <v>2142</v>
      </c>
      <c r="C3" s="1219" t="s">
        <v>2143</v>
      </c>
      <c r="D3" s="2157" t="s">
        <v>2144</v>
      </c>
      <c r="E3" s="2158" t="s">
        <v>2145</v>
      </c>
      <c r="F3" s="1219" t="s">
        <v>2146</v>
      </c>
      <c r="G3" s="1219" t="s">
        <v>2143</v>
      </c>
      <c r="H3" s="2157" t="s">
        <v>2147</v>
      </c>
    </row>
    <row r="4" spans="1:8" ht="24" customHeight="1">
      <c r="A4" s="1219" t="s">
        <v>2148</v>
      </c>
      <c r="B4" s="1219">
        <f ca="1">IF(C4&lt;B2,"已过期",1119970066)</f>
        <v>1119970066</v>
      </c>
      <c r="C4" s="2159">
        <v>45937</v>
      </c>
      <c r="D4" s="2160" t="str">
        <f ca="1">A4&amp;"（注册号："&amp;B4&amp;"）"</f>
        <v>梁津（注册号：1119970066）</v>
      </c>
      <c r="E4" s="2161" t="s">
        <v>2148</v>
      </c>
      <c r="F4" s="1219">
        <f ca="1">IF(G4&lt;B2,"已过期",96010014)</f>
        <v>96010014</v>
      </c>
      <c r="G4" s="2162">
        <v>47118</v>
      </c>
      <c r="H4" s="2163" t="str">
        <f ca="1">E4&amp;"（注册号："&amp;F4&amp;"）"</f>
        <v>梁津（注册号：96010014）</v>
      </c>
    </row>
    <row r="5" spans="1:8" ht="24" customHeight="1">
      <c r="A5" s="1219" t="s">
        <v>2149</v>
      </c>
      <c r="B5" s="1219">
        <f ca="1">IF(C5&lt;B2,"已过期",1119970111)</f>
        <v>1119970111</v>
      </c>
      <c r="C5" s="2159">
        <v>45937</v>
      </c>
      <c r="D5" s="2160" t="str">
        <f t="shared" ref="D5:D15" ca="1" si="0">A5&amp;"（注册号："&amp;B5&amp;"）"</f>
        <v>叶凌（注册号：1119970111）</v>
      </c>
      <c r="E5" s="2161" t="s">
        <v>2149</v>
      </c>
      <c r="F5" s="1219">
        <f ca="1">IF(G5&lt;B2,"已过期",94010078)</f>
        <v>94010078</v>
      </c>
      <c r="G5" s="2162">
        <v>46387</v>
      </c>
      <c r="H5" s="2163" t="str">
        <f t="shared" ref="H5:H16" ca="1" si="1">E5&amp;"（注册号："&amp;F5&amp;"）"</f>
        <v>叶凌（注册号：94010078）</v>
      </c>
    </row>
    <row r="6" spans="1:8" ht="24" customHeight="1">
      <c r="A6" s="1219" t="s">
        <v>2150</v>
      </c>
      <c r="B6" s="1219" t="str">
        <f ca="1">IF(C6&lt;B2,"已过期",1120050019)</f>
        <v>已过期</v>
      </c>
      <c r="C6" s="2159">
        <v>45410</v>
      </c>
      <c r="D6" s="2160" t="str">
        <f t="shared" ca="1" si="0"/>
        <v>王鹏（注册号：已过期）</v>
      </c>
      <c r="E6" s="2161" t="s">
        <v>2150</v>
      </c>
      <c r="F6" s="1219">
        <f ca="1">IF(G6&lt;B2,"已过期",2002110030)</f>
        <v>2002110030</v>
      </c>
      <c r="G6" s="2162">
        <v>46387</v>
      </c>
      <c r="H6" s="2163" t="str">
        <f t="shared" ca="1" si="1"/>
        <v>王鹏（注册号：2002110030）</v>
      </c>
    </row>
    <row r="7" spans="1:8" ht="24" customHeight="1">
      <c r="A7" s="1219" t="s">
        <v>2151</v>
      </c>
      <c r="B7" s="1219">
        <f ca="1">IF(C7&lt;B2,"已过期",1120000080)</f>
        <v>1120000080</v>
      </c>
      <c r="C7" s="2159">
        <v>45937</v>
      </c>
      <c r="D7" s="2160" t="str">
        <f t="shared" ca="1" si="0"/>
        <v>欧红伟（注册号：1120000080）</v>
      </c>
      <c r="E7" s="2161" t="s">
        <v>2151</v>
      </c>
      <c r="F7" s="1219">
        <f ca="1">IF(G7&lt;B2,"已过期",2000110082)</f>
        <v>2000110082</v>
      </c>
      <c r="G7" s="2162">
        <v>46387</v>
      </c>
      <c r="H7" s="2163" t="str">
        <f t="shared" ca="1" si="1"/>
        <v>欧红伟（注册号：2000110082）</v>
      </c>
    </row>
    <row r="8" spans="1:8" ht="24" customHeight="1">
      <c r="A8" s="1219" t="s">
        <v>2152</v>
      </c>
      <c r="B8" s="1219">
        <f ca="1">IF(C8&lt;B2,"已过期",1419970001)</f>
        <v>1419970001</v>
      </c>
      <c r="C8" s="2159">
        <v>45937</v>
      </c>
      <c r="D8" s="2160" t="str">
        <f t="shared" ca="1" si="0"/>
        <v>吴薇（注册号：1419970001）</v>
      </c>
      <c r="E8" s="2161" t="s">
        <v>2152</v>
      </c>
      <c r="F8" s="1219">
        <f ca="1">IF(G8&lt;B2,"已过期",2002110125)</f>
        <v>2002110125</v>
      </c>
      <c r="G8" s="2162">
        <v>47118</v>
      </c>
      <c r="H8" s="2163" t="str">
        <f t="shared" ca="1" si="1"/>
        <v>吴薇（注册号：2002110125）</v>
      </c>
    </row>
    <row r="9" spans="1:8" ht="24" customHeight="1">
      <c r="A9" s="1219" t="s">
        <v>2153</v>
      </c>
      <c r="B9" s="1219" t="str">
        <f ca="1">IF(C9&lt;B2,"已过期",1120060040)</f>
        <v>已过期</v>
      </c>
      <c r="C9" s="2164">
        <v>45592</v>
      </c>
      <c r="D9" s="2160" t="str">
        <f t="shared" ca="1" si="0"/>
        <v>陈颖（注册号：已过期）</v>
      </c>
      <c r="E9" s="2161" t="s">
        <v>2153</v>
      </c>
      <c r="F9" s="1219">
        <f ca="1">IF(G9&lt;B2,"已过期",2004110096)</f>
        <v>2004110096</v>
      </c>
      <c r="G9" s="2162">
        <v>47118</v>
      </c>
      <c r="H9" s="2163" t="str">
        <f t="shared" ca="1" si="1"/>
        <v>陈颖（注册号：2004110096）</v>
      </c>
    </row>
    <row r="10" spans="1:8" ht="24" customHeight="1">
      <c r="A10" s="1219" t="s">
        <v>2154</v>
      </c>
      <c r="B10" s="1219" t="str">
        <f ca="1">IF(C10&lt;B2,"已过期",1120100036)</f>
        <v>已过期</v>
      </c>
      <c r="C10" s="2164">
        <v>45752</v>
      </c>
      <c r="D10" s="2160" t="str">
        <f t="shared" ca="1" si="0"/>
        <v>崔锴（注册号：已过期）</v>
      </c>
      <c r="E10" s="2161" t="s">
        <v>2154</v>
      </c>
      <c r="F10" s="1219">
        <f ca="1">IF(G10&lt;B2,"已过期",2010110070)</f>
        <v>2010110070</v>
      </c>
      <c r="G10" s="2162">
        <v>47907</v>
      </c>
      <c r="H10" s="2163" t="str">
        <f t="shared" ca="1" si="1"/>
        <v>崔锴（注册号：2010110070）</v>
      </c>
    </row>
    <row r="11" spans="1:8" ht="24" customHeight="1">
      <c r="A11" s="1219" t="s">
        <v>2155</v>
      </c>
      <c r="B11" s="1219">
        <f ca="1">IF(C11&lt;B2,"已过期",1120070131)</f>
        <v>1120070131</v>
      </c>
      <c r="C11" s="2159">
        <v>45937</v>
      </c>
      <c r="D11" s="2160" t="str">
        <f t="shared" ca="1" si="0"/>
        <v>郑燚（注册号：1120070131）</v>
      </c>
      <c r="E11" s="2161" t="s">
        <v>2155</v>
      </c>
      <c r="F11" s="1219">
        <f ca="1">IF(G11&lt;B2,"已过期",2014110011)</f>
        <v>2014110011</v>
      </c>
      <c r="G11" s="2162">
        <v>49302</v>
      </c>
      <c r="H11" s="2163" t="str">
        <f t="shared" ca="1" si="1"/>
        <v>郑燚（注册号：2014110011）</v>
      </c>
    </row>
    <row r="12" spans="1:8" ht="24" customHeight="1">
      <c r="A12" s="1219" t="s">
        <v>2156</v>
      </c>
      <c r="B12" s="1219">
        <f ca="1">IF(C12&lt;B2,"已过期",1120040230)</f>
        <v>1120040230</v>
      </c>
      <c r="C12" s="2164">
        <v>45937</v>
      </c>
      <c r="D12" s="2160" t="str">
        <f t="shared" ca="1" si="0"/>
        <v>苏海（注册号：1120040230）</v>
      </c>
      <c r="E12" s="2161" t="s">
        <v>2156</v>
      </c>
      <c r="F12" s="1219">
        <f ca="1">IF(G12&lt;B2,"已过期",98030020)</f>
        <v>98030020</v>
      </c>
      <c r="G12" s="2162">
        <v>47118</v>
      </c>
      <c r="H12" s="2163" t="str">
        <f t="shared" ca="1" si="1"/>
        <v>苏海（注册号：98030020）</v>
      </c>
    </row>
    <row r="13" spans="1:8" ht="24" customHeight="1">
      <c r="A13" s="1219" t="s">
        <v>2157</v>
      </c>
      <c r="B13" s="1219" t="str">
        <f ca="1">IF(C13&lt;B2,"已过期",1120020033)</f>
        <v>已过期</v>
      </c>
      <c r="C13" s="2159">
        <v>45375</v>
      </c>
      <c r="D13" s="2160" t="str">
        <f t="shared" ca="1" si="0"/>
        <v>刘敬东（注册号：已过期）</v>
      </c>
      <c r="E13" s="2161" t="s">
        <v>2157</v>
      </c>
      <c r="F13" s="1219">
        <f ca="1">IF(G13&lt;B2,"已过期",2000110137)</f>
        <v>2000110137</v>
      </c>
      <c r="G13" s="2162">
        <v>46387</v>
      </c>
      <c r="H13" s="2163" t="str">
        <f t="shared" ca="1" si="1"/>
        <v>刘敬东（注册号：2000110137）</v>
      </c>
    </row>
    <row r="14" spans="1:8" ht="24" customHeight="1">
      <c r="A14" s="1219" t="s">
        <v>2158</v>
      </c>
      <c r="B14" s="1219" t="str">
        <f ca="1">IF(C14&lt;B2,"已过期",1119980106)</f>
        <v>已过期</v>
      </c>
      <c r="C14" s="2164">
        <v>44969</v>
      </c>
      <c r="D14" s="2160" t="str">
        <f t="shared" ca="1" si="0"/>
        <v>刘俊财（注册号：已过期）</v>
      </c>
      <c r="E14" s="2161" t="s">
        <v>2158</v>
      </c>
      <c r="F14" s="1219">
        <f ca="1">IF(G14&lt;B2,"已过期",96010063)</f>
        <v>96010063</v>
      </c>
      <c r="G14" s="2162">
        <v>47483</v>
      </c>
      <c r="H14" s="2163" t="str">
        <f t="shared" ca="1" si="1"/>
        <v>刘俊财（注册号：96010063）</v>
      </c>
    </row>
    <row r="15" spans="1:8" ht="24" customHeight="1">
      <c r="A15" s="1219" t="s">
        <v>2436</v>
      </c>
      <c r="B15" s="1219">
        <v>1120210056</v>
      </c>
      <c r="C15" s="2164">
        <v>45410</v>
      </c>
      <c r="D15" s="2160" t="str">
        <f t="shared" si="0"/>
        <v>宁小鳗（注册号：1120210056）</v>
      </c>
      <c r="E15" s="2161" t="s">
        <v>2159</v>
      </c>
      <c r="F15" s="1219">
        <f ca="1">IF(G15&lt;B2,"已过期",2011110090)</f>
        <v>2011110090</v>
      </c>
      <c r="G15" s="2162">
        <v>48302</v>
      </c>
      <c r="H15" s="2163" t="str">
        <f t="shared" ca="1" si="1"/>
        <v>赵雯（注册号：2011110090）</v>
      </c>
    </row>
    <row r="16" spans="1:8" ht="24" customHeight="1">
      <c r="A16" s="1219"/>
      <c r="B16" s="1219"/>
      <c r="C16" s="1219"/>
      <c r="D16" s="2160" t="str">
        <f>A16&amp;"（注册号："&amp;B16&amp;"）"</f>
        <v>（注册号：）</v>
      </c>
      <c r="E16" s="2161"/>
      <c r="F16" s="1219"/>
      <c r="G16" s="1219"/>
      <c r="H16" s="2165" t="str">
        <f t="shared" si="1"/>
        <v>（注册号：）</v>
      </c>
    </row>
    <row r="17" spans="1:8" ht="24" customHeight="1">
      <c r="A17" s="3224" t="s">
        <v>2160</v>
      </c>
      <c r="B17" s="3224"/>
      <c r="C17" s="3224"/>
      <c r="D17" s="3224"/>
      <c r="E17" s="3224"/>
      <c r="F17" s="3224"/>
      <c r="G17" s="3224"/>
      <c r="H17" s="3224"/>
    </row>
    <row r="18" spans="1:8" ht="24" customHeight="1">
      <c r="A18" s="3225" t="s">
        <v>2161</v>
      </c>
      <c r="B18" s="3225"/>
      <c r="C18" s="3225"/>
      <c r="D18" s="2157"/>
      <c r="E18" s="3226" t="s">
        <v>2162</v>
      </c>
      <c r="F18" s="3225"/>
      <c r="G18" s="3225"/>
    </row>
    <row r="19" spans="1:8" s="2167" customFormat="1" ht="24" customHeight="1">
      <c r="A19" s="2166" t="s">
        <v>2163</v>
      </c>
      <c r="B19" s="1219" t="s">
        <v>2164</v>
      </c>
      <c r="C19" s="1219" t="s">
        <v>2143</v>
      </c>
      <c r="D19" s="2157"/>
      <c r="E19" s="2161" t="s">
        <v>2163</v>
      </c>
      <c r="F19" s="1219" t="s">
        <v>2164</v>
      </c>
      <c r="G19" s="1219" t="s">
        <v>2143</v>
      </c>
    </row>
    <row r="20" spans="1:8" s="2167" customFormat="1" ht="24" customHeight="1">
      <c r="A20" s="2168" t="s">
        <v>2165</v>
      </c>
      <c r="B20" s="2168" t="s">
        <v>2166</v>
      </c>
      <c r="C20" s="2162">
        <v>45898</v>
      </c>
      <c r="D20" s="2169"/>
      <c r="E20" s="2170" t="s">
        <v>2167</v>
      </c>
      <c r="F20" s="2173" t="s">
        <v>2437</v>
      </c>
      <c r="G20" s="2174">
        <v>44926</v>
      </c>
    </row>
    <row r="21" spans="1:8" s="2167" customFormat="1" ht="24" customHeight="1">
      <c r="A21" s="2168"/>
      <c r="B21" s="2168"/>
      <c r="C21" s="2171"/>
      <c r="D21" s="2172"/>
      <c r="E21" s="2170"/>
      <c r="F21" s="2173"/>
      <c r="G21" s="2174"/>
    </row>
    <row r="22" spans="1:8" ht="24" customHeight="1">
      <c r="C22" s="2175"/>
      <c r="D22" s="2175"/>
      <c r="E22" s="2176"/>
      <c r="G22" s="2177"/>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152</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成本法</vt:lpstr>
      <vt:lpstr>成本法 (元)</vt:lpstr>
      <vt:lpstr>假设开发法</vt:lpstr>
      <vt:lpstr>收益法</vt:lpstr>
      <vt:lpstr>收益法 (元)</vt:lpstr>
      <vt:lpstr>收益法-酒店模型</vt:lpstr>
      <vt:lpstr>收益法（汇总）</vt:lpstr>
      <vt:lpstr>租金</vt:lpstr>
      <vt:lpstr>比较法-住宅</vt:lpstr>
      <vt:lpstr>Sheet3</vt:lpstr>
      <vt:lpstr>成交</vt:lpstr>
      <vt:lpstr>法拍</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2017-03-01T09:15:43Z</cp:lastPrinted>
  <dcterms:created xsi:type="dcterms:W3CDTF">2015-07-13T07:17:23Z</dcterms:created>
  <dcterms:modified xsi:type="dcterms:W3CDTF">2025-04-21T03:04:38Z</dcterms:modified>
</cp:coreProperties>
</file>